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embeddings/oleObject5.bin" ContentType="application/vnd.openxmlformats-officedocument.oleObject"/>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026"/>
  <workbookPr defaultThemeVersion="166925"/>
  <mc:AlternateContent xmlns:mc="http://schemas.openxmlformats.org/markup-compatibility/2006">
    <mc:Choice Requires="x15">
      <x15ac:absPath xmlns:x15ac="http://schemas.microsoft.com/office/spreadsheetml/2010/11/ac" url="J:\FSM\FSM v23\2021 PUCs\2021 PUC Supporting Documentation (Horseblanket)\2021\FINAL FY2021 PUC Supporting Documentation\"/>
    </mc:Choice>
  </mc:AlternateContent>
  <xr:revisionPtr revIDLastSave="0" documentId="13_ncr:1_{40482707-EF36-4D57-907A-D595BD182731}" xr6:coauthVersionLast="47" xr6:coauthVersionMax="47" xr10:uidLastSave="{00000000-0000-0000-0000-000000000000}"/>
  <bookViews>
    <workbookView xWindow="28680" yWindow="-120" windowWidth="29040" windowHeight="17640" tabRatio="691" xr2:uid="{85C2226C-F6D4-42AE-8EE3-91AF1567E2E6}"/>
  </bookViews>
  <sheets>
    <sheet name="PUC Calculations FY2021" sheetId="3" r:id="rId1"/>
    <sheet name="Legend" sheetId="19" r:id="rId2"/>
    <sheet name="2021 MILCON Inflation Table" sheetId="4" r:id="rId3"/>
    <sheet name="Mil Cost Premiums for PUCs" sheetId="17" r:id="rId4"/>
    <sheet name="M&amp;S Selection Business Rule" sheetId="6" r:id="rId5"/>
    <sheet name="2021 Elevator Rule" sheetId="7" r:id="rId6"/>
    <sheet name="2021 Overhead Crane Rule" sheetId="8" r:id="rId7"/>
    <sheet name="2021 Fire Sprinkler Rule" sheetId="9" r:id="rId8"/>
    <sheet name="Loading Dock Footnote" sheetId="10" r:id="rId9"/>
    <sheet name="Range Business Rules" sheetId="11" r:id="rId10"/>
  </sheets>
  <externalReferences>
    <externalReference r:id="rId11"/>
    <externalReference r:id="rId12"/>
    <externalReference r:id="rId13"/>
  </externalReferences>
  <definedNames>
    <definedName name="_5_6_digit" localSheetId="3">#REF!</definedName>
    <definedName name="_5_6_digit">#REF!</definedName>
    <definedName name="_xlnm._FilterDatabase" localSheetId="3" hidden="1">'Mil Cost Premiums for PUCs'!$A$3:$R$3</definedName>
    <definedName name="_xlnm._FilterDatabase" localSheetId="0" hidden="1">'PUC Calculations FY2021'!$A$605:$L$614</definedName>
    <definedName name="_ftn1" localSheetId="4">'M&amp;S Selection Business Rule'!$A$15</definedName>
    <definedName name="_ftn2" localSheetId="4">'M&amp;S Selection Business Rule'!$A$16</definedName>
    <definedName name="_ftnref1" localSheetId="4">'M&amp;S Selection Business Rule'!$A$2</definedName>
    <definedName name="_ftnref2" localSheetId="4">'M&amp;S Selection Business Rule'!$F$2</definedName>
    <definedName name="Ecat" localSheetId="3">#REF!</definedName>
    <definedName name="Ecat" localSheetId="0">#REF!</definedName>
    <definedName name="Ecat">#REF!</definedName>
    <definedName name="Ecat1" localSheetId="0">#REF!</definedName>
    <definedName name="Ecat1">#REF!</definedName>
    <definedName name="ff">#REF!</definedName>
    <definedName name="MB_5_6_digit_CC_export">#REF!</definedName>
    <definedName name="MB_latestorder">#REF!</definedName>
    <definedName name="NVMC_Lkup_UICs" localSheetId="3">#REF!</definedName>
    <definedName name="NVMC_Lkup_UICs" localSheetId="0">#REF!</definedName>
    <definedName name="NVMC_Lkup_UICs">#REF!</definedName>
    <definedName name="NVMC_lookup_UICs2" localSheetId="3">#REF!</definedName>
    <definedName name="NVMC_lookup_UICs2" localSheetId="0">#REF!</definedName>
    <definedName name="NVMC_lookup_UICs2">#REF!</definedName>
    <definedName name="_xlnm.Print_Area" localSheetId="2">'2021 MILCON Inflation Table'!$A$1:$F$31</definedName>
    <definedName name="_xlnm.Print_Area" localSheetId="3">'Mil Cost Premiums for PUCs'!$A$1:$R$294</definedName>
    <definedName name="_xlnm.Print_Area" localSheetId="0">'PUC Calculations FY2021'!$N$764:$S$794</definedName>
    <definedName name="_xlnm.Print_Titles" localSheetId="5">'2021 Elevator Rule'!$1:$2</definedName>
    <definedName name="PRV" localSheetId="3">'Mil Cost Premiums for PUCs'!$AS$4:$AS$538</definedName>
    <definedName name="PRV">#REF!</definedName>
    <definedName name="SF_FACS" localSheetId="3">#REF!</definedName>
    <definedName name="SF_FACS" localSheetId="0">#REF!</definedName>
    <definedName name="SF_FACS">#REF!</definedName>
    <definedName name="SF_FACs2" localSheetId="3">#REF!</definedName>
    <definedName name="SF_FACs2" localSheetId="0">#REF!</definedName>
    <definedName name="SF_FACs2">#REF!</definedName>
    <definedName name="Sort_Service" localSheetId="3">#REF!</definedName>
    <definedName name="Sort_Service" localSheetId="0">#REF!</definedName>
    <definedName name="Sort_Service">#REF!</definedName>
    <definedName name="Table_2">#REF!</definedName>
    <definedName name="Table_3">#REF!</definedName>
    <definedName name="Table_3_Legend">#REF!</definedName>
    <definedName name="Table_4_1C">#REF!</definedName>
    <definedName name="Table_4_1O">#REF!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L4236" i="3" l="1"/>
  <c r="L4263" i="3"/>
  <c r="I4212" i="3"/>
  <c r="K4212" i="3" s="1"/>
  <c r="E4294" i="3"/>
  <c r="E607" i="3" l="1"/>
  <c r="K607" i="3" s="1"/>
  <c r="E608" i="3"/>
  <c r="K608" i="3" s="1"/>
  <c r="E609" i="3"/>
  <c r="G609" i="3"/>
  <c r="J614" i="3"/>
  <c r="G4080" i="3"/>
  <c r="G4079" i="3"/>
  <c r="G4078" i="3"/>
  <c r="E4549" i="3"/>
  <c r="L4240" i="3"/>
  <c r="E4790" i="3"/>
  <c r="E4711" i="3"/>
  <c r="E4741" i="3"/>
  <c r="E4712" i="3"/>
  <c r="E4709" i="3"/>
  <c r="E4708" i="3"/>
  <c r="E4707" i="3"/>
  <c r="E4706" i="3"/>
  <c r="E4702" i="3"/>
  <c r="L4628" i="3"/>
  <c r="E4575" i="3"/>
  <c r="E4574" i="3"/>
  <c r="E4548" i="3"/>
  <c r="L4259" i="3"/>
  <c r="L4232" i="3"/>
  <c r="I4179" i="3"/>
  <c r="K4179" i="3" s="1"/>
  <c r="J4144" i="3"/>
  <c r="E4664" i="3"/>
  <c r="K4662" i="3"/>
  <c r="E4643" i="3"/>
  <c r="J4640" i="3"/>
  <c r="R259" i="17"/>
  <c r="K4595" i="3"/>
  <c r="K4599" i="3" s="1"/>
  <c r="K4462" i="3"/>
  <c r="K4497" i="3"/>
  <c r="E4504" i="3"/>
  <c r="E3206" i="3"/>
  <c r="K3206" i="3" s="1"/>
  <c r="K3205" i="3"/>
  <c r="E4118" i="3"/>
  <c r="E4119" i="3"/>
  <c r="J4109" i="3"/>
  <c r="K4109" i="3" s="1"/>
  <c r="J4041" i="3"/>
  <c r="J4023" i="3"/>
  <c r="E4014" i="3"/>
  <c r="E4013" i="3"/>
  <c r="E4012" i="3"/>
  <c r="E3965" i="3"/>
  <c r="E3964" i="3"/>
  <c r="E3962" i="3"/>
  <c r="E3913" i="3"/>
  <c r="K3887" i="3"/>
  <c r="K3883" i="3"/>
  <c r="K609" i="3" l="1"/>
  <c r="K610" i="3" s="1"/>
  <c r="K613" i="3" s="1"/>
  <c r="K614" i="3" s="1"/>
  <c r="I3860" i="3"/>
  <c r="I3859" i="3"/>
  <c r="I3804" i="3"/>
  <c r="K3788" i="3"/>
  <c r="E3750" i="3"/>
  <c r="E3746" i="3"/>
  <c r="E3744" i="3"/>
  <c r="E3739" i="3"/>
  <c r="E3738" i="3"/>
  <c r="E3730" i="3"/>
  <c r="E3704" i="3"/>
  <c r="E3703" i="3"/>
  <c r="E3702" i="3"/>
  <c r="K3697" i="3"/>
  <c r="I3692" i="3"/>
  <c r="E3682" i="3"/>
  <c r="K3682" i="3" s="1"/>
  <c r="E3680" i="3"/>
  <c r="E3678" i="3"/>
  <c r="K3678" i="3" s="1"/>
  <c r="E3677" i="3"/>
  <c r="K3677" i="3" s="1"/>
  <c r="E3676" i="3"/>
  <c r="E3667" i="3"/>
  <c r="E3658" i="3"/>
  <c r="K3658" i="3" s="1"/>
  <c r="K3653" i="3"/>
  <c r="E3645" i="3" l="1"/>
  <c r="K3645" i="3" s="1"/>
  <c r="E3637" i="3"/>
  <c r="E3628" i="3"/>
  <c r="E3627" i="3"/>
  <c r="E3616" i="3"/>
  <c r="E3615" i="3"/>
  <c r="E3614" i="3"/>
  <c r="E3612" i="3"/>
  <c r="K3612" i="3" s="1"/>
  <c r="I3603" i="3" l="1"/>
  <c r="E3593" i="3"/>
  <c r="E3594" i="3"/>
  <c r="E3592" i="3"/>
  <c r="J3580" i="3"/>
  <c r="I3523" i="3"/>
  <c r="E3503" i="3"/>
  <c r="I3487" i="3"/>
  <c r="E3337" i="3"/>
  <c r="E3336" i="3"/>
  <c r="K3309" i="3"/>
  <c r="I3294" i="3"/>
  <c r="I3269" i="3"/>
  <c r="I3264" i="3"/>
  <c r="E3240" i="3"/>
  <c r="E3210" i="3"/>
  <c r="E3209" i="3"/>
  <c r="E3204" i="3"/>
  <c r="E3185" i="3"/>
  <c r="E3166" i="3"/>
  <c r="E3165" i="3"/>
  <c r="E3164" i="3"/>
  <c r="E3163" i="3"/>
  <c r="E3125" i="3"/>
  <c r="J3123" i="3"/>
  <c r="E3084" i="3"/>
  <c r="E3083" i="3"/>
  <c r="E3082" i="3"/>
  <c r="E3081" i="3"/>
  <c r="E3076" i="3"/>
  <c r="E3077" i="3"/>
  <c r="J3016" i="3"/>
  <c r="E2967" i="3"/>
  <c r="E2966" i="3"/>
  <c r="E2965" i="3"/>
  <c r="E2964" i="3"/>
  <c r="I2955" i="3"/>
  <c r="E2862" i="3"/>
  <c r="E2832" i="3"/>
  <c r="E2831" i="3"/>
  <c r="E2830" i="3"/>
  <c r="E2829" i="3"/>
  <c r="K2741" i="3"/>
  <c r="F2729" i="3" l="1"/>
  <c r="F2735" i="3"/>
  <c r="F2734" i="3"/>
  <c r="F2733" i="3"/>
  <c r="F2732" i="3"/>
  <c r="F2731" i="3"/>
  <c r="F2730" i="3"/>
  <c r="E2719" i="3"/>
  <c r="K2719" i="3" s="1"/>
  <c r="E2718" i="3"/>
  <c r="G2695" i="3"/>
  <c r="I2689" i="3"/>
  <c r="K2684" i="3" l="1"/>
  <c r="K2685" i="3" s="1"/>
  <c r="I2649" i="3"/>
  <c r="K2649" i="3" s="1"/>
  <c r="K2632" i="3"/>
  <c r="K2622" i="3"/>
  <c r="K2611" i="3"/>
  <c r="E2608" i="3"/>
  <c r="K2601" i="3" l="1"/>
  <c r="I2599" i="3"/>
  <c r="I2598" i="3"/>
  <c r="K2581" i="3"/>
  <c r="E2579" i="3"/>
  <c r="E2578" i="3"/>
  <c r="E2577" i="3"/>
  <c r="E2576" i="3"/>
  <c r="I655" i="3"/>
  <c r="I676" i="3"/>
  <c r="I1748" i="3"/>
  <c r="I2428" i="3"/>
  <c r="K2513" i="3"/>
  <c r="I2511" i="3"/>
  <c r="I2510" i="3"/>
  <c r="E2490" i="3"/>
  <c r="E2489" i="3"/>
  <c r="E2488" i="3"/>
  <c r="E2487" i="3"/>
  <c r="J2491" i="3"/>
  <c r="J2484" i="3"/>
  <c r="I2479" i="3"/>
  <c r="I2474" i="3"/>
  <c r="E2449" i="3"/>
  <c r="E2448" i="3"/>
  <c r="E2447" i="3"/>
  <c r="E2446" i="3"/>
  <c r="J2450" i="3"/>
  <c r="J2443" i="3"/>
  <c r="I2438" i="3"/>
  <c r="I2433" i="3"/>
  <c r="I2407" i="3"/>
  <c r="I2408" i="3"/>
  <c r="I2406" i="3"/>
  <c r="I2359" i="3"/>
  <c r="I2364" i="3"/>
  <c r="K2364" i="3" s="1"/>
  <c r="K2365" i="3" s="1"/>
  <c r="K2350" i="3"/>
  <c r="K2327" i="3"/>
  <c r="K2323" i="3"/>
  <c r="K2319" i="3"/>
  <c r="G2311" i="3"/>
  <c r="K2307" i="3"/>
  <c r="I2292" i="3"/>
  <c r="I2283" i="3"/>
  <c r="I2276" i="3"/>
  <c r="E2253" i="3"/>
  <c r="E2221" i="3"/>
  <c r="E2222" i="3"/>
  <c r="E2224" i="3"/>
  <c r="E2223" i="3"/>
  <c r="E2252" i="3"/>
  <c r="E2251" i="3"/>
  <c r="E2250" i="3"/>
  <c r="E2214" i="3"/>
  <c r="G2185" i="3"/>
  <c r="G2186" i="3"/>
  <c r="E2192" i="3"/>
  <c r="E2191" i="3"/>
  <c r="E2190" i="3"/>
  <c r="E2189" i="3"/>
  <c r="E2187" i="3"/>
  <c r="E2195" i="3"/>
  <c r="E2132" i="3"/>
  <c r="E2183" i="3"/>
  <c r="E2157" i="3"/>
  <c r="E2138" i="3"/>
  <c r="E2113" i="3"/>
  <c r="G2104" i="3"/>
  <c r="G2103" i="3"/>
  <c r="E2092" i="3"/>
  <c r="E2091" i="3"/>
  <c r="E2090" i="3"/>
  <c r="E2089" i="3"/>
  <c r="E2082" i="3"/>
  <c r="E2063" i="3"/>
  <c r="E2062" i="3"/>
  <c r="E2061" i="3"/>
  <c r="E2060" i="3"/>
  <c r="G2056" i="3"/>
  <c r="K2016" i="3"/>
  <c r="E2023" i="3"/>
  <c r="K2028" i="3"/>
  <c r="E2011" i="3"/>
  <c r="K1969" i="3"/>
  <c r="K1994" i="3"/>
  <c r="K1972" i="3"/>
  <c r="E1946" i="3"/>
  <c r="E1936" i="3"/>
  <c r="E1931" i="3"/>
  <c r="E1913" i="3"/>
  <c r="E1910" i="3"/>
  <c r="E1901" i="3"/>
  <c r="E1896" i="3"/>
  <c r="E1860" i="3"/>
  <c r="E1887" i="3" l="1"/>
  <c r="K1887" i="3" s="1"/>
  <c r="E1884" i="3"/>
  <c r="E1875" i="3"/>
  <c r="K1875" i="3" s="1"/>
  <c r="E1872" i="3"/>
  <c r="E1870" i="3"/>
  <c r="E1849" i="3"/>
  <c r="E1838" i="3"/>
  <c r="G1828" i="3"/>
  <c r="E1827" i="3"/>
  <c r="E4525" i="3"/>
  <c r="K4525" i="3" s="1"/>
  <c r="J4541" i="3"/>
  <c r="G4536" i="3"/>
  <c r="K4536" i="3" s="1"/>
  <c r="G4535" i="3"/>
  <c r="K4535" i="3" s="1"/>
  <c r="J4531" i="3"/>
  <c r="G4526" i="3"/>
  <c r="K4526" i="3" s="1"/>
  <c r="K4524" i="3"/>
  <c r="R84" i="17"/>
  <c r="Q84" i="17"/>
  <c r="P84" i="17"/>
  <c r="O84" i="17"/>
  <c r="N84" i="17"/>
  <c r="I84" i="17"/>
  <c r="H84" i="17"/>
  <c r="G84" i="17"/>
  <c r="F84" i="17"/>
  <c r="R255" i="17"/>
  <c r="G255" i="17"/>
  <c r="F255" i="17"/>
  <c r="G254" i="17"/>
  <c r="F254" i="17"/>
  <c r="R254" i="17" s="1"/>
  <c r="K4537" i="3" l="1"/>
  <c r="K4540" i="3" s="1"/>
  <c r="K4541" i="3" s="1"/>
  <c r="K4527" i="3"/>
  <c r="K4530" i="3" s="1"/>
  <c r="K4531" i="3" s="1"/>
  <c r="E1798" i="3" l="1"/>
  <c r="E1797" i="3"/>
  <c r="E1796" i="3"/>
  <c r="E1795" i="3"/>
  <c r="E1780" i="3"/>
  <c r="E1682" i="3"/>
  <c r="E1678" i="3"/>
  <c r="E494" i="3" l="1"/>
  <c r="K494" i="3" s="1"/>
  <c r="K122" i="3"/>
  <c r="E1664" i="3" l="1"/>
  <c r="E1669" i="3"/>
  <c r="E1653" i="3"/>
  <c r="E1629" i="3"/>
  <c r="E1628" i="3"/>
  <c r="E1627" i="3"/>
  <c r="E1626" i="3"/>
  <c r="E1625" i="3"/>
  <c r="E1624" i="3"/>
  <c r="E1622" i="3"/>
  <c r="E1631" i="3"/>
  <c r="K170" i="3"/>
  <c r="K166" i="3"/>
  <c r="K162" i="3"/>
  <c r="K158" i="3"/>
  <c r="K154" i="3"/>
  <c r="K150" i="3"/>
  <c r="K146" i="3"/>
  <c r="K142" i="3"/>
  <c r="K138" i="3"/>
  <c r="K134" i="3"/>
  <c r="K130" i="3"/>
  <c r="K126" i="3"/>
  <c r="K118" i="3"/>
  <c r="K110" i="3"/>
  <c r="K106" i="3"/>
  <c r="K102" i="3"/>
  <c r="K98" i="3"/>
  <c r="K94" i="3"/>
  <c r="K75" i="3"/>
  <c r="K1607" i="3"/>
  <c r="I1611" i="3"/>
  <c r="K1611" i="3" s="1"/>
  <c r="I1612" i="3"/>
  <c r="K1612" i="3" s="1"/>
  <c r="I1601" i="3"/>
  <c r="K1601" i="3" s="1"/>
  <c r="K1535" i="3"/>
  <c r="E1469" i="3"/>
  <c r="E1342" i="3"/>
  <c r="G293" i="3"/>
  <c r="K293" i="3" s="1"/>
  <c r="K174" i="3"/>
  <c r="K178" i="3"/>
  <c r="K182" i="3"/>
  <c r="K247" i="3"/>
  <c r="K251" i="3"/>
  <c r="G387" i="3"/>
  <c r="K387" i="3" s="1"/>
  <c r="S772" i="3"/>
  <c r="S771" i="3"/>
  <c r="K455" i="3"/>
  <c r="K447" i="3"/>
  <c r="K406" i="3"/>
  <c r="K114" i="3" l="1"/>
  <c r="O246" i="3"/>
  <c r="K1613" i="3"/>
  <c r="K418" i="3"/>
  <c r="K410" i="3"/>
  <c r="K414" i="3"/>
  <c r="K422" i="3"/>
  <c r="K426" i="3"/>
  <c r="K451" i="3"/>
  <c r="K459" i="3"/>
  <c r="I469" i="3"/>
  <c r="I470" i="3"/>
  <c r="K477" i="3"/>
  <c r="E481" i="3"/>
  <c r="E497" i="3"/>
  <c r="E495" i="3"/>
  <c r="E510" i="3"/>
  <c r="K618" i="3"/>
  <c r="K622" i="3"/>
  <c r="I737" i="3"/>
  <c r="I736" i="3"/>
  <c r="E1706" i="3"/>
  <c r="E1702" i="3"/>
  <c r="E1758" i="3"/>
  <c r="K1576" i="3"/>
  <c r="K1577" i="3" s="1"/>
  <c r="I1547" i="3" l="1"/>
  <c r="E1509" i="3"/>
  <c r="E1508" i="3"/>
  <c r="E1507" i="3"/>
  <c r="E1506" i="3"/>
  <c r="E1505" i="3"/>
  <c r="E1504" i="3"/>
  <c r="E1485" i="3"/>
  <c r="E1486" i="3"/>
  <c r="E1487" i="3"/>
  <c r="E1488" i="3"/>
  <c r="E1489" i="3"/>
  <c r="E1490" i="3"/>
  <c r="E1502" i="3"/>
  <c r="E1501" i="3"/>
  <c r="E1499" i="3"/>
  <c r="E1483" i="3"/>
  <c r="E1482" i="3"/>
  <c r="E1480" i="3"/>
  <c r="E1360" i="3"/>
  <c r="E1359" i="3"/>
  <c r="I1440" i="3"/>
  <c r="I1753" i="3"/>
  <c r="K1753" i="3" s="1"/>
  <c r="J1823" i="3"/>
  <c r="K1818" i="3"/>
  <c r="K1817" i="3"/>
  <c r="E1446" i="3"/>
  <c r="E1449" i="3"/>
  <c r="E1448" i="3"/>
  <c r="E1447" i="3"/>
  <c r="E1442" i="3"/>
  <c r="E1439" i="3"/>
  <c r="I1439" i="3" s="1"/>
  <c r="E1420" i="3"/>
  <c r="E1419" i="3"/>
  <c r="E1418" i="3"/>
  <c r="E1417" i="3"/>
  <c r="E1413" i="3"/>
  <c r="E1410" i="3"/>
  <c r="G1405" i="3"/>
  <c r="I1390" i="3"/>
  <c r="E1365" i="3"/>
  <c r="J1274" i="3"/>
  <c r="J1273" i="3"/>
  <c r="E1273" i="3"/>
  <c r="E1088" i="3"/>
  <c r="E776" i="3"/>
  <c r="E787" i="3"/>
  <c r="I774" i="3"/>
  <c r="I731" i="3"/>
  <c r="I725" i="3"/>
  <c r="I719" i="3"/>
  <c r="E709" i="3"/>
  <c r="I706" i="3"/>
  <c r="E705" i="3"/>
  <c r="J709" i="3"/>
  <c r="J708" i="3"/>
  <c r="J707" i="3"/>
  <c r="J705" i="3"/>
  <c r="J704" i="3"/>
  <c r="E704" i="3"/>
  <c r="I645" i="3"/>
  <c r="G589" i="3"/>
  <c r="E589" i="3"/>
  <c r="K1819" i="3" l="1"/>
  <c r="K1822" i="3" s="1"/>
  <c r="K1823" i="3" l="1"/>
  <c r="J88" i="3"/>
  <c r="I545" i="3"/>
  <c r="I552" i="3" l="1"/>
  <c r="E573" i="3"/>
  <c r="S781" i="3" l="1"/>
  <c r="S782" i="3"/>
  <c r="S783" i="3"/>
  <c r="S784" i="3"/>
  <c r="S785" i="3"/>
  <c r="S786" i="3"/>
  <c r="J774" i="3" s="1"/>
  <c r="S787" i="3"/>
  <c r="S788" i="3"/>
  <c r="S780" i="3"/>
  <c r="P786" i="3"/>
  <c r="S774" i="3"/>
  <c r="S775" i="3"/>
  <c r="S776" i="3"/>
  <c r="S777" i="3"/>
  <c r="S778" i="3"/>
  <c r="P773" i="3"/>
  <c r="P770" i="3"/>
  <c r="S770" i="3"/>
  <c r="S773" i="3"/>
  <c r="S769" i="3"/>
  <c r="P769" i="3"/>
  <c r="S768" i="3"/>
  <c r="S767" i="3"/>
  <c r="I682" i="3"/>
  <c r="K670" i="3"/>
  <c r="K671" i="3" s="1"/>
  <c r="I670" i="3"/>
  <c r="I442" i="3" l="1"/>
  <c r="F16" i="4"/>
  <c r="I381" i="3" l="1"/>
  <c r="F18" i="4"/>
  <c r="G356" i="3"/>
  <c r="E355" i="3"/>
  <c r="E354" i="3"/>
  <c r="E353" i="3"/>
  <c r="E352" i="3"/>
  <c r="E260" i="3" l="1"/>
  <c r="J230" i="3"/>
  <c r="J229" i="3"/>
  <c r="E196" i="3"/>
  <c r="F24" i="4" l="1"/>
  <c r="F23" i="4"/>
  <c r="F17" i="4"/>
  <c r="F4" i="4"/>
  <c r="F5" i="4"/>
  <c r="F6" i="4"/>
  <c r="F7" i="4"/>
  <c r="F8" i="4"/>
  <c r="F9" i="4"/>
  <c r="F10" i="4"/>
  <c r="F11" i="4"/>
  <c r="F12" i="4"/>
  <c r="F13" i="4"/>
  <c r="F14" i="4"/>
  <c r="F15" i="4"/>
  <c r="K2820" i="3" l="1"/>
  <c r="K2810" i="3"/>
  <c r="K2811" i="3" s="1"/>
  <c r="K2710" i="3"/>
  <c r="K1743" i="3"/>
  <c r="K1744" i="3" s="1"/>
  <c r="K1738" i="3"/>
  <c r="K1733" i="3"/>
  <c r="K1734" i="3" s="1"/>
  <c r="K1617" i="3"/>
  <c r="K1618" i="3" s="1"/>
  <c r="K1596" i="3"/>
  <c r="K1597" i="3" s="1"/>
  <c r="K1539" i="3"/>
  <c r="I665" i="3"/>
  <c r="K288" i="3"/>
  <c r="Q162" i="17"/>
  <c r="P162" i="17"/>
  <c r="N162" i="17"/>
  <c r="L162" i="17"/>
  <c r="F162" i="17"/>
  <c r="J1892" i="3"/>
  <c r="J3519" i="3"/>
  <c r="R162" i="17" l="1"/>
  <c r="J3234" i="3" s="1"/>
  <c r="F272" i="17"/>
  <c r="R272" i="17" s="1"/>
  <c r="J4803" i="3" s="1"/>
  <c r="Q271" i="17"/>
  <c r="P271" i="17"/>
  <c r="F271" i="17"/>
  <c r="R271" i="17" s="1"/>
  <c r="J4776" i="3" s="1"/>
  <c r="Q270" i="17"/>
  <c r="P270" i="17"/>
  <c r="F270" i="17"/>
  <c r="Q269" i="17"/>
  <c r="P269" i="17"/>
  <c r="F269" i="17"/>
  <c r="F268" i="17"/>
  <c r="R268" i="17" s="1"/>
  <c r="F267" i="17"/>
  <c r="R267" i="17" s="1"/>
  <c r="J4745" i="3" s="1"/>
  <c r="F266" i="17"/>
  <c r="R266" i="17" s="1"/>
  <c r="J4737" i="3" s="1"/>
  <c r="N265" i="17"/>
  <c r="G265" i="17"/>
  <c r="F265" i="17"/>
  <c r="N264" i="17"/>
  <c r="F264" i="17"/>
  <c r="N263" i="17"/>
  <c r="F263" i="17"/>
  <c r="F262" i="17"/>
  <c r="R262" i="17" s="1"/>
  <c r="J4678" i="3" s="1"/>
  <c r="Q261" i="17"/>
  <c r="P261" i="17"/>
  <c r="G261" i="17"/>
  <c r="F261" i="17"/>
  <c r="Q260" i="17"/>
  <c r="P260" i="17"/>
  <c r="N260" i="17"/>
  <c r="J260" i="17"/>
  <c r="H260" i="17"/>
  <c r="G260" i="17"/>
  <c r="F260" i="17"/>
  <c r="Q258" i="17"/>
  <c r="P258" i="17"/>
  <c r="F258" i="17"/>
  <c r="Q257" i="17"/>
  <c r="P257" i="17"/>
  <c r="F257" i="17"/>
  <c r="Q256" i="17"/>
  <c r="P256" i="17"/>
  <c r="F256" i="17"/>
  <c r="F253" i="17"/>
  <c r="R253" i="17" s="1"/>
  <c r="J4511" i="3" s="1"/>
  <c r="F252" i="17"/>
  <c r="R252" i="17" s="1"/>
  <c r="J4493" i="3" s="1"/>
  <c r="Q251" i="17"/>
  <c r="P251" i="17"/>
  <c r="F251" i="17"/>
  <c r="Q250" i="17"/>
  <c r="P250" i="17"/>
  <c r="F250" i="17"/>
  <c r="Q249" i="17"/>
  <c r="P249" i="17"/>
  <c r="G249" i="17"/>
  <c r="F249" i="17"/>
  <c r="Q248" i="17"/>
  <c r="P248" i="17"/>
  <c r="G248" i="17"/>
  <c r="F248" i="17"/>
  <c r="Q247" i="17"/>
  <c r="P247" i="17"/>
  <c r="F247" i="17"/>
  <c r="Q246" i="17"/>
  <c r="P246" i="17"/>
  <c r="F246" i="17"/>
  <c r="Q245" i="17"/>
  <c r="P245" i="17"/>
  <c r="F245" i="17"/>
  <c r="F244" i="17"/>
  <c r="R244" i="17" s="1"/>
  <c r="J4379" i="3" s="1"/>
  <c r="Q243" i="17"/>
  <c r="P243" i="17"/>
  <c r="G243" i="17"/>
  <c r="F243" i="17"/>
  <c r="F242" i="17"/>
  <c r="R242" i="17" s="1"/>
  <c r="J4350" i="3" s="1"/>
  <c r="Q241" i="17"/>
  <c r="P241" i="17"/>
  <c r="G241" i="17"/>
  <c r="F241" i="17"/>
  <c r="Q240" i="17"/>
  <c r="P240" i="17"/>
  <c r="G240" i="17"/>
  <c r="F240" i="17"/>
  <c r="Q239" i="17"/>
  <c r="P239" i="17"/>
  <c r="G239" i="17"/>
  <c r="F239" i="17"/>
  <c r="Q238" i="17"/>
  <c r="P238" i="17"/>
  <c r="G238" i="17"/>
  <c r="F238" i="17"/>
  <c r="Q237" i="17"/>
  <c r="P237" i="17"/>
  <c r="F237" i="17"/>
  <c r="Q236" i="17"/>
  <c r="P236" i="17"/>
  <c r="F236" i="17"/>
  <c r="Q235" i="17"/>
  <c r="P235" i="17"/>
  <c r="F235" i="17"/>
  <c r="Q234" i="17"/>
  <c r="P234" i="17"/>
  <c r="F234" i="17"/>
  <c r="Q233" i="17"/>
  <c r="P233" i="17"/>
  <c r="G233" i="17"/>
  <c r="F233" i="17"/>
  <c r="F232" i="17"/>
  <c r="R232" i="17" s="1"/>
  <c r="J4175" i="3" s="1"/>
  <c r="Q231" i="17"/>
  <c r="P231" i="17"/>
  <c r="F231" i="17"/>
  <c r="Q230" i="17"/>
  <c r="P230" i="17"/>
  <c r="G230" i="17"/>
  <c r="F230" i="17"/>
  <c r="Q229" i="17"/>
  <c r="P229" i="17"/>
  <c r="G229" i="17"/>
  <c r="F229" i="17"/>
  <c r="Q228" i="17"/>
  <c r="P228" i="17"/>
  <c r="G228" i="17"/>
  <c r="F228" i="17"/>
  <c r="Q227" i="17"/>
  <c r="P227" i="17"/>
  <c r="G227" i="17"/>
  <c r="F227" i="17"/>
  <c r="G226" i="17"/>
  <c r="F226" i="17"/>
  <c r="Q225" i="17"/>
  <c r="P225" i="17"/>
  <c r="F225" i="17"/>
  <c r="Q224" i="17"/>
  <c r="P224" i="17"/>
  <c r="F224" i="17"/>
  <c r="Q223" i="17"/>
  <c r="P223" i="17"/>
  <c r="F223" i="17"/>
  <c r="Q222" i="17"/>
  <c r="P222" i="17"/>
  <c r="G222" i="17"/>
  <c r="F222" i="17"/>
  <c r="Q221" i="17"/>
  <c r="P221" i="17"/>
  <c r="G221" i="17"/>
  <c r="F221" i="17"/>
  <c r="Q220" i="17"/>
  <c r="P220" i="17"/>
  <c r="G220" i="17"/>
  <c r="F220" i="17"/>
  <c r="Q219" i="17"/>
  <c r="P219" i="17"/>
  <c r="F219" i="17"/>
  <c r="Q218" i="17"/>
  <c r="P218" i="17"/>
  <c r="F218" i="17"/>
  <c r="Q217" i="17"/>
  <c r="P217" i="17"/>
  <c r="F217" i="17"/>
  <c r="Q216" i="17"/>
  <c r="P216" i="17"/>
  <c r="F216" i="17"/>
  <c r="Q215" i="17"/>
  <c r="P215" i="17"/>
  <c r="F215" i="17"/>
  <c r="Q214" i="17"/>
  <c r="P214" i="17"/>
  <c r="F214" i="17"/>
  <c r="Q213" i="17"/>
  <c r="P213" i="17"/>
  <c r="F213" i="17"/>
  <c r="Q212" i="17"/>
  <c r="P212" i="17"/>
  <c r="F212" i="17"/>
  <c r="Q211" i="17"/>
  <c r="P211" i="17"/>
  <c r="G211" i="17"/>
  <c r="F211" i="17"/>
  <c r="Q210" i="17"/>
  <c r="P210" i="17"/>
  <c r="G210" i="17"/>
  <c r="F210" i="17"/>
  <c r="Q209" i="17"/>
  <c r="P209" i="17"/>
  <c r="G209" i="17"/>
  <c r="F209" i="17"/>
  <c r="Q208" i="17"/>
  <c r="P208" i="17"/>
  <c r="F208" i="17"/>
  <c r="Q207" i="17"/>
  <c r="P207" i="17"/>
  <c r="G207" i="17"/>
  <c r="F207" i="17"/>
  <c r="Q206" i="17"/>
  <c r="P206" i="17"/>
  <c r="O206" i="17"/>
  <c r="N206" i="17"/>
  <c r="M206" i="17"/>
  <c r="L206" i="17"/>
  <c r="K206" i="17"/>
  <c r="J206" i="17"/>
  <c r="I206" i="17"/>
  <c r="H206" i="17"/>
  <c r="G206" i="17"/>
  <c r="F206" i="17"/>
  <c r="E206" i="17"/>
  <c r="G205" i="17"/>
  <c r="F205" i="17"/>
  <c r="G204" i="17"/>
  <c r="F204" i="17"/>
  <c r="G203" i="17"/>
  <c r="F203" i="17"/>
  <c r="F202" i="17"/>
  <c r="R202" i="17" s="1"/>
  <c r="J3717" i="3" s="1"/>
  <c r="Q201" i="17"/>
  <c r="P201" i="17"/>
  <c r="G201" i="17"/>
  <c r="F201" i="17"/>
  <c r="G200" i="17"/>
  <c r="F200" i="17"/>
  <c r="F199" i="17"/>
  <c r="R199" i="17" s="1"/>
  <c r="J3688" i="3" s="1"/>
  <c r="Q198" i="17"/>
  <c r="P198" i="17"/>
  <c r="G198" i="17"/>
  <c r="F198" i="17"/>
  <c r="F197" i="17"/>
  <c r="R197" i="17" s="1"/>
  <c r="J3662" i="3" s="1"/>
  <c r="F196" i="17"/>
  <c r="R196" i="17" s="1"/>
  <c r="Q195" i="17"/>
  <c r="P195" i="17"/>
  <c r="F195" i="17"/>
  <c r="Q194" i="17"/>
  <c r="P194" i="17"/>
  <c r="G194" i="17"/>
  <c r="F194" i="17"/>
  <c r="Q193" i="17"/>
  <c r="P193" i="17"/>
  <c r="G193" i="17"/>
  <c r="F193" i="17"/>
  <c r="Q192" i="17"/>
  <c r="P192" i="17"/>
  <c r="N192" i="17"/>
  <c r="L192" i="17"/>
  <c r="G192" i="17"/>
  <c r="F192" i="17"/>
  <c r="Q191" i="17"/>
  <c r="P191" i="17"/>
  <c r="O191" i="17"/>
  <c r="N191" i="17"/>
  <c r="M191" i="17"/>
  <c r="L191" i="17"/>
  <c r="K191" i="17"/>
  <c r="J191" i="17"/>
  <c r="I191" i="17"/>
  <c r="H191" i="17"/>
  <c r="G191" i="17"/>
  <c r="F191" i="17"/>
  <c r="E191" i="17"/>
  <c r="Q190" i="17"/>
  <c r="P190" i="17"/>
  <c r="N190" i="17"/>
  <c r="L190" i="17"/>
  <c r="G190" i="17"/>
  <c r="F190" i="17"/>
  <c r="F189" i="17"/>
  <c r="R189" i="17" s="1"/>
  <c r="J3570" i="3" s="1"/>
  <c r="F188" i="17"/>
  <c r="R188" i="17" s="1"/>
  <c r="J3560" i="3" s="1"/>
  <c r="F187" i="17"/>
  <c r="R187" i="17" s="1"/>
  <c r="J3552" i="3" s="1"/>
  <c r="J186" i="17"/>
  <c r="I186" i="17"/>
  <c r="H186" i="17"/>
  <c r="F186" i="17"/>
  <c r="Q185" i="17"/>
  <c r="P185" i="17"/>
  <c r="N185" i="17"/>
  <c r="J185" i="17"/>
  <c r="G185" i="17"/>
  <c r="F185" i="17"/>
  <c r="Q183" i="17"/>
  <c r="P183" i="17"/>
  <c r="O183" i="17"/>
  <c r="N183" i="17"/>
  <c r="M183" i="17"/>
  <c r="K183" i="17"/>
  <c r="J183" i="17"/>
  <c r="I183" i="17"/>
  <c r="H183" i="17"/>
  <c r="G183" i="17"/>
  <c r="F183" i="17"/>
  <c r="E183" i="17"/>
  <c r="Q182" i="17"/>
  <c r="P182" i="17"/>
  <c r="O182" i="17"/>
  <c r="N182" i="17"/>
  <c r="L182" i="17"/>
  <c r="J182" i="17"/>
  <c r="I182" i="17"/>
  <c r="H182" i="17"/>
  <c r="G182" i="17"/>
  <c r="F182" i="17"/>
  <c r="Q181" i="17"/>
  <c r="P181" i="17"/>
  <c r="O181" i="17"/>
  <c r="N181" i="17"/>
  <c r="J181" i="17"/>
  <c r="I181" i="17"/>
  <c r="H181" i="17"/>
  <c r="G181" i="17"/>
  <c r="F181" i="17"/>
  <c r="Q180" i="17"/>
  <c r="P180" i="17"/>
  <c r="O180" i="17"/>
  <c r="N180" i="17"/>
  <c r="M180" i="17"/>
  <c r="L180" i="17"/>
  <c r="J180" i="17"/>
  <c r="I180" i="17"/>
  <c r="H180" i="17"/>
  <c r="G180" i="17"/>
  <c r="F180" i="17"/>
  <c r="E180" i="17"/>
  <c r="Q179" i="17"/>
  <c r="P179" i="17"/>
  <c r="O179" i="17"/>
  <c r="N179" i="17"/>
  <c r="M179" i="17"/>
  <c r="L179" i="17"/>
  <c r="K179" i="17"/>
  <c r="J179" i="17"/>
  <c r="I179" i="17"/>
  <c r="H179" i="17"/>
  <c r="G179" i="17"/>
  <c r="F179" i="17"/>
  <c r="E179" i="17"/>
  <c r="Q178" i="17"/>
  <c r="P178" i="17"/>
  <c r="O178" i="17"/>
  <c r="N178" i="17"/>
  <c r="M178" i="17"/>
  <c r="J178" i="17"/>
  <c r="I178" i="17"/>
  <c r="H178" i="17"/>
  <c r="G178" i="17"/>
  <c r="F178" i="17"/>
  <c r="E178" i="17"/>
  <c r="O177" i="17"/>
  <c r="N177" i="17"/>
  <c r="M177" i="17"/>
  <c r="L177" i="17"/>
  <c r="K177" i="17"/>
  <c r="J177" i="17"/>
  <c r="I177" i="17"/>
  <c r="H177" i="17"/>
  <c r="G177" i="17"/>
  <c r="F177" i="17"/>
  <c r="E177" i="17"/>
  <c r="Q176" i="17"/>
  <c r="P176" i="17"/>
  <c r="O176" i="17"/>
  <c r="N176" i="17"/>
  <c r="M176" i="17"/>
  <c r="L176" i="17"/>
  <c r="K176" i="17"/>
  <c r="J176" i="17"/>
  <c r="I176" i="17"/>
  <c r="H176" i="17"/>
  <c r="G176" i="17"/>
  <c r="F176" i="17"/>
  <c r="E176" i="17"/>
  <c r="H175" i="17"/>
  <c r="F175" i="17"/>
  <c r="F174" i="17"/>
  <c r="R174" i="17" s="1"/>
  <c r="J3403" i="3" s="1"/>
  <c r="F172" i="17"/>
  <c r="R172" i="17" s="1"/>
  <c r="J3377" i="3" s="1"/>
  <c r="Q171" i="17"/>
  <c r="P171" i="17"/>
  <c r="O171" i="17"/>
  <c r="N171" i="17"/>
  <c r="M171" i="17"/>
  <c r="L171" i="17"/>
  <c r="K171" i="17"/>
  <c r="J171" i="17"/>
  <c r="I171" i="17"/>
  <c r="H171" i="17"/>
  <c r="G171" i="17"/>
  <c r="F171" i="17"/>
  <c r="E171" i="17"/>
  <c r="N170" i="17"/>
  <c r="L170" i="17"/>
  <c r="F170" i="17"/>
  <c r="E170" i="17"/>
  <c r="F169" i="17"/>
  <c r="R169" i="17" s="1"/>
  <c r="J3343" i="3" s="1"/>
  <c r="F168" i="17"/>
  <c r="R168" i="17" s="1"/>
  <c r="J3327" i="3" s="1"/>
  <c r="F167" i="17"/>
  <c r="R167" i="17" s="1"/>
  <c r="J3317" i="3" s="1"/>
  <c r="Q166" i="17"/>
  <c r="P166" i="17"/>
  <c r="O166" i="17"/>
  <c r="N166" i="17"/>
  <c r="M166" i="17"/>
  <c r="L166" i="17"/>
  <c r="K166" i="17"/>
  <c r="J166" i="17"/>
  <c r="I166" i="17"/>
  <c r="H166" i="17"/>
  <c r="G166" i="17"/>
  <c r="F166" i="17"/>
  <c r="E166" i="17"/>
  <c r="Q165" i="17"/>
  <c r="P165" i="17"/>
  <c r="N165" i="17"/>
  <c r="M165" i="17"/>
  <c r="L165" i="17"/>
  <c r="K165" i="17"/>
  <c r="J165" i="17"/>
  <c r="I165" i="17"/>
  <c r="H165" i="17"/>
  <c r="G165" i="17"/>
  <c r="F165" i="17"/>
  <c r="E165" i="17"/>
  <c r="F164" i="17"/>
  <c r="R164" i="17" s="1"/>
  <c r="Q163" i="17"/>
  <c r="P163" i="17"/>
  <c r="O163" i="17"/>
  <c r="N163" i="17"/>
  <c r="M163" i="17"/>
  <c r="L163" i="17"/>
  <c r="K163" i="17"/>
  <c r="J163" i="17"/>
  <c r="I163" i="17"/>
  <c r="H163" i="17"/>
  <c r="G163" i="17"/>
  <c r="F163" i="17"/>
  <c r="E163" i="17"/>
  <c r="Q161" i="17"/>
  <c r="P161" i="17"/>
  <c r="O161" i="17"/>
  <c r="N161" i="17"/>
  <c r="M161" i="17"/>
  <c r="L161" i="17"/>
  <c r="J161" i="17"/>
  <c r="I161" i="17"/>
  <c r="H161" i="17"/>
  <c r="G161" i="17"/>
  <c r="F161" i="17"/>
  <c r="E161" i="17"/>
  <c r="Q160" i="17"/>
  <c r="P160" i="17"/>
  <c r="N160" i="17"/>
  <c r="L160" i="17"/>
  <c r="F160" i="17"/>
  <c r="Q159" i="17"/>
  <c r="P159" i="17"/>
  <c r="O159" i="17"/>
  <c r="N159" i="17"/>
  <c r="M159" i="17"/>
  <c r="K159" i="17"/>
  <c r="J159" i="17"/>
  <c r="I159" i="17"/>
  <c r="H159" i="17"/>
  <c r="G159" i="17"/>
  <c r="F159" i="17"/>
  <c r="E159" i="17"/>
  <c r="Q158" i="17"/>
  <c r="P158" i="17"/>
  <c r="N158" i="17"/>
  <c r="M158" i="17"/>
  <c r="L158" i="17"/>
  <c r="K158" i="17"/>
  <c r="J158" i="17"/>
  <c r="I158" i="17"/>
  <c r="H158" i="17"/>
  <c r="G158" i="17"/>
  <c r="F158" i="17"/>
  <c r="Q157" i="17"/>
  <c r="P157" i="17"/>
  <c r="N157" i="17"/>
  <c r="J157" i="17"/>
  <c r="I157" i="17"/>
  <c r="H157" i="17"/>
  <c r="G157" i="17"/>
  <c r="F157" i="17"/>
  <c r="Q156" i="17"/>
  <c r="P156" i="17"/>
  <c r="O156" i="17"/>
  <c r="N156" i="17"/>
  <c r="M156" i="17"/>
  <c r="L156" i="17"/>
  <c r="K156" i="17"/>
  <c r="J156" i="17"/>
  <c r="I156" i="17"/>
  <c r="H156" i="17"/>
  <c r="G156" i="17"/>
  <c r="F156" i="17"/>
  <c r="E156" i="17"/>
  <c r="Q155" i="17"/>
  <c r="P155" i="17"/>
  <c r="N155" i="17"/>
  <c r="M155" i="17"/>
  <c r="L155" i="17"/>
  <c r="F155" i="17"/>
  <c r="Q154" i="17"/>
  <c r="P154" i="17"/>
  <c r="N154" i="17"/>
  <c r="J154" i="17"/>
  <c r="I154" i="17"/>
  <c r="H154" i="17"/>
  <c r="F154" i="17"/>
  <c r="N153" i="17"/>
  <c r="J153" i="17"/>
  <c r="F153" i="17"/>
  <c r="Q152" i="17"/>
  <c r="P152" i="17"/>
  <c r="O152" i="17"/>
  <c r="N152" i="17"/>
  <c r="M152" i="17"/>
  <c r="L152" i="17"/>
  <c r="K152" i="17"/>
  <c r="J152" i="17"/>
  <c r="I152" i="17"/>
  <c r="H152" i="17"/>
  <c r="G152" i="17"/>
  <c r="F152" i="17"/>
  <c r="E152" i="17"/>
  <c r="Q151" i="17"/>
  <c r="P151" i="17"/>
  <c r="O151" i="17"/>
  <c r="N151" i="17"/>
  <c r="M151" i="17"/>
  <c r="L151" i="17"/>
  <c r="K151" i="17"/>
  <c r="J151" i="17"/>
  <c r="G151" i="17"/>
  <c r="F151" i="17"/>
  <c r="E151" i="17"/>
  <c r="F150" i="17"/>
  <c r="R150" i="17" s="1"/>
  <c r="J3043" i="3" s="1"/>
  <c r="Q149" i="17"/>
  <c r="P149" i="17"/>
  <c r="N149" i="17"/>
  <c r="M149" i="17"/>
  <c r="L149" i="17"/>
  <c r="J149" i="17"/>
  <c r="I149" i="17"/>
  <c r="H149" i="17"/>
  <c r="G149" i="17"/>
  <c r="F149" i="17"/>
  <c r="Q148" i="17"/>
  <c r="P148" i="17"/>
  <c r="N148" i="17"/>
  <c r="M148" i="17"/>
  <c r="L148" i="17"/>
  <c r="J148" i="17"/>
  <c r="I148" i="17"/>
  <c r="H148" i="17"/>
  <c r="G148" i="17"/>
  <c r="F148" i="17"/>
  <c r="Q147" i="17"/>
  <c r="P147" i="17"/>
  <c r="O147" i="17"/>
  <c r="N147" i="17"/>
  <c r="M147" i="17"/>
  <c r="L147" i="17"/>
  <c r="K147" i="17"/>
  <c r="J147" i="17"/>
  <c r="I147" i="17"/>
  <c r="H147" i="17"/>
  <c r="G147" i="17"/>
  <c r="F147" i="17"/>
  <c r="E147" i="17"/>
  <c r="Q146" i="17"/>
  <c r="P146" i="17"/>
  <c r="O146" i="17"/>
  <c r="N146" i="17"/>
  <c r="M146" i="17"/>
  <c r="L146" i="17"/>
  <c r="K146" i="17"/>
  <c r="J146" i="17"/>
  <c r="I146" i="17"/>
  <c r="H146" i="17"/>
  <c r="G146" i="17"/>
  <c r="F146" i="17"/>
  <c r="E146" i="17"/>
  <c r="Q145" i="17"/>
  <c r="P145" i="17"/>
  <c r="O145" i="17"/>
  <c r="N145" i="17"/>
  <c r="M145" i="17"/>
  <c r="L145" i="17"/>
  <c r="K145" i="17"/>
  <c r="J145" i="17"/>
  <c r="I145" i="17"/>
  <c r="H145" i="17"/>
  <c r="G145" i="17"/>
  <c r="F145" i="17"/>
  <c r="E145" i="17"/>
  <c r="Q144" i="17"/>
  <c r="P144" i="17"/>
  <c r="O144" i="17"/>
  <c r="N144" i="17"/>
  <c r="M144" i="17"/>
  <c r="L144" i="17"/>
  <c r="K144" i="17"/>
  <c r="J144" i="17"/>
  <c r="I144" i="17"/>
  <c r="H144" i="17"/>
  <c r="G144" i="17"/>
  <c r="F144" i="17"/>
  <c r="E144" i="17"/>
  <c r="Q143" i="17"/>
  <c r="P143" i="17"/>
  <c r="O143" i="17"/>
  <c r="N143" i="17"/>
  <c r="M143" i="17"/>
  <c r="L143" i="17"/>
  <c r="K143" i="17"/>
  <c r="J143" i="17"/>
  <c r="I143" i="17"/>
  <c r="H143" i="17"/>
  <c r="G143" i="17"/>
  <c r="F143" i="17"/>
  <c r="E143" i="17"/>
  <c r="Q142" i="17"/>
  <c r="P142" i="17"/>
  <c r="O142" i="17"/>
  <c r="N142" i="17"/>
  <c r="M142" i="17"/>
  <c r="L142" i="17"/>
  <c r="K142" i="17"/>
  <c r="J142" i="17"/>
  <c r="I142" i="17"/>
  <c r="H142" i="17"/>
  <c r="G142" i="17"/>
  <c r="F142" i="17"/>
  <c r="E142" i="17"/>
  <c r="F141" i="17"/>
  <c r="R141" i="17" s="1"/>
  <c r="J2913" i="3" s="1"/>
  <c r="Q140" i="17"/>
  <c r="P140" i="17"/>
  <c r="N140" i="17"/>
  <c r="L140" i="17"/>
  <c r="K140" i="17"/>
  <c r="G140" i="17"/>
  <c r="F140" i="17"/>
  <c r="J139" i="17"/>
  <c r="H139" i="17"/>
  <c r="G139" i="17"/>
  <c r="F139" i="17"/>
  <c r="Q138" i="17"/>
  <c r="P138" i="17"/>
  <c r="H138" i="17"/>
  <c r="F138" i="17"/>
  <c r="Q137" i="17"/>
  <c r="M137" i="17"/>
  <c r="G137" i="17"/>
  <c r="F137" i="17"/>
  <c r="E137" i="17"/>
  <c r="Q136" i="17"/>
  <c r="P136" i="17"/>
  <c r="O136" i="17"/>
  <c r="N136" i="17"/>
  <c r="M136" i="17"/>
  <c r="L136" i="17"/>
  <c r="K136" i="17"/>
  <c r="J136" i="17"/>
  <c r="I136" i="17"/>
  <c r="H136" i="17"/>
  <c r="G136" i="17"/>
  <c r="F136" i="17"/>
  <c r="E136" i="17"/>
  <c r="Q135" i="17"/>
  <c r="P135" i="17"/>
  <c r="F135" i="17"/>
  <c r="F134" i="17"/>
  <c r="R134" i="17" s="1"/>
  <c r="J2791" i="3" s="1"/>
  <c r="F133" i="17"/>
  <c r="R133" i="17" s="1"/>
  <c r="J2781" i="3" s="1"/>
  <c r="F132" i="17"/>
  <c r="R132" i="17" s="1"/>
  <c r="J2771" i="3" s="1"/>
  <c r="Q131" i="17"/>
  <c r="P131" i="17"/>
  <c r="F131" i="17"/>
  <c r="F130" i="17"/>
  <c r="R130" i="17" s="1"/>
  <c r="J2753" i="3" s="1"/>
  <c r="F129" i="17"/>
  <c r="R129" i="17" s="1"/>
  <c r="F128" i="17"/>
  <c r="R128" i="17" s="1"/>
  <c r="J2725" i="3" s="1"/>
  <c r="Q127" i="17"/>
  <c r="P127" i="17"/>
  <c r="O127" i="17"/>
  <c r="N127" i="17"/>
  <c r="M127" i="17"/>
  <c r="L127" i="17"/>
  <c r="K127" i="17"/>
  <c r="J127" i="17"/>
  <c r="I127" i="17"/>
  <c r="H127" i="17"/>
  <c r="G127" i="17"/>
  <c r="F127" i="17"/>
  <c r="E127" i="17"/>
  <c r="Q126" i="17"/>
  <c r="P126" i="17"/>
  <c r="O126" i="17"/>
  <c r="J126" i="17"/>
  <c r="I126" i="17"/>
  <c r="H126" i="17"/>
  <c r="G126" i="17"/>
  <c r="F126" i="17"/>
  <c r="Q125" i="17"/>
  <c r="P125" i="17"/>
  <c r="G125" i="17"/>
  <c r="F125" i="17"/>
  <c r="Q124" i="17"/>
  <c r="P124" i="17"/>
  <c r="O124" i="17"/>
  <c r="N124" i="17"/>
  <c r="M124" i="17"/>
  <c r="L124" i="17"/>
  <c r="J124" i="17"/>
  <c r="I124" i="17"/>
  <c r="H124" i="17"/>
  <c r="G124" i="17"/>
  <c r="F124" i="17"/>
  <c r="E124" i="17"/>
  <c r="Q123" i="17"/>
  <c r="P123" i="17"/>
  <c r="O123" i="17"/>
  <c r="N123" i="17"/>
  <c r="M123" i="17"/>
  <c r="L123" i="17"/>
  <c r="K123" i="17"/>
  <c r="J123" i="17"/>
  <c r="I123" i="17"/>
  <c r="H123" i="17"/>
  <c r="G123" i="17"/>
  <c r="F123" i="17"/>
  <c r="E123" i="17"/>
  <c r="Q122" i="17"/>
  <c r="P122" i="17"/>
  <c r="O122" i="17"/>
  <c r="N122" i="17"/>
  <c r="M122" i="17"/>
  <c r="L122" i="17"/>
  <c r="K122" i="17"/>
  <c r="J122" i="17"/>
  <c r="I122" i="17"/>
  <c r="H122" i="17"/>
  <c r="G122" i="17"/>
  <c r="F122" i="17"/>
  <c r="E122" i="17"/>
  <c r="Q121" i="17"/>
  <c r="P121" i="17"/>
  <c r="O121" i="17"/>
  <c r="N121" i="17"/>
  <c r="M121" i="17"/>
  <c r="L121" i="17"/>
  <c r="K121" i="17"/>
  <c r="J121" i="17"/>
  <c r="I121" i="17"/>
  <c r="H121" i="17"/>
  <c r="G121" i="17"/>
  <c r="F121" i="17"/>
  <c r="E121" i="17"/>
  <c r="Q120" i="17"/>
  <c r="P120" i="17"/>
  <c r="F120" i="17"/>
  <c r="Q119" i="17"/>
  <c r="P119" i="17"/>
  <c r="F119" i="17"/>
  <c r="Q118" i="17"/>
  <c r="P118" i="17"/>
  <c r="N118" i="17"/>
  <c r="M118" i="17"/>
  <c r="J118" i="17"/>
  <c r="F118" i="17"/>
  <c r="Q117" i="17"/>
  <c r="P117" i="17"/>
  <c r="F117" i="17"/>
  <c r="Q116" i="17"/>
  <c r="P116" i="17"/>
  <c r="J116" i="17"/>
  <c r="G116" i="17"/>
  <c r="F116" i="17"/>
  <c r="Q115" i="17"/>
  <c r="P115" i="17"/>
  <c r="N115" i="17"/>
  <c r="M115" i="17"/>
  <c r="J115" i="17"/>
  <c r="I115" i="17"/>
  <c r="H115" i="17"/>
  <c r="G115" i="17"/>
  <c r="F115" i="17"/>
  <c r="Q114" i="17"/>
  <c r="P114" i="17"/>
  <c r="N114" i="17"/>
  <c r="M114" i="17"/>
  <c r="J114" i="17"/>
  <c r="I114" i="17"/>
  <c r="H114" i="17"/>
  <c r="G114" i="17"/>
  <c r="F114" i="17"/>
  <c r="Q113" i="17"/>
  <c r="P113" i="17"/>
  <c r="N113" i="17"/>
  <c r="M113" i="17"/>
  <c r="J113" i="17"/>
  <c r="I113" i="17"/>
  <c r="G113" i="17"/>
  <c r="F113" i="17"/>
  <c r="Q112" i="17"/>
  <c r="P112" i="17"/>
  <c r="N112" i="17"/>
  <c r="M112" i="17"/>
  <c r="J112" i="17"/>
  <c r="I112" i="17"/>
  <c r="H112" i="17"/>
  <c r="G112" i="17"/>
  <c r="F112" i="17"/>
  <c r="Q111" i="17"/>
  <c r="P111" i="17"/>
  <c r="F111" i="17"/>
  <c r="F110" i="17"/>
  <c r="R110" i="17" s="1"/>
  <c r="J2373" i="3" s="1"/>
  <c r="Q109" i="17"/>
  <c r="P109" i="17"/>
  <c r="O109" i="17"/>
  <c r="N109" i="17"/>
  <c r="M109" i="17"/>
  <c r="J109" i="17"/>
  <c r="I109" i="17"/>
  <c r="H109" i="17"/>
  <c r="G109" i="17"/>
  <c r="F109" i="17"/>
  <c r="F108" i="17"/>
  <c r="R108" i="17" s="1"/>
  <c r="J2341" i="3" s="1"/>
  <c r="Q107" i="17"/>
  <c r="P107" i="17"/>
  <c r="O107" i="17"/>
  <c r="N107" i="17"/>
  <c r="M107" i="17"/>
  <c r="L107" i="17"/>
  <c r="K107" i="17"/>
  <c r="J107" i="17"/>
  <c r="I107" i="17"/>
  <c r="H107" i="17"/>
  <c r="G107" i="17"/>
  <c r="F107" i="17"/>
  <c r="E107" i="17"/>
  <c r="Q106" i="17"/>
  <c r="P106" i="17"/>
  <c r="O106" i="17"/>
  <c r="N106" i="17"/>
  <c r="M106" i="17"/>
  <c r="L106" i="17"/>
  <c r="K106" i="17"/>
  <c r="J106" i="17"/>
  <c r="I106" i="17"/>
  <c r="H106" i="17"/>
  <c r="G106" i="17"/>
  <c r="F106" i="17"/>
  <c r="E106" i="17"/>
  <c r="Q105" i="17"/>
  <c r="P105" i="17"/>
  <c r="O105" i="17"/>
  <c r="N105" i="17"/>
  <c r="M105" i="17"/>
  <c r="L105" i="17"/>
  <c r="K105" i="17"/>
  <c r="J105" i="17"/>
  <c r="I105" i="17"/>
  <c r="H105" i="17"/>
  <c r="F105" i="17"/>
  <c r="E105" i="17"/>
  <c r="Q104" i="17"/>
  <c r="P104" i="17"/>
  <c r="O104" i="17"/>
  <c r="N104" i="17"/>
  <c r="M104" i="17"/>
  <c r="L104" i="17"/>
  <c r="K104" i="17"/>
  <c r="J104" i="17"/>
  <c r="I104" i="17"/>
  <c r="H104" i="17"/>
  <c r="G104" i="17"/>
  <c r="F104" i="17"/>
  <c r="E104" i="17"/>
  <c r="Q103" i="17"/>
  <c r="P103" i="17"/>
  <c r="O103" i="17"/>
  <c r="N103" i="17"/>
  <c r="M103" i="17"/>
  <c r="L103" i="17"/>
  <c r="K103" i="17"/>
  <c r="J103" i="17"/>
  <c r="I103" i="17"/>
  <c r="H103" i="17"/>
  <c r="G103" i="17"/>
  <c r="F103" i="17"/>
  <c r="E103" i="17"/>
  <c r="Q102" i="17"/>
  <c r="P102" i="17"/>
  <c r="O102" i="17"/>
  <c r="N102" i="17"/>
  <c r="M102" i="17"/>
  <c r="L102" i="17"/>
  <c r="K102" i="17"/>
  <c r="J102" i="17"/>
  <c r="I102" i="17"/>
  <c r="H102" i="17"/>
  <c r="G102" i="17"/>
  <c r="F102" i="17"/>
  <c r="E102" i="17"/>
  <c r="Q101" i="17"/>
  <c r="P101" i="17"/>
  <c r="O101" i="17"/>
  <c r="N101" i="17"/>
  <c r="M101" i="17"/>
  <c r="L101" i="17"/>
  <c r="K101" i="17"/>
  <c r="J101" i="17"/>
  <c r="I101" i="17"/>
  <c r="H101" i="17"/>
  <c r="G101" i="17"/>
  <c r="F101" i="17"/>
  <c r="E101" i="17"/>
  <c r="Q100" i="17"/>
  <c r="P100" i="17"/>
  <c r="O100" i="17"/>
  <c r="N100" i="17"/>
  <c r="M100" i="17"/>
  <c r="L100" i="17"/>
  <c r="K100" i="17"/>
  <c r="J100" i="17"/>
  <c r="I100" i="17"/>
  <c r="H100" i="17"/>
  <c r="G100" i="17"/>
  <c r="F100" i="17"/>
  <c r="E100" i="17"/>
  <c r="Q99" i="17"/>
  <c r="P99" i="17"/>
  <c r="O99" i="17"/>
  <c r="N99" i="17"/>
  <c r="M99" i="17"/>
  <c r="L99" i="17"/>
  <c r="K99" i="17"/>
  <c r="J99" i="17"/>
  <c r="I99" i="17"/>
  <c r="H99" i="17"/>
  <c r="G99" i="17"/>
  <c r="F99" i="17"/>
  <c r="E99" i="17"/>
  <c r="Q98" i="17"/>
  <c r="P98" i="17"/>
  <c r="O98" i="17"/>
  <c r="N98" i="17"/>
  <c r="M98" i="17"/>
  <c r="L98" i="17"/>
  <c r="K98" i="17"/>
  <c r="J98" i="17"/>
  <c r="I98" i="17"/>
  <c r="H98" i="17"/>
  <c r="G98" i="17"/>
  <c r="F98" i="17"/>
  <c r="E98" i="17"/>
  <c r="Q97" i="17"/>
  <c r="P97" i="17"/>
  <c r="O97" i="17"/>
  <c r="N97" i="17"/>
  <c r="M97" i="17"/>
  <c r="L97" i="17"/>
  <c r="K97" i="17"/>
  <c r="J97" i="17"/>
  <c r="I97" i="17"/>
  <c r="H97" i="17"/>
  <c r="G97" i="17"/>
  <c r="F97" i="17"/>
  <c r="E97" i="17"/>
  <c r="Q96" i="17"/>
  <c r="P96" i="17"/>
  <c r="O96" i="17"/>
  <c r="N96" i="17"/>
  <c r="M96" i="17"/>
  <c r="L96" i="17"/>
  <c r="K96" i="17"/>
  <c r="J96" i="17"/>
  <c r="I96" i="17"/>
  <c r="H96" i="17"/>
  <c r="G96" i="17"/>
  <c r="F96" i="17"/>
  <c r="E96" i="17"/>
  <c r="Q95" i="17"/>
  <c r="P95" i="17"/>
  <c r="N95" i="17"/>
  <c r="G95" i="17"/>
  <c r="F95" i="17"/>
  <c r="Q94" i="17"/>
  <c r="P94" i="17"/>
  <c r="O94" i="17"/>
  <c r="N94" i="17"/>
  <c r="M94" i="17"/>
  <c r="J94" i="17"/>
  <c r="I94" i="17"/>
  <c r="H94" i="17"/>
  <c r="G94" i="17"/>
  <c r="F94" i="17"/>
  <c r="Q93" i="17"/>
  <c r="P93" i="17"/>
  <c r="O93" i="17"/>
  <c r="N93" i="17"/>
  <c r="M93" i="17"/>
  <c r="J93" i="17"/>
  <c r="I93" i="17"/>
  <c r="H93" i="17"/>
  <c r="G93" i="17"/>
  <c r="F93" i="17"/>
  <c r="Q92" i="17"/>
  <c r="P92" i="17"/>
  <c r="F92" i="17"/>
  <c r="Q91" i="17"/>
  <c r="P91" i="17"/>
  <c r="O91" i="17"/>
  <c r="N91" i="17"/>
  <c r="M91" i="17"/>
  <c r="J91" i="17"/>
  <c r="I91" i="17"/>
  <c r="H91" i="17"/>
  <c r="G91" i="17"/>
  <c r="F91" i="17"/>
  <c r="Q89" i="17"/>
  <c r="P89" i="17"/>
  <c r="O89" i="17"/>
  <c r="N89" i="17"/>
  <c r="M89" i="17"/>
  <c r="J89" i="17"/>
  <c r="I89" i="17"/>
  <c r="H89" i="17"/>
  <c r="G89" i="17"/>
  <c r="F89" i="17"/>
  <c r="Q88" i="17"/>
  <c r="P88" i="17"/>
  <c r="G88" i="17"/>
  <c r="F88" i="17"/>
  <c r="Q87" i="17"/>
  <c r="P87" i="17"/>
  <c r="O87" i="17"/>
  <c r="N87" i="17"/>
  <c r="M87" i="17"/>
  <c r="J87" i="17"/>
  <c r="I87" i="17"/>
  <c r="H87" i="17"/>
  <c r="G87" i="17"/>
  <c r="F87" i="17"/>
  <c r="Q86" i="17"/>
  <c r="P86" i="17"/>
  <c r="O86" i="17"/>
  <c r="N86" i="17"/>
  <c r="M86" i="17"/>
  <c r="J86" i="17"/>
  <c r="I86" i="17"/>
  <c r="H86" i="17"/>
  <c r="G86" i="17"/>
  <c r="F86" i="17"/>
  <c r="Q85" i="17"/>
  <c r="P85" i="17"/>
  <c r="O85" i="17"/>
  <c r="N85" i="17"/>
  <c r="M85" i="17"/>
  <c r="J85" i="17"/>
  <c r="I85" i="17"/>
  <c r="H85" i="17"/>
  <c r="G85" i="17"/>
  <c r="F85" i="17"/>
  <c r="Q83" i="17"/>
  <c r="P83" i="17"/>
  <c r="O83" i="17"/>
  <c r="N83" i="17"/>
  <c r="M83" i="17"/>
  <c r="J83" i="17"/>
  <c r="I83" i="17"/>
  <c r="H83" i="17"/>
  <c r="G83" i="17"/>
  <c r="F83" i="17"/>
  <c r="N82" i="17"/>
  <c r="G82" i="17"/>
  <c r="F82" i="17"/>
  <c r="Q81" i="17"/>
  <c r="P81" i="17"/>
  <c r="O81" i="17"/>
  <c r="N81" i="17"/>
  <c r="M81" i="17"/>
  <c r="J81" i="17"/>
  <c r="G81" i="17"/>
  <c r="F81" i="17"/>
  <c r="E81" i="17"/>
  <c r="G80" i="17"/>
  <c r="R80" i="17" s="1"/>
  <c r="J1729" i="3" s="1"/>
  <c r="F80" i="17"/>
  <c r="Q79" i="17"/>
  <c r="P79" i="17"/>
  <c r="O79" i="17"/>
  <c r="N79" i="17"/>
  <c r="M79" i="17"/>
  <c r="J79" i="17"/>
  <c r="G79" i="17"/>
  <c r="F79" i="17"/>
  <c r="Q78" i="17"/>
  <c r="P78" i="17"/>
  <c r="O78" i="17"/>
  <c r="N78" i="17"/>
  <c r="M78" i="17"/>
  <c r="J78" i="17"/>
  <c r="G78" i="17"/>
  <c r="F78" i="17"/>
  <c r="Q77" i="17"/>
  <c r="P77" i="17"/>
  <c r="O77" i="17"/>
  <c r="N77" i="17"/>
  <c r="M77" i="17"/>
  <c r="J77" i="17"/>
  <c r="G77" i="17"/>
  <c r="F77" i="17"/>
  <c r="Q76" i="17"/>
  <c r="O76" i="17"/>
  <c r="N76" i="17"/>
  <c r="M76" i="17"/>
  <c r="J76" i="17"/>
  <c r="G76" i="17"/>
  <c r="F76" i="17"/>
  <c r="Q75" i="17"/>
  <c r="O75" i="17"/>
  <c r="N75" i="17"/>
  <c r="M75" i="17"/>
  <c r="J75" i="17"/>
  <c r="I75" i="17"/>
  <c r="H75" i="17"/>
  <c r="G75" i="17"/>
  <c r="F75" i="17"/>
  <c r="Q74" i="17"/>
  <c r="P74" i="17"/>
  <c r="N74" i="17"/>
  <c r="J74" i="17"/>
  <c r="G74" i="17"/>
  <c r="F74" i="17"/>
  <c r="Q73" i="17"/>
  <c r="P73" i="17"/>
  <c r="O73" i="17"/>
  <c r="N73" i="17"/>
  <c r="H73" i="17"/>
  <c r="G73" i="17"/>
  <c r="F73" i="17"/>
  <c r="Q72" i="17"/>
  <c r="P72" i="17"/>
  <c r="O72" i="17"/>
  <c r="N72" i="17"/>
  <c r="M72" i="17"/>
  <c r="J72" i="17"/>
  <c r="I72" i="17"/>
  <c r="H72" i="17"/>
  <c r="G72" i="17"/>
  <c r="F72" i="17"/>
  <c r="Q71" i="17"/>
  <c r="P71" i="17"/>
  <c r="O71" i="17"/>
  <c r="N71" i="17"/>
  <c r="M71" i="17"/>
  <c r="J71" i="17"/>
  <c r="I71" i="17"/>
  <c r="H71" i="17"/>
  <c r="G71" i="17"/>
  <c r="F71" i="17"/>
  <c r="Q70" i="17"/>
  <c r="P70" i="17"/>
  <c r="N70" i="17"/>
  <c r="G70" i="17"/>
  <c r="F70" i="17"/>
  <c r="Q69" i="17"/>
  <c r="P69" i="17"/>
  <c r="O69" i="17"/>
  <c r="N69" i="17"/>
  <c r="M69" i="17"/>
  <c r="J69" i="17"/>
  <c r="I69" i="17"/>
  <c r="H69" i="17"/>
  <c r="G69" i="17"/>
  <c r="F69" i="17"/>
  <c r="Q68" i="17"/>
  <c r="P68" i="17"/>
  <c r="O68" i="17"/>
  <c r="N68" i="17"/>
  <c r="M68" i="17"/>
  <c r="J68" i="17"/>
  <c r="I68" i="17"/>
  <c r="H68" i="17"/>
  <c r="G68" i="17"/>
  <c r="F68" i="17"/>
  <c r="Q67" i="17"/>
  <c r="P67" i="17"/>
  <c r="O67" i="17"/>
  <c r="N67" i="17"/>
  <c r="M67" i="17"/>
  <c r="J67" i="17"/>
  <c r="I67" i="17"/>
  <c r="H67" i="17"/>
  <c r="G67" i="17"/>
  <c r="F67" i="17"/>
  <c r="R66" i="17"/>
  <c r="J1350" i="3" s="1"/>
  <c r="R65" i="17"/>
  <c r="J1336" i="3" s="1"/>
  <c r="R64" i="17"/>
  <c r="J1327" i="3" s="1"/>
  <c r="P63" i="17"/>
  <c r="R63" i="17" s="1"/>
  <c r="J1307" i="3" s="1"/>
  <c r="P62" i="17"/>
  <c r="G62" i="17"/>
  <c r="F62" i="17"/>
  <c r="G61" i="17"/>
  <c r="F61" i="17"/>
  <c r="G60" i="17"/>
  <c r="F60" i="17"/>
  <c r="R60" i="17" s="1"/>
  <c r="P59" i="17"/>
  <c r="G59" i="17"/>
  <c r="F59" i="17"/>
  <c r="G58" i="17"/>
  <c r="F58" i="17"/>
  <c r="G57" i="17"/>
  <c r="F57" i="17"/>
  <c r="G56" i="17"/>
  <c r="F56" i="17"/>
  <c r="G55" i="17"/>
  <c r="F55" i="17"/>
  <c r="G54" i="17"/>
  <c r="F54" i="17"/>
  <c r="G53" i="17"/>
  <c r="F53" i="17"/>
  <c r="P52" i="17"/>
  <c r="G52" i="17"/>
  <c r="F52" i="17"/>
  <c r="G51" i="17"/>
  <c r="F51" i="17"/>
  <c r="G50" i="17"/>
  <c r="F50" i="17"/>
  <c r="G49" i="17"/>
  <c r="F49" i="17"/>
  <c r="P48" i="17"/>
  <c r="G48" i="17"/>
  <c r="F48" i="17"/>
  <c r="P47" i="17"/>
  <c r="G47" i="17"/>
  <c r="F47" i="17"/>
  <c r="G46" i="17"/>
  <c r="F46" i="17"/>
  <c r="R46" i="17" s="1"/>
  <c r="J1018" i="3" s="1"/>
  <c r="G45" i="17"/>
  <c r="F45" i="17"/>
  <c r="G44" i="17"/>
  <c r="F44" i="17"/>
  <c r="G43" i="17"/>
  <c r="F43" i="17"/>
  <c r="G42" i="17"/>
  <c r="F42" i="17"/>
  <c r="G41" i="17"/>
  <c r="F41" i="17"/>
  <c r="G40" i="17"/>
  <c r="F40" i="17"/>
  <c r="R40" i="17" s="1"/>
  <c r="J933" i="3" s="1"/>
  <c r="G39" i="17"/>
  <c r="F39" i="17"/>
  <c r="G38" i="17"/>
  <c r="F38" i="17"/>
  <c r="G37" i="17"/>
  <c r="F37" i="17"/>
  <c r="R37" i="17" s="1"/>
  <c r="J891" i="3" s="1"/>
  <c r="G36" i="17"/>
  <c r="F36" i="17"/>
  <c r="G35" i="17"/>
  <c r="F35" i="17"/>
  <c r="G34" i="17"/>
  <c r="F34" i="17"/>
  <c r="G33" i="17"/>
  <c r="F33" i="17"/>
  <c r="G32" i="17"/>
  <c r="F32" i="17"/>
  <c r="G31" i="17"/>
  <c r="F31" i="17"/>
  <c r="G30" i="17"/>
  <c r="F30" i="17"/>
  <c r="G29" i="17"/>
  <c r="F29" i="17"/>
  <c r="R29" i="17" s="1"/>
  <c r="J789" i="3" s="1"/>
  <c r="G28" i="17"/>
  <c r="F28" i="17"/>
  <c r="F27" i="17"/>
  <c r="R27" i="17" s="1"/>
  <c r="J765" i="3" s="1"/>
  <c r="P26" i="17"/>
  <c r="G26" i="17"/>
  <c r="F26" i="17"/>
  <c r="Q25" i="17"/>
  <c r="P25" i="17"/>
  <c r="N25" i="17"/>
  <c r="L25" i="17"/>
  <c r="G25" i="17"/>
  <c r="F25" i="17"/>
  <c r="F24" i="17"/>
  <c r="R24" i="17" s="1"/>
  <c r="J631" i="3" s="1"/>
  <c r="F23" i="17"/>
  <c r="R23" i="17" s="1"/>
  <c r="F22" i="17"/>
  <c r="R22" i="17" s="1"/>
  <c r="Q21" i="17"/>
  <c r="P21" i="17"/>
  <c r="O21" i="17"/>
  <c r="N21" i="17"/>
  <c r="J21" i="17"/>
  <c r="F21" i="17"/>
  <c r="Q20" i="17"/>
  <c r="P20" i="17"/>
  <c r="F20" i="17"/>
  <c r="F19" i="17"/>
  <c r="R19" i="17" s="1"/>
  <c r="J585" i="3" s="1"/>
  <c r="Q18" i="17"/>
  <c r="P18" i="17"/>
  <c r="F18" i="17"/>
  <c r="F17" i="17"/>
  <c r="R17" i="17" s="1"/>
  <c r="J524" i="3" s="1"/>
  <c r="Q16" i="17"/>
  <c r="P16" i="17"/>
  <c r="G16" i="17"/>
  <c r="F16" i="17"/>
  <c r="Q15" i="17"/>
  <c r="P15" i="17"/>
  <c r="O15" i="17"/>
  <c r="G15" i="17"/>
  <c r="F15" i="17"/>
  <c r="E15" i="17"/>
  <c r="Q14" i="17"/>
  <c r="P14" i="17"/>
  <c r="O14" i="17"/>
  <c r="N14" i="17"/>
  <c r="M14" i="17"/>
  <c r="L14" i="17"/>
  <c r="K14" i="17"/>
  <c r="J14" i="17"/>
  <c r="I14" i="17"/>
  <c r="G14" i="17"/>
  <c r="F14" i="17"/>
  <c r="E14" i="17"/>
  <c r="Q13" i="17"/>
  <c r="P13" i="17"/>
  <c r="N13" i="17"/>
  <c r="M13" i="17"/>
  <c r="J13" i="17"/>
  <c r="I13" i="17"/>
  <c r="H13" i="17"/>
  <c r="G13" i="17"/>
  <c r="F13" i="17"/>
  <c r="E13" i="17"/>
  <c r="Q12" i="17"/>
  <c r="P12" i="17"/>
  <c r="O12" i="17"/>
  <c r="N12" i="17"/>
  <c r="M12" i="17"/>
  <c r="L12" i="17"/>
  <c r="K12" i="17"/>
  <c r="J12" i="17"/>
  <c r="I12" i="17"/>
  <c r="H12" i="17"/>
  <c r="G12" i="17"/>
  <c r="F12" i="17"/>
  <c r="E12" i="17"/>
  <c r="Q11" i="17"/>
  <c r="P11" i="17"/>
  <c r="O11" i="17"/>
  <c r="N11" i="17"/>
  <c r="M11" i="17"/>
  <c r="L11" i="17"/>
  <c r="K11" i="17"/>
  <c r="J11" i="17"/>
  <c r="I11" i="17"/>
  <c r="H11" i="17"/>
  <c r="G11" i="17"/>
  <c r="F11" i="17"/>
  <c r="E11" i="17"/>
  <c r="Q10" i="17"/>
  <c r="P10" i="17"/>
  <c r="O10" i="17"/>
  <c r="N10" i="17"/>
  <c r="M10" i="17"/>
  <c r="L10" i="17"/>
  <c r="K10" i="17"/>
  <c r="J10" i="17"/>
  <c r="I10" i="17"/>
  <c r="H10" i="17"/>
  <c r="G10" i="17"/>
  <c r="F10" i="17"/>
  <c r="E10" i="17"/>
  <c r="F9" i="17"/>
  <c r="R9" i="17" s="1"/>
  <c r="J311" i="3" s="1"/>
  <c r="F8" i="17"/>
  <c r="R8" i="17" s="1"/>
  <c r="J264" i="3" s="1"/>
  <c r="F7" i="17"/>
  <c r="R7" i="17" s="1"/>
  <c r="F6" i="17"/>
  <c r="R6" i="17" s="1"/>
  <c r="J233" i="3" s="1"/>
  <c r="F5" i="17"/>
  <c r="R5" i="17" s="1"/>
  <c r="J223" i="3" s="1"/>
  <c r="F4" i="17"/>
  <c r="R4" i="17" s="1"/>
  <c r="J200" i="3" s="1"/>
  <c r="K704" i="3"/>
  <c r="R226" i="17" l="1"/>
  <c r="J4113" i="3" s="1"/>
  <c r="R216" i="17"/>
  <c r="J3978" i="3" s="1"/>
  <c r="R219" i="17"/>
  <c r="J4019" i="3" s="1"/>
  <c r="R251" i="17"/>
  <c r="J4483" i="3" s="1"/>
  <c r="R50" i="17"/>
  <c r="J1104" i="3" s="1"/>
  <c r="R61" i="17"/>
  <c r="J1269" i="3" s="1"/>
  <c r="R154" i="17"/>
  <c r="J3119" i="3" s="1"/>
  <c r="R175" i="17"/>
  <c r="J3413" i="3" s="1"/>
  <c r="R44" i="17"/>
  <c r="R55" i="17"/>
  <c r="J1194" i="3" s="1"/>
  <c r="R203" i="17"/>
  <c r="R28" i="17"/>
  <c r="J779" i="3" s="1"/>
  <c r="R32" i="17"/>
  <c r="J827" i="3" s="1"/>
  <c r="R43" i="17"/>
  <c r="J989" i="3" s="1"/>
  <c r="R249" i="17"/>
  <c r="R51" i="17"/>
  <c r="J1125" i="3" s="1"/>
  <c r="R117" i="17"/>
  <c r="J2524" i="3" s="1"/>
  <c r="R217" i="17"/>
  <c r="J3988" i="3" s="1"/>
  <c r="R212" i="17"/>
  <c r="J3870" i="3" s="1"/>
  <c r="R30" i="17"/>
  <c r="J802" i="3" s="1"/>
  <c r="R34" i="17"/>
  <c r="J852" i="3" s="1"/>
  <c r="R250" i="17"/>
  <c r="J4470" i="3" s="1"/>
  <c r="R170" i="17"/>
  <c r="J3353" i="3" s="1"/>
  <c r="R218" i="17"/>
  <c r="J3998" i="3" s="1"/>
  <c r="R256" i="17"/>
  <c r="J4556" i="3" s="1"/>
  <c r="R264" i="17"/>
  <c r="J4696" i="3" s="1"/>
  <c r="R215" i="17"/>
  <c r="J3970" i="3" s="1"/>
  <c r="R257" i="17"/>
  <c r="J4581" i="3" s="1"/>
  <c r="R36" i="17"/>
  <c r="J883" i="3" s="1"/>
  <c r="R70" i="17"/>
  <c r="J1476" i="3" s="1"/>
  <c r="R72" i="17"/>
  <c r="J1514" i="3" s="1"/>
  <c r="R74" i="17"/>
  <c r="J1552" i="3" s="1"/>
  <c r="R144" i="17"/>
  <c r="J2943" i="3" s="1"/>
  <c r="R153" i="17"/>
  <c r="J3109" i="3" s="1"/>
  <c r="R181" i="17"/>
  <c r="J3483" i="3" s="1"/>
  <c r="R192" i="17"/>
  <c r="J3622" i="3" s="1"/>
  <c r="R245" i="17"/>
  <c r="J4397" i="3" s="1"/>
  <c r="R270" i="17"/>
  <c r="J4765" i="3" s="1"/>
  <c r="R94" i="17"/>
  <c r="J1955" i="3" s="1"/>
  <c r="R131" i="17"/>
  <c r="J2761" i="3" s="1"/>
  <c r="R182" i="17"/>
  <c r="J3498" i="3" s="1"/>
  <c r="R206" i="17"/>
  <c r="J3784" i="3" s="1"/>
  <c r="R213" i="17"/>
  <c r="J3908" i="3" s="1"/>
  <c r="R228" i="17"/>
  <c r="R238" i="17"/>
  <c r="R240" i="17"/>
  <c r="J4316" i="3" s="1"/>
  <c r="R41" i="17"/>
  <c r="J951" i="3" s="1"/>
  <c r="R82" i="17"/>
  <c r="J1786" i="3" s="1"/>
  <c r="R143" i="17"/>
  <c r="J2933" i="3" s="1"/>
  <c r="R211" i="17"/>
  <c r="J3855" i="3" s="1"/>
  <c r="R243" i="17"/>
  <c r="J4361" i="3" s="1"/>
  <c r="R258" i="17"/>
  <c r="J4612" i="3" s="1"/>
  <c r="R263" i="17"/>
  <c r="J4686" i="3" s="1"/>
  <c r="R12" i="17"/>
  <c r="J336" i="3" s="1"/>
  <c r="R194" i="17"/>
  <c r="J3641" i="3" s="1"/>
  <c r="R209" i="17"/>
  <c r="J3835" i="3" s="1"/>
  <c r="R105" i="17"/>
  <c r="J2200" i="3" s="1"/>
  <c r="R234" i="17"/>
  <c r="J4190" i="3" s="1"/>
  <c r="R239" i="17"/>
  <c r="J4298" i="3" s="1"/>
  <c r="R269" i="17"/>
  <c r="J4755" i="3" s="1"/>
  <c r="R18" i="17"/>
  <c r="J577" i="3" s="1"/>
  <c r="R109" i="17"/>
  <c r="R149" i="17"/>
  <c r="J3033" i="3" s="1"/>
  <c r="R183" i="17"/>
  <c r="J3509" i="3" s="1"/>
  <c r="R214" i="17"/>
  <c r="J3921" i="3" s="1"/>
  <c r="R31" i="17"/>
  <c r="J815" i="3" s="1"/>
  <c r="R35" i="17"/>
  <c r="J864" i="3" s="1"/>
  <c r="R53" i="17"/>
  <c r="J1164" i="3" s="1"/>
  <c r="R102" i="17"/>
  <c r="J2118" i="3" s="1"/>
  <c r="R138" i="17"/>
  <c r="R158" i="17"/>
  <c r="J3171" i="3" s="1"/>
  <c r="R163" i="17"/>
  <c r="J3245" i="3" s="1"/>
  <c r="R195" i="17"/>
  <c r="J3649" i="3" s="1"/>
  <c r="R231" i="17"/>
  <c r="R247" i="17"/>
  <c r="J4449" i="3" s="1"/>
  <c r="R14" i="17"/>
  <c r="J393" i="3" s="1"/>
  <c r="R26" i="17"/>
  <c r="J712" i="3" s="1"/>
  <c r="R33" i="17"/>
  <c r="J836" i="3" s="1"/>
  <c r="R47" i="17"/>
  <c r="J1042" i="3" s="1"/>
  <c r="R57" i="17"/>
  <c r="J1222" i="3" s="1"/>
  <c r="R69" i="17"/>
  <c r="J1454" i="3" s="1"/>
  <c r="R75" i="17"/>
  <c r="J1635" i="3" s="1"/>
  <c r="R77" i="17"/>
  <c r="J1674" i="3" s="1"/>
  <c r="R78" i="17"/>
  <c r="J1688" i="3" s="1"/>
  <c r="R79" i="17"/>
  <c r="J1711" i="3" s="1"/>
  <c r="R83" i="17"/>
  <c r="J1803" i="3" s="1"/>
  <c r="R88" i="17"/>
  <c r="J1866" i="3" s="1"/>
  <c r="R97" i="17"/>
  <c r="J1997" i="3" s="1"/>
  <c r="R106" i="17"/>
  <c r="J2229" i="3" s="1"/>
  <c r="R114" i="17"/>
  <c r="J2455" i="3" s="1"/>
  <c r="R115" i="17"/>
  <c r="J2496" i="3" s="1"/>
  <c r="R119" i="17"/>
  <c r="J2551" i="3" s="1"/>
  <c r="R123" i="17"/>
  <c r="J2614" i="3" s="1"/>
  <c r="R135" i="17"/>
  <c r="J2801" i="3" s="1"/>
  <c r="R139" i="17"/>
  <c r="J2894" i="3" s="1"/>
  <c r="R157" i="17"/>
  <c r="J3155" i="3" s="1"/>
  <c r="R177" i="17"/>
  <c r="J3433" i="3" s="1"/>
  <c r="R185" i="17"/>
  <c r="J3536" i="3" s="1"/>
  <c r="R193" i="17"/>
  <c r="J3633" i="3" s="1"/>
  <c r="R205" i="17"/>
  <c r="J3764" i="3" s="1"/>
  <c r="R221" i="17"/>
  <c r="J4045" i="3" s="1"/>
  <c r="R223" i="17"/>
  <c r="J4064" i="3" s="1"/>
  <c r="R230" i="17"/>
  <c r="J4148" i="3" s="1"/>
  <c r="R237" i="17"/>
  <c r="J4251" i="3" s="1"/>
  <c r="R99" i="17"/>
  <c r="J2031" i="3" s="1"/>
  <c r="R116" i="17"/>
  <c r="J2516" i="3" s="1"/>
  <c r="R118" i="17"/>
  <c r="J2539" i="3" s="1"/>
  <c r="R125" i="17"/>
  <c r="J2635" i="3" s="1"/>
  <c r="R146" i="17"/>
  <c r="J2992" i="3" s="1"/>
  <c r="R151" i="17"/>
  <c r="J3055" i="3" s="1"/>
  <c r="R198" i="17"/>
  <c r="J3671" i="3" s="1"/>
  <c r="R235" i="17"/>
  <c r="J4228" i="3" s="1"/>
  <c r="R248" i="17"/>
  <c r="J4458" i="3" s="1"/>
  <c r="R76" i="17"/>
  <c r="J1660" i="3" s="1"/>
  <c r="R16" i="17"/>
  <c r="J502" i="3" s="1"/>
  <c r="R20" i="17"/>
  <c r="J594" i="3" s="1"/>
  <c r="R38" i="17"/>
  <c r="J900" i="3" s="1"/>
  <c r="R45" i="17"/>
  <c r="J997" i="3" s="1"/>
  <c r="R48" i="17"/>
  <c r="J1067" i="3" s="1"/>
  <c r="R58" i="17"/>
  <c r="J1239" i="3" s="1"/>
  <c r="R67" i="17"/>
  <c r="J1371" i="3" s="1"/>
  <c r="R81" i="17"/>
  <c r="J1766" i="3" s="1"/>
  <c r="R85" i="17"/>
  <c r="J1834" i="3" s="1"/>
  <c r="R86" i="17"/>
  <c r="J1845" i="3" s="1"/>
  <c r="R89" i="17"/>
  <c r="J1880" i="3" s="1"/>
  <c r="R96" i="17"/>
  <c r="J1975" i="3" s="1"/>
  <c r="R104" i="17"/>
  <c r="J2169" i="3" s="1"/>
  <c r="R107" i="17"/>
  <c r="J2258" i="3" s="1"/>
  <c r="R111" i="17"/>
  <c r="J2392" i="3" s="1"/>
  <c r="R120" i="17"/>
  <c r="J2563" i="3" s="1"/>
  <c r="R122" i="17"/>
  <c r="J2604" i="3" s="1"/>
  <c r="R136" i="17"/>
  <c r="J2837" i="3" s="1"/>
  <c r="R156" i="17"/>
  <c r="J3145" i="3" s="1"/>
  <c r="R159" i="17"/>
  <c r="J3191" i="3" s="1"/>
  <c r="R166" i="17"/>
  <c r="J3305" i="3" s="1"/>
  <c r="R171" i="17"/>
  <c r="J3363" i="3" s="1"/>
  <c r="R176" i="17"/>
  <c r="J3423" i="3" s="1"/>
  <c r="R178" i="17"/>
  <c r="J3443" i="3" s="1"/>
  <c r="R207" i="17"/>
  <c r="J3800" i="3" s="1"/>
  <c r="R224" i="17"/>
  <c r="J4074" i="3" s="1"/>
  <c r="R236" i="17"/>
  <c r="R261" i="17"/>
  <c r="J4670" i="3" s="1"/>
  <c r="R25" i="17"/>
  <c r="J700" i="3" s="1"/>
  <c r="R54" i="17"/>
  <c r="J1173" i="3" s="1"/>
  <c r="R11" i="17"/>
  <c r="J326" i="3" s="1"/>
  <c r="R15" i="17"/>
  <c r="J489" i="3" s="1"/>
  <c r="R42" i="17"/>
  <c r="J966" i="3" s="1"/>
  <c r="R52" i="17"/>
  <c r="J1142" i="3" s="1"/>
  <c r="R62" i="17"/>
  <c r="J1278" i="3" s="1"/>
  <c r="R73" i="17"/>
  <c r="J1530" i="3" s="1"/>
  <c r="R93" i="17"/>
  <c r="J1942" i="3" s="1"/>
  <c r="R101" i="17"/>
  <c r="J2097" i="3" s="1"/>
  <c r="R148" i="17"/>
  <c r="J3022" i="3" s="1"/>
  <c r="R161" i="17"/>
  <c r="J3216" i="3" s="1"/>
  <c r="R191" i="17"/>
  <c r="J3599" i="3" s="1"/>
  <c r="R200" i="17"/>
  <c r="R208" i="17"/>
  <c r="J3815" i="3" s="1"/>
  <c r="R210" i="17"/>
  <c r="J3843" i="3" s="1"/>
  <c r="R222" i="17"/>
  <c r="J4053" i="3" s="1"/>
  <c r="R227" i="17"/>
  <c r="J4128" i="3" s="1"/>
  <c r="R233" i="17"/>
  <c r="R246" i="17"/>
  <c r="J4418" i="3" s="1"/>
  <c r="R260" i="17"/>
  <c r="J4648" i="3" s="1"/>
  <c r="R265" i="17"/>
  <c r="J4717" i="3" s="1"/>
  <c r="R87" i="17"/>
  <c r="J1856" i="3" s="1"/>
  <c r="R142" i="17"/>
  <c r="R152" i="17"/>
  <c r="J3089" i="3" s="1"/>
  <c r="J3734" i="3"/>
  <c r="J3726" i="3"/>
  <c r="R241" i="17"/>
  <c r="J4329" i="3" s="1"/>
  <c r="R68" i="17"/>
  <c r="J1425" i="3" s="1"/>
  <c r="R98" i="17"/>
  <c r="J2019" i="3" s="1"/>
  <c r="R126" i="17"/>
  <c r="J2675" i="3" s="1"/>
  <c r="R127" i="17"/>
  <c r="J2701" i="3" s="1"/>
  <c r="R155" i="17"/>
  <c r="J3131" i="3" s="1"/>
  <c r="R180" i="17"/>
  <c r="J3463" i="3" s="1"/>
  <c r="R13" i="17"/>
  <c r="J362" i="3" s="1"/>
  <c r="R21" i="17"/>
  <c r="J603" i="3" s="1"/>
  <c r="R39" i="17"/>
  <c r="R49" i="17"/>
  <c r="J1090" i="3" s="1"/>
  <c r="R56" i="17"/>
  <c r="J1203" i="3" s="1"/>
  <c r="R59" i="17"/>
  <c r="J1261" i="3" s="1"/>
  <c r="R71" i="17"/>
  <c r="J1495" i="3" s="1"/>
  <c r="R91" i="17"/>
  <c r="J1906" i="3" s="1"/>
  <c r="R95" i="17"/>
  <c r="J1964" i="3" s="1"/>
  <c r="R103" i="17"/>
  <c r="J2143" i="3" s="1"/>
  <c r="R112" i="17"/>
  <c r="J2413" i="3" s="1"/>
  <c r="R121" i="17"/>
  <c r="J2584" i="3" s="1"/>
  <c r="R147" i="17"/>
  <c r="J3012" i="3" s="1"/>
  <c r="R179" i="17"/>
  <c r="J3453" i="3" s="1"/>
  <c r="R186" i="17"/>
  <c r="J3544" i="3" s="1"/>
  <c r="R201" i="17"/>
  <c r="J3709" i="3" s="1"/>
  <c r="R204" i="17"/>
  <c r="R225" i="17"/>
  <c r="J4095" i="3" s="1"/>
  <c r="R10" i="17"/>
  <c r="R92" i="17"/>
  <c r="J1918" i="3" s="1"/>
  <c r="R100" i="17"/>
  <c r="J2068" i="3" s="1"/>
  <c r="R113" i="17"/>
  <c r="J2424" i="3" s="1"/>
  <c r="R124" i="17"/>
  <c r="J2625" i="3" s="1"/>
  <c r="R137" i="17"/>
  <c r="J2869" i="3" s="1"/>
  <c r="R140" i="17"/>
  <c r="J2904" i="3" s="1"/>
  <c r="R145" i="17"/>
  <c r="J2972" i="3" s="1"/>
  <c r="R160" i="17"/>
  <c r="J3199" i="3" s="1"/>
  <c r="R165" i="17"/>
  <c r="J3280" i="3" s="1"/>
  <c r="R190" i="17"/>
  <c r="J3586" i="3" s="1"/>
  <c r="R220" i="17"/>
  <c r="J4027" i="3" s="1"/>
  <c r="R229" i="17"/>
  <c r="K89" i="3" l="1"/>
  <c r="K52" i="3"/>
  <c r="K53" i="3"/>
  <c r="K54" i="3"/>
  <c r="K55" i="3"/>
  <c r="K56" i="3"/>
  <c r="K57" i="3"/>
  <c r="K58" i="3"/>
  <c r="K59" i="3"/>
  <c r="K60" i="3"/>
  <c r="K61" i="3"/>
  <c r="K62" i="3"/>
  <c r="K63" i="3"/>
  <c r="K64" i="3"/>
  <c r="K65" i="3"/>
  <c r="K51" i="3"/>
  <c r="J66" i="3"/>
  <c r="J46" i="3"/>
  <c r="K45" i="3"/>
  <c r="K44" i="3"/>
  <c r="K43" i="3"/>
  <c r="K42" i="3"/>
  <c r="K41" i="3"/>
  <c r="K40" i="3"/>
  <c r="K39" i="3"/>
  <c r="K38" i="3"/>
  <c r="K37" i="3"/>
  <c r="K36" i="3"/>
  <c r="K35" i="3"/>
  <c r="K34" i="3"/>
  <c r="K33" i="3"/>
  <c r="J25" i="3"/>
  <c r="K24" i="3"/>
  <c r="K23" i="3"/>
  <c r="K22" i="3"/>
  <c r="K21" i="3"/>
  <c r="K20" i="3"/>
  <c r="K19" i="3"/>
  <c r="K18" i="3"/>
  <c r="K17" i="3"/>
  <c r="K16" i="3"/>
  <c r="K15" i="3"/>
  <c r="K14" i="3"/>
  <c r="K13" i="3"/>
  <c r="K12" i="3"/>
  <c r="K11" i="3"/>
  <c r="K10" i="3"/>
  <c r="K66" i="3" l="1"/>
  <c r="K67" i="3" s="1"/>
  <c r="K68" i="3" s="1"/>
  <c r="K25" i="3"/>
  <c r="K26" i="3" s="1"/>
  <c r="K70" i="3" s="1"/>
  <c r="K46" i="3"/>
  <c r="K47" i="3" s="1"/>
  <c r="K69" i="3" s="1"/>
  <c r="K71" i="3" l="1"/>
  <c r="G3681" i="3" l="1"/>
  <c r="K3381" i="3"/>
  <c r="G709" i="3" l="1"/>
  <c r="G708" i="3"/>
  <c r="G707" i="3"/>
  <c r="G706" i="3"/>
  <c r="G705" i="3"/>
  <c r="G704" i="3"/>
  <c r="G1275" i="3"/>
  <c r="G1273" i="3"/>
  <c r="K709" i="3" l="1"/>
  <c r="K705" i="3"/>
  <c r="K708" i="3"/>
  <c r="K707" i="3"/>
  <c r="K706" i="3"/>
  <c r="K294" i="3"/>
  <c r="E627" i="3"/>
  <c r="E626" i="3"/>
  <c r="K710" i="3" l="1"/>
  <c r="K711" i="3" s="1"/>
  <c r="K712" i="3" s="1"/>
  <c r="K4759" i="3"/>
  <c r="K4760" i="3"/>
  <c r="E4705" i="3"/>
  <c r="E4704" i="3"/>
  <c r="E3208" i="3"/>
  <c r="E3207" i="3"/>
  <c r="E3162" i="3"/>
  <c r="E3161" i="3"/>
  <c r="E3080" i="3"/>
  <c r="E3079" i="3"/>
  <c r="E3039" i="3"/>
  <c r="E3038" i="3"/>
  <c r="E4607" i="3"/>
  <c r="E4606" i="3"/>
  <c r="E4605" i="3"/>
  <c r="E4604" i="3"/>
  <c r="E4603" i="3"/>
  <c r="K4570" i="3"/>
  <c r="K4547" i="3"/>
  <c r="E4503" i="3"/>
  <c r="E4501" i="3"/>
  <c r="K4453" i="3"/>
  <c r="K4454" i="3" s="1"/>
  <c r="K4393" i="3" l="1"/>
  <c r="K4375" i="3"/>
  <c r="K4244" i="3" l="1"/>
  <c r="K4245" i="3"/>
  <c r="G4169" i="3"/>
  <c r="G4170" i="3"/>
  <c r="K4170" i="3" s="1"/>
  <c r="E4169" i="3"/>
  <c r="E4144" i="3"/>
  <c r="E4123" i="3"/>
  <c r="E4122" i="3"/>
  <c r="E4121" i="3"/>
  <c r="G4119" i="3"/>
  <c r="E4069" i="3"/>
  <c r="E4068" i="3"/>
  <c r="E4059" i="3"/>
  <c r="E4057" i="3"/>
  <c r="K4014" i="3"/>
  <c r="G3915" i="3"/>
  <c r="K3915" i="3" s="1"/>
  <c r="G3914" i="3"/>
  <c r="K3850" i="3"/>
  <c r="K3849" i="3"/>
  <c r="K3848" i="3"/>
  <c r="K3847" i="3"/>
  <c r="E3743" i="3" l="1"/>
  <c r="G3680" i="3"/>
  <c r="K3680" i="3" s="1"/>
  <c r="K3504" i="3"/>
  <c r="K3387" i="3"/>
  <c r="K3388" i="3"/>
  <c r="K3386" i="3"/>
  <c r="G3337" i="3"/>
  <c r="K3337" i="3" s="1"/>
  <c r="K3239" i="3"/>
  <c r="K3389" i="3" l="1"/>
  <c r="K3392" i="3" s="1"/>
  <c r="K3393" i="3" s="1"/>
  <c r="E2963" i="3"/>
  <c r="E2962" i="3"/>
  <c r="K2851" i="3" l="1"/>
  <c r="E2575" i="3" l="1"/>
  <c r="E2574" i="3"/>
  <c r="E2828" i="3"/>
  <c r="K2828" i="3" s="1"/>
  <c r="E2827" i="3"/>
  <c r="K2827" i="3" s="1"/>
  <c r="E2796" i="3"/>
  <c r="E2795" i="3"/>
  <c r="E2765" i="3"/>
  <c r="G2748" i="3"/>
  <c r="K2748" i="3" s="1"/>
  <c r="E2717" i="3"/>
  <c r="K2694" i="3"/>
  <c r="K2654" i="3"/>
  <c r="K2644" i="3"/>
  <c r="E2486" i="3"/>
  <c r="E2485" i="3"/>
  <c r="E2445" i="3"/>
  <c r="E2444" i="3"/>
  <c r="K2695" i="3" l="1"/>
  <c r="E2336" i="3"/>
  <c r="E2249" i="3"/>
  <c r="E2248" i="3"/>
  <c r="E2247" i="3"/>
  <c r="E2246" i="3"/>
  <c r="E2218" i="3"/>
  <c r="E2217" i="3"/>
  <c r="G2217" i="3" s="1"/>
  <c r="E2220" i="3"/>
  <c r="E2219" i="3"/>
  <c r="E2186" i="3"/>
  <c r="E2185" i="3"/>
  <c r="E2188" i="3"/>
  <c r="E2164" i="3"/>
  <c r="E2163" i="3"/>
  <c r="E2162" i="3"/>
  <c r="E2161" i="3"/>
  <c r="E2160" i="3"/>
  <c r="E2159" i="3"/>
  <c r="E2135" i="3"/>
  <c r="E2134" i="3"/>
  <c r="E2110" i="3"/>
  <c r="E2109" i="3"/>
  <c r="E2108" i="3"/>
  <c r="E2107" i="3"/>
  <c r="E2106" i="3"/>
  <c r="E2105" i="3"/>
  <c r="E2104" i="3"/>
  <c r="E2103" i="3"/>
  <c r="E2112" i="3"/>
  <c r="E2088" i="3"/>
  <c r="E2087" i="3"/>
  <c r="E2086" i="3"/>
  <c r="E2085" i="3"/>
  <c r="E2057" i="3"/>
  <c r="E2056" i="3"/>
  <c r="E2059" i="3"/>
  <c r="E2058" i="3"/>
  <c r="E1948" i="3"/>
  <c r="E1949" i="3"/>
  <c r="E1898" i="3"/>
  <c r="K672" i="3"/>
  <c r="K676" i="3"/>
  <c r="I688" i="3"/>
  <c r="E1345" i="3"/>
  <c r="E1344" i="3"/>
  <c r="I660" i="3"/>
  <c r="I650" i="3"/>
  <c r="E1794" i="3"/>
  <c r="E1793" i="3"/>
  <c r="E1761" i="3"/>
  <c r="E1760" i="3"/>
  <c r="G1503" i="3" l="1"/>
  <c r="I1503" i="3"/>
  <c r="E1443" i="3" l="1"/>
  <c r="E1416" i="3"/>
  <c r="E1445" i="3" s="1"/>
  <c r="E1415" i="3"/>
  <c r="E1444" i="3" s="1"/>
  <c r="K1385" i="3"/>
  <c r="E1274" i="3"/>
  <c r="G1274" i="3" s="1"/>
  <c r="K1273" i="3"/>
  <c r="P785" i="3"/>
  <c r="P784" i="3"/>
  <c r="P782" i="3"/>
  <c r="P781" i="3"/>
  <c r="P780" i="3"/>
  <c r="K1274" i="3" l="1"/>
  <c r="P778" i="3"/>
  <c r="P777" i="3"/>
  <c r="P776" i="3"/>
  <c r="P775" i="3"/>
  <c r="E581" i="3" l="1"/>
  <c r="K581" i="3" s="1"/>
  <c r="E518" i="3" l="1"/>
  <c r="E517" i="3"/>
  <c r="E483" i="3"/>
  <c r="K483" i="3" s="1"/>
  <c r="E351" i="3"/>
  <c r="E350" i="3"/>
  <c r="E300" i="3"/>
  <c r="J286" i="3"/>
  <c r="J291" i="3"/>
  <c r="I293" i="3"/>
  <c r="I298" i="3" s="1"/>
  <c r="I294" i="3"/>
  <c r="J294" i="3"/>
  <c r="K315" i="3"/>
  <c r="I315" i="3"/>
  <c r="K1885" i="3" l="1"/>
  <c r="K283" i="3" l="1"/>
  <c r="K284" i="3" s="1"/>
  <c r="K273" i="3" l="1"/>
  <c r="K274" i="3" s="1"/>
  <c r="K268" i="3"/>
  <c r="J271" i="3"/>
  <c r="J266" i="3"/>
  <c r="K255" i="3"/>
  <c r="K256" i="3" s="1"/>
  <c r="J253" i="3"/>
  <c r="K215" i="3" l="1"/>
  <c r="K214" i="3"/>
  <c r="K187" i="3"/>
  <c r="K186" i="3"/>
  <c r="F22" i="4" l="1"/>
  <c r="F21" i="4"/>
  <c r="F20" i="4"/>
  <c r="F19" i="4"/>
  <c r="K2689" i="3" l="1"/>
  <c r="K2690" i="3" s="1"/>
  <c r="J3681" i="3"/>
  <c r="K3681" i="3" s="1"/>
  <c r="K3683" i="3" s="1"/>
  <c r="I4516" i="3"/>
  <c r="I4517" i="3"/>
  <c r="I4518" i="3"/>
  <c r="I4515" i="3"/>
  <c r="K4515" i="3" s="1"/>
  <c r="I4206" i="3"/>
  <c r="K4206" i="3" s="1"/>
  <c r="I4078" i="3"/>
  <c r="K4078" i="3" s="1"/>
  <c r="I3950" i="3"/>
  <c r="I3936" i="3"/>
  <c r="I3874" i="3"/>
  <c r="I3944" i="3"/>
  <c r="I3876" i="3"/>
  <c r="I3943" i="3"/>
  <c r="I3893" i="3"/>
  <c r="I4269" i="3"/>
  <c r="I4287" i="3"/>
  <c r="I4204" i="3"/>
  <c r="K4204" i="3" s="1"/>
  <c r="I3945" i="3"/>
  <c r="I3877" i="3"/>
  <c r="I4288" i="3"/>
  <c r="I3875" i="3"/>
  <c r="I4275" i="3"/>
  <c r="I4213" i="3"/>
  <c r="I3947" i="3"/>
  <c r="K3947" i="3" s="1"/>
  <c r="I4276" i="3"/>
  <c r="I4214" i="3"/>
  <c r="I3954" i="3"/>
  <c r="I3942" i="3"/>
  <c r="I3892" i="3"/>
  <c r="I3953" i="3"/>
  <c r="I3941" i="3"/>
  <c r="I3891" i="3"/>
  <c r="I4162" i="3"/>
  <c r="I4079" i="3"/>
  <c r="K4079" i="3" s="1"/>
  <c r="I3952" i="3"/>
  <c r="I4268" i="3"/>
  <c r="I4215" i="3"/>
  <c r="I4163" i="3"/>
  <c r="I3938" i="3"/>
  <c r="I3937" i="3"/>
  <c r="I4205" i="3"/>
  <c r="I4080" i="3"/>
  <c r="K4080" i="3" s="1"/>
  <c r="I3951" i="3"/>
  <c r="I3821" i="3"/>
  <c r="I3574" i="3"/>
  <c r="I3819" i="3"/>
  <c r="I3575" i="3"/>
  <c r="I3820" i="3"/>
  <c r="I3825" i="3"/>
  <c r="K3825" i="3" s="1"/>
  <c r="I3823" i="3"/>
  <c r="I3824" i="3"/>
  <c r="I3822" i="3"/>
  <c r="I2948" i="3"/>
  <c r="I2947" i="3"/>
  <c r="I2731" i="3"/>
  <c r="I717" i="3"/>
  <c r="I2730" i="3"/>
  <c r="I718" i="3"/>
  <c r="I2729" i="3"/>
  <c r="I2733" i="3"/>
  <c r="I720" i="3"/>
  <c r="I716" i="3"/>
  <c r="I2735" i="3"/>
  <c r="I2732" i="3"/>
  <c r="I2734" i="3"/>
  <c r="I4278" i="3"/>
  <c r="I681" i="3"/>
  <c r="I4277" i="3"/>
  <c r="I1927" i="3"/>
  <c r="I4272" i="3"/>
  <c r="I2045" i="3"/>
  <c r="K2045" i="3" s="1"/>
  <c r="I4270" i="3"/>
  <c r="I2036" i="3"/>
  <c r="K2036" i="3" s="1"/>
  <c r="I4271" i="3"/>
  <c r="I1928" i="3"/>
  <c r="I4289" i="3"/>
  <c r="I2950" i="3"/>
  <c r="I1929" i="3"/>
  <c r="I1930" i="3"/>
  <c r="I4282" i="3"/>
  <c r="I2949" i="3"/>
  <c r="I730" i="3"/>
  <c r="I4281" i="3"/>
  <c r="I2277" i="3"/>
  <c r="R789" i="3"/>
  <c r="R794" i="3"/>
  <c r="R791" i="3"/>
  <c r="K1275" i="3"/>
  <c r="R790" i="3"/>
  <c r="R792" i="3"/>
  <c r="R793" i="3"/>
  <c r="I543" i="3"/>
  <c r="I546" i="3"/>
  <c r="I544" i="3"/>
  <c r="I430" i="3"/>
  <c r="I431" i="3"/>
  <c r="I2377" i="3"/>
  <c r="I432" i="3"/>
  <c r="I436" i="3"/>
  <c r="I508" i="3"/>
  <c r="I433" i="3"/>
  <c r="K299" i="3"/>
  <c r="I434" i="3"/>
  <c r="I435" i="3"/>
  <c r="I437" i="3"/>
  <c r="I2354" i="3"/>
  <c r="I227" i="3"/>
  <c r="I228" i="3"/>
  <c r="I2293" i="3" l="1"/>
  <c r="I2705" i="3"/>
  <c r="I2711" i="3"/>
  <c r="K2711" i="3" s="1"/>
  <c r="K2712" i="3" s="1"/>
  <c r="K2713" i="3" s="1"/>
  <c r="I2035" i="3"/>
  <c r="K2035" i="3" s="1"/>
  <c r="I506" i="3"/>
  <c r="I507" i="3"/>
  <c r="K4640" i="3"/>
  <c r="K4144" i="3"/>
  <c r="J3839" i="3"/>
  <c r="J1959" i="3"/>
  <c r="J3831" i="3"/>
  <c r="K3580" i="3"/>
  <c r="K3123" i="3"/>
  <c r="K2331" i="3" l="1"/>
  <c r="K2332" i="3"/>
  <c r="G2334" i="3"/>
  <c r="K2334" i="3" s="1"/>
  <c r="G2335" i="3"/>
  <c r="K2335" i="3" s="1"/>
  <c r="G2336" i="3"/>
  <c r="K4312" i="3"/>
  <c r="K3230" i="3"/>
  <c r="K3233" i="3" s="1"/>
  <c r="K2333" i="3" l="1"/>
  <c r="K2336" i="3"/>
  <c r="K2337" i="3" l="1"/>
  <c r="K2340" i="3" s="1"/>
  <c r="I879" i="3"/>
  <c r="I849" i="3"/>
  <c r="G4205" i="3" l="1"/>
  <c r="K4205" i="3" s="1"/>
  <c r="K4183" i="3"/>
  <c r="G4049" i="3"/>
  <c r="K3750" i="3"/>
  <c r="K3730" i="3"/>
  <c r="K3627" i="3"/>
  <c r="K3617" i="3"/>
  <c r="G3593" i="3"/>
  <c r="K3593" i="3" s="1"/>
  <c r="G3594" i="3"/>
  <c r="K3594" i="3" s="1"/>
  <c r="J38" i="7"/>
  <c r="G38" i="7"/>
  <c r="H38" i="7" s="1"/>
  <c r="G3049" i="3"/>
  <c r="K38" i="7" l="1"/>
  <c r="L38" i="7" s="1"/>
  <c r="J30" i="7"/>
  <c r="G30" i="7"/>
  <c r="H30" i="7" s="1"/>
  <c r="K2544" i="3"/>
  <c r="K2543" i="3"/>
  <c r="H2485" i="3"/>
  <c r="K2384" i="3"/>
  <c r="G2369" i="3"/>
  <c r="K2369" i="3" s="1"/>
  <c r="K30" i="7" l="1"/>
  <c r="L30" i="7" s="1"/>
  <c r="G2085" i="3"/>
  <c r="G1792" i="3"/>
  <c r="I1792" i="3"/>
  <c r="K1792" i="3" s="1"/>
  <c r="I2055" i="3"/>
  <c r="G2055" i="3"/>
  <c r="G1930" i="3" l="1"/>
  <c r="E1874" i="3"/>
  <c r="K1874" i="3" s="1"/>
  <c r="K1503" i="3"/>
  <c r="G1928" i="3" l="1"/>
  <c r="G4791" i="3" l="1"/>
  <c r="K4797" i="3" l="1"/>
  <c r="G3503" i="3"/>
  <c r="K3503" i="3" s="1"/>
  <c r="J798" i="3" l="1"/>
  <c r="J856" i="3"/>
  <c r="J871" i="3"/>
  <c r="J872" i="3"/>
  <c r="J879" i="3"/>
  <c r="J794" i="3"/>
  <c r="J873" i="3"/>
  <c r="J820" i="3"/>
  <c r="J876" i="3"/>
  <c r="J796" i="3"/>
  <c r="J797" i="3"/>
  <c r="J833" i="3"/>
  <c r="J874" i="3"/>
  <c r="J875" i="3"/>
  <c r="J784" i="3"/>
  <c r="J785" i="3" l="1"/>
  <c r="J822" i="3"/>
  <c r="J860" i="3"/>
  <c r="J857" i="3"/>
  <c r="J832" i="3"/>
  <c r="J769" i="3"/>
  <c r="J770" i="3"/>
  <c r="J793" i="3"/>
  <c r="J869" i="3"/>
  <c r="J821" i="3"/>
  <c r="J859" i="3"/>
  <c r="J810" i="3"/>
  <c r="J843" i="3"/>
  <c r="J806" i="3"/>
  <c r="J844" i="3"/>
  <c r="J807" i="3"/>
  <c r="J845" i="3"/>
  <c r="J809" i="3"/>
  <c r="J847" i="3"/>
  <c r="J783" i="3"/>
  <c r="J823" i="3"/>
  <c r="J831" i="3"/>
  <c r="J771" i="3"/>
  <c r="J877" i="3"/>
  <c r="J858" i="3"/>
  <c r="J772" i="3"/>
  <c r="J811" i="3"/>
  <c r="J848" i="3"/>
  <c r="J870" i="3"/>
  <c r="J878" i="3"/>
  <c r="J795" i="3"/>
  <c r="J773" i="3"/>
  <c r="J819" i="3"/>
  <c r="J841" i="3"/>
  <c r="J849" i="3"/>
  <c r="J808" i="3"/>
  <c r="J846" i="3"/>
  <c r="J842" i="3"/>
  <c r="J19" i="7" l="1"/>
  <c r="G19" i="7"/>
  <c r="H19" i="7" s="1"/>
  <c r="K19" i="7" l="1"/>
  <c r="L19" i="7" s="1"/>
  <c r="I12" i="7"/>
  <c r="J11" i="7"/>
  <c r="G11" i="7"/>
  <c r="H11" i="7" s="1"/>
  <c r="J10" i="7"/>
  <c r="G10" i="7"/>
  <c r="H10" i="7" s="1"/>
  <c r="K10" i="7" l="1"/>
  <c r="L10" i="7" s="1"/>
  <c r="K11" i="7"/>
  <c r="L11" i="7" s="1"/>
  <c r="K4632" i="3" l="1"/>
  <c r="K4635" i="3" s="1"/>
  <c r="K4636" i="3" l="1"/>
  <c r="I1922" i="3" l="1"/>
  <c r="K1922" i="3" s="1"/>
  <c r="I2567" i="3"/>
  <c r="I1566" i="3"/>
  <c r="K1566" i="3" s="1"/>
  <c r="I2639" i="3" l="1"/>
  <c r="K2639" i="3" s="1"/>
  <c r="K2428" i="3"/>
  <c r="I4447" i="3"/>
  <c r="I4446" i="3"/>
  <c r="I4444" i="3"/>
  <c r="I4440" i="3"/>
  <c r="I4441" i="3"/>
  <c r="J463" i="3"/>
  <c r="K737" i="3"/>
  <c r="K3891" i="3"/>
  <c r="K2433" i="3"/>
  <c r="K2354" i="3"/>
  <c r="I776" i="3"/>
  <c r="K546" i="3"/>
  <c r="K356" i="3"/>
  <c r="K230" i="3" l="1"/>
  <c r="K229" i="3"/>
  <c r="E1301" i="3" l="1"/>
  <c r="E1294" i="3"/>
  <c r="I1294" i="3"/>
  <c r="I1293" i="3"/>
  <c r="E1292" i="3"/>
  <c r="I1292" i="3"/>
  <c r="K589" i="3"/>
  <c r="E895" i="3" l="1"/>
  <c r="K573" i="3" l="1"/>
  <c r="K493" i="3"/>
  <c r="G355" i="3" l="1"/>
  <c r="G354" i="3"/>
  <c r="G353" i="3"/>
  <c r="G352" i="3"/>
  <c r="K352" i="3" s="1"/>
  <c r="E2736" i="3" l="1"/>
  <c r="G3965" i="3"/>
  <c r="K3965" i="3" s="1"/>
  <c r="G3964" i="3"/>
  <c r="K3964" i="3" s="1"/>
  <c r="K3796" i="3"/>
  <c r="G959" i="3"/>
  <c r="K2696" i="3" l="1"/>
  <c r="I43" i="7"/>
  <c r="J43" i="7" s="1"/>
  <c r="G43" i="7"/>
  <c r="H43" i="7" s="1"/>
  <c r="I42" i="7"/>
  <c r="J42" i="7" s="1"/>
  <c r="G42" i="7"/>
  <c r="H42" i="7" s="1"/>
  <c r="I41" i="7"/>
  <c r="J41" i="7" s="1"/>
  <c r="G41" i="7"/>
  <c r="H41" i="7" s="1"/>
  <c r="I40" i="7"/>
  <c r="J40" i="7" s="1"/>
  <c r="G40" i="7"/>
  <c r="H40" i="7" s="1"/>
  <c r="I39" i="7"/>
  <c r="J39" i="7" s="1"/>
  <c r="G39" i="7"/>
  <c r="H39" i="7" s="1"/>
  <c r="I37" i="7"/>
  <c r="J37" i="7" s="1"/>
  <c r="G37" i="7"/>
  <c r="H37" i="7" s="1"/>
  <c r="I36" i="7"/>
  <c r="J36" i="7" s="1"/>
  <c r="G36" i="7"/>
  <c r="H36" i="7" s="1"/>
  <c r="J35" i="7"/>
  <c r="G35" i="7"/>
  <c r="H35" i="7" s="1"/>
  <c r="J34" i="7"/>
  <c r="G34" i="7"/>
  <c r="H34" i="7" s="1"/>
  <c r="I33" i="7"/>
  <c r="J33" i="7" s="1"/>
  <c r="G33" i="7"/>
  <c r="H33" i="7" s="1"/>
  <c r="I32" i="7"/>
  <c r="J32" i="7" s="1"/>
  <c r="G32" i="7"/>
  <c r="H32" i="7" s="1"/>
  <c r="J31" i="7"/>
  <c r="G31" i="7"/>
  <c r="H31" i="7" s="1"/>
  <c r="J29" i="7"/>
  <c r="G29" i="7"/>
  <c r="H29" i="7" s="1"/>
  <c r="I28" i="7"/>
  <c r="J28" i="7" s="1"/>
  <c r="G28" i="7"/>
  <c r="H28" i="7" s="1"/>
  <c r="I27" i="7"/>
  <c r="J27" i="7" s="1"/>
  <c r="G27" i="7"/>
  <c r="H27" i="7" s="1"/>
  <c r="I26" i="7"/>
  <c r="J26" i="7" s="1"/>
  <c r="G26" i="7"/>
  <c r="H26" i="7" s="1"/>
  <c r="I25" i="7"/>
  <c r="J25" i="7" s="1"/>
  <c r="G25" i="7"/>
  <c r="H25" i="7" s="1"/>
  <c r="I24" i="7"/>
  <c r="J24" i="7" s="1"/>
  <c r="G24" i="7"/>
  <c r="H24" i="7" s="1"/>
  <c r="I23" i="7"/>
  <c r="J23" i="7" s="1"/>
  <c r="G23" i="7"/>
  <c r="H23" i="7" s="1"/>
  <c r="J22" i="7"/>
  <c r="G22" i="7"/>
  <c r="H22" i="7" s="1"/>
  <c r="J21" i="7"/>
  <c r="G21" i="7"/>
  <c r="H21" i="7" s="1"/>
  <c r="I20" i="7"/>
  <c r="J20" i="7" s="1"/>
  <c r="G20" i="7"/>
  <c r="H20" i="7" s="1"/>
  <c r="J18" i="7"/>
  <c r="G18" i="7"/>
  <c r="H18" i="7" s="1"/>
  <c r="J17" i="7"/>
  <c r="G17" i="7"/>
  <c r="H17" i="7" s="1"/>
  <c r="I16" i="7"/>
  <c r="J16" i="7" s="1"/>
  <c r="G16" i="7"/>
  <c r="H16" i="7" s="1"/>
  <c r="I15" i="7"/>
  <c r="J15" i="7" s="1"/>
  <c r="G15" i="7"/>
  <c r="H15" i="7" s="1"/>
  <c r="I14" i="7"/>
  <c r="J14" i="7" s="1"/>
  <c r="G14" i="7"/>
  <c r="H14" i="7" s="1"/>
  <c r="I13" i="7"/>
  <c r="J13" i="7" s="1"/>
  <c r="G13" i="7"/>
  <c r="H13" i="7" s="1"/>
  <c r="J12" i="7"/>
  <c r="G12" i="7"/>
  <c r="H12" i="7" s="1"/>
  <c r="I9" i="7"/>
  <c r="J9" i="7" s="1"/>
  <c r="G9" i="7"/>
  <c r="H9" i="7" s="1"/>
  <c r="I8" i="7"/>
  <c r="J8" i="7" s="1"/>
  <c r="G8" i="7"/>
  <c r="H8" i="7" s="1"/>
  <c r="I7" i="7"/>
  <c r="J7" i="7" s="1"/>
  <c r="G7" i="7"/>
  <c r="H7" i="7" s="1"/>
  <c r="I6" i="7"/>
  <c r="J6" i="7" s="1"/>
  <c r="G6" i="7"/>
  <c r="H6" i="7" s="1"/>
  <c r="J5" i="7"/>
  <c r="G5" i="7"/>
  <c r="H5" i="7" s="1"/>
  <c r="J4" i="7"/>
  <c r="G4" i="7"/>
  <c r="H4" i="7" s="1"/>
  <c r="J3" i="7"/>
  <c r="G3" i="7"/>
  <c r="H3" i="7" s="1"/>
  <c r="K2341" i="3"/>
  <c r="K3575" i="3"/>
  <c r="K2293" i="3"/>
  <c r="I3604" i="3"/>
  <c r="K3604" i="3" s="1"/>
  <c r="I4439" i="3"/>
  <c r="K4439" i="3" s="1"/>
  <c r="I4445" i="3"/>
  <c r="K4445" i="3" s="1"/>
  <c r="J4138" i="3"/>
  <c r="K2438" i="3"/>
  <c r="K2439" i="3" s="1"/>
  <c r="J3804" i="3"/>
  <c r="K3804" i="3" s="1"/>
  <c r="K3805" i="3" s="1"/>
  <c r="K3806" i="3" s="1"/>
  <c r="G4798" i="3"/>
  <c r="G4796" i="3"/>
  <c r="G4795" i="3"/>
  <c r="K4795" i="3" s="1"/>
  <c r="G4793" i="3"/>
  <c r="G4794" i="3"/>
  <c r="G4792" i="3"/>
  <c r="G4790" i="3"/>
  <c r="K4771" i="3"/>
  <c r="K4770" i="3"/>
  <c r="K4769" i="3"/>
  <c r="K4750" i="3"/>
  <c r="K4749" i="3"/>
  <c r="K4741" i="3"/>
  <c r="K4744" i="3" s="1"/>
  <c r="K4731" i="3"/>
  <c r="K4733" i="3" s="1"/>
  <c r="K4736" i="3" s="1"/>
  <c r="K4712" i="3"/>
  <c r="K4711" i="3"/>
  <c r="K4709" i="3"/>
  <c r="K4708" i="3"/>
  <c r="K4707" i="3"/>
  <c r="K4706" i="3"/>
  <c r="K4705" i="3"/>
  <c r="K4704" i="3"/>
  <c r="K4703" i="3"/>
  <c r="K4702" i="3"/>
  <c r="K4701" i="3"/>
  <c r="K4691" i="3"/>
  <c r="K4690" i="3"/>
  <c r="K4682" i="3"/>
  <c r="K4685" i="3" s="1"/>
  <c r="K4674" i="3"/>
  <c r="K4677" i="3" s="1"/>
  <c r="K4665" i="3"/>
  <c r="K4664" i="3"/>
  <c r="K4663" i="3"/>
  <c r="K4643" i="3"/>
  <c r="E4642" i="3"/>
  <c r="K4642" i="3" s="1"/>
  <c r="K4641" i="3"/>
  <c r="K4607" i="3"/>
  <c r="K4606" i="3"/>
  <c r="K4605" i="3"/>
  <c r="K4604" i="3"/>
  <c r="K4603" i="3"/>
  <c r="K4575" i="3"/>
  <c r="K4574" i="3"/>
  <c r="K4573" i="3"/>
  <c r="K4572" i="3"/>
  <c r="K4571" i="3"/>
  <c r="K4549" i="3"/>
  <c r="K4548" i="3"/>
  <c r="K4546" i="3"/>
  <c r="K4545" i="3"/>
  <c r="K4516" i="3"/>
  <c r="K4506" i="3"/>
  <c r="K4505" i="3"/>
  <c r="K4504" i="3"/>
  <c r="K4503" i="3"/>
  <c r="K4502" i="3"/>
  <c r="K4501" i="3"/>
  <c r="K4487" i="3"/>
  <c r="K4488" i="3" s="1"/>
  <c r="K4492" i="3" s="1"/>
  <c r="K4478" i="3"/>
  <c r="K4476" i="3"/>
  <c r="K4475" i="3"/>
  <c r="K4466" i="3"/>
  <c r="K4469" i="3" s="1"/>
  <c r="K4457" i="3"/>
  <c r="K4447" i="3"/>
  <c r="K4446" i="3"/>
  <c r="K4444" i="3"/>
  <c r="I4442" i="3"/>
  <c r="K4442" i="3" s="1"/>
  <c r="E4441" i="3"/>
  <c r="K4440" i="3"/>
  <c r="K4432" i="3"/>
  <c r="K4433" i="3" s="1"/>
  <c r="K4413" i="3"/>
  <c r="K4412" i="3"/>
  <c r="K4411" i="3"/>
  <c r="K4396" i="3"/>
  <c r="K4378" i="3"/>
  <c r="K4356" i="3"/>
  <c r="K4355" i="3"/>
  <c r="K4354" i="3"/>
  <c r="K4345" i="3"/>
  <c r="K4344" i="3"/>
  <c r="K4343" i="3"/>
  <c r="K4324" i="3"/>
  <c r="K4323" i="3"/>
  <c r="K4322" i="3"/>
  <c r="K4321" i="3"/>
  <c r="K4320" i="3"/>
  <c r="K4315" i="3"/>
  <c r="K4294" i="3"/>
  <c r="K4297" i="3" s="1"/>
  <c r="K4289" i="3"/>
  <c r="K4246" i="3"/>
  <c r="K4223" i="3"/>
  <c r="K4221" i="3"/>
  <c r="K4220" i="3"/>
  <c r="K4185" i="3"/>
  <c r="K4184" i="3"/>
  <c r="K4147" i="3"/>
  <c r="J4132" i="3"/>
  <c r="G4123" i="3"/>
  <c r="G4122" i="3"/>
  <c r="G4121" i="3"/>
  <c r="G4120" i="3"/>
  <c r="K4120" i="3" s="1"/>
  <c r="G4118" i="3"/>
  <c r="K4117" i="3"/>
  <c r="K4112" i="3"/>
  <c r="G4090" i="3"/>
  <c r="K4090" i="3" s="1"/>
  <c r="G4089" i="3"/>
  <c r="K4089" i="3" s="1"/>
  <c r="K4087" i="3"/>
  <c r="K4086" i="3"/>
  <c r="G4069" i="3"/>
  <c r="K4069" i="3" s="1"/>
  <c r="K4068" i="3"/>
  <c r="K4059" i="3"/>
  <c r="E4058" i="3"/>
  <c r="K4058" i="3" s="1"/>
  <c r="K4049" i="3"/>
  <c r="K4052" i="3" s="1"/>
  <c r="E4041" i="3"/>
  <c r="K4041" i="3" s="1"/>
  <c r="E4023" i="3"/>
  <c r="K3993" i="3"/>
  <c r="K3992" i="3"/>
  <c r="K3983" i="3"/>
  <c r="K3982" i="3"/>
  <c r="K3974" i="3"/>
  <c r="K3977" i="3" s="1"/>
  <c r="G3963" i="3"/>
  <c r="K3963" i="3" s="1"/>
  <c r="G3920" i="3"/>
  <c r="K3914" i="3"/>
  <c r="G3912" i="3"/>
  <c r="K3903" i="3"/>
  <c r="K3902" i="3"/>
  <c r="K3901" i="3"/>
  <c r="K3900" i="3"/>
  <c r="K3899" i="3"/>
  <c r="K3866" i="3"/>
  <c r="K3869" i="3" s="1"/>
  <c r="E3839" i="3"/>
  <c r="E3831" i="3"/>
  <c r="K3831" i="3" s="1"/>
  <c r="K3811" i="3"/>
  <c r="K3814" i="3" s="1"/>
  <c r="K3799" i="3"/>
  <c r="K3779" i="3"/>
  <c r="K3778" i="3"/>
  <c r="K3757" i="3"/>
  <c r="K3756" i="3"/>
  <c r="K3755" i="3"/>
  <c r="K3753" i="3"/>
  <c r="K3749" i="3"/>
  <c r="K3751" i="3" s="1"/>
  <c r="K3746" i="3"/>
  <c r="K3745" i="3"/>
  <c r="K3744" i="3"/>
  <c r="K3743" i="3"/>
  <c r="G3742" i="3"/>
  <c r="K3742" i="3" s="1"/>
  <c r="G3741" i="3"/>
  <c r="K3741" i="3" s="1"/>
  <c r="K3739" i="3"/>
  <c r="K3738" i="3"/>
  <c r="K3733" i="3"/>
  <c r="K3721" i="3"/>
  <c r="K3725" i="3" s="1"/>
  <c r="K3713" i="3"/>
  <c r="K3716" i="3" s="1"/>
  <c r="K3704" i="3"/>
  <c r="K3703" i="3"/>
  <c r="K3702" i="3"/>
  <c r="K3676" i="3"/>
  <c r="K3667" i="3"/>
  <c r="K3670" i="3" s="1"/>
  <c r="K3661" i="3"/>
  <c r="K3648" i="3"/>
  <c r="K3628" i="3"/>
  <c r="K3616" i="3"/>
  <c r="K3615" i="3"/>
  <c r="K3614" i="3"/>
  <c r="K3613" i="3"/>
  <c r="I3606" i="3"/>
  <c r="K3606" i="3" s="1"/>
  <c r="I3605" i="3"/>
  <c r="K3605" i="3" s="1"/>
  <c r="G3592" i="3"/>
  <c r="K3592" i="3" s="1"/>
  <c r="K3591" i="3"/>
  <c r="K3590" i="3"/>
  <c r="K3581" i="3"/>
  <c r="K3565" i="3"/>
  <c r="K3564" i="3"/>
  <c r="K3556" i="3"/>
  <c r="K3559" i="3" s="1"/>
  <c r="K3548" i="3"/>
  <c r="K3551" i="3" s="1"/>
  <c r="K3540" i="3"/>
  <c r="K3543" i="3" s="1"/>
  <c r="K3531" i="3"/>
  <c r="K3530" i="3"/>
  <c r="I3524" i="3"/>
  <c r="K3524" i="3" s="1"/>
  <c r="K3514" i="3"/>
  <c r="K3513" i="3"/>
  <c r="K3502" i="3"/>
  <c r="K3493" i="3"/>
  <c r="K3492" i="3"/>
  <c r="K3478" i="3"/>
  <c r="K3477" i="3"/>
  <c r="K3458" i="3"/>
  <c r="K3457" i="3"/>
  <c r="K3448" i="3"/>
  <c r="K3447" i="3"/>
  <c r="K3438" i="3"/>
  <c r="K3437" i="3"/>
  <c r="K3428" i="3"/>
  <c r="K3427" i="3"/>
  <c r="K3418" i="3"/>
  <c r="K3417" i="3"/>
  <c r="K3408" i="3"/>
  <c r="K3407" i="3"/>
  <c r="K3398" i="3"/>
  <c r="K3397" i="3"/>
  <c r="K3372" i="3"/>
  <c r="K3370" i="3"/>
  <c r="K3369" i="3"/>
  <c r="K3368" i="3"/>
  <c r="K3367" i="3"/>
  <c r="K3358" i="3"/>
  <c r="K3357" i="3"/>
  <c r="K3348" i="3"/>
  <c r="K3347" i="3"/>
  <c r="K3338" i="3"/>
  <c r="K3336" i="3"/>
  <c r="I3331" i="3"/>
  <c r="K3331" i="3" s="1"/>
  <c r="K3332" i="3" s="1"/>
  <c r="K3322" i="3"/>
  <c r="K3321" i="3"/>
  <c r="K3313" i="3"/>
  <c r="K3316" i="3" s="1"/>
  <c r="K3300" i="3"/>
  <c r="K3299" i="3"/>
  <c r="K3275" i="3"/>
  <c r="K3274" i="3"/>
  <c r="K3259" i="3"/>
  <c r="K3260" i="3" s="1"/>
  <c r="G3240" i="3"/>
  <c r="K3240" i="3" s="1"/>
  <c r="K3238" i="3"/>
  <c r="G3211" i="3"/>
  <c r="K3211" i="3" s="1"/>
  <c r="G3210" i="3"/>
  <c r="K3210" i="3" s="1"/>
  <c r="G3209" i="3"/>
  <c r="K3209" i="3" s="1"/>
  <c r="G3208" i="3"/>
  <c r="K3208" i="3" s="1"/>
  <c r="G3207" i="3"/>
  <c r="K3207" i="3" s="1"/>
  <c r="G3204" i="3"/>
  <c r="K3204" i="3" s="1"/>
  <c r="G3203" i="3"/>
  <c r="K3203" i="3" s="1"/>
  <c r="K3195" i="3"/>
  <c r="K3198" i="3" s="1"/>
  <c r="K3186" i="3"/>
  <c r="K3185" i="3"/>
  <c r="G3166" i="3"/>
  <c r="K3166" i="3" s="1"/>
  <c r="G3165" i="3"/>
  <c r="K3165" i="3" s="1"/>
  <c r="G3164" i="3"/>
  <c r="K3164" i="3" s="1"/>
  <c r="G3163" i="3"/>
  <c r="K3163" i="3" s="1"/>
  <c r="G3162" i="3"/>
  <c r="K3162" i="3" s="1"/>
  <c r="G3161" i="3"/>
  <c r="K3161" i="3" s="1"/>
  <c r="K3160" i="3"/>
  <c r="K3159" i="3"/>
  <c r="K3150" i="3"/>
  <c r="K3149" i="3"/>
  <c r="K3140" i="3"/>
  <c r="K3139" i="3"/>
  <c r="K3126" i="3"/>
  <c r="K3125" i="3"/>
  <c r="K3124" i="3"/>
  <c r="K3114" i="3"/>
  <c r="K3113" i="3"/>
  <c r="K3104" i="3"/>
  <c r="K3103" i="3"/>
  <c r="G3084" i="3"/>
  <c r="K3084" i="3" s="1"/>
  <c r="G3083" i="3"/>
  <c r="K3083" i="3" s="1"/>
  <c r="G3082" i="3"/>
  <c r="K3082" i="3" s="1"/>
  <c r="G3081" i="3"/>
  <c r="K3081" i="3" s="1"/>
  <c r="G3080" i="3"/>
  <c r="K3080" i="3" s="1"/>
  <c r="G3079" i="3"/>
  <c r="K3079" i="3" s="1"/>
  <c r="K3078" i="3"/>
  <c r="G3077" i="3"/>
  <c r="K3077" i="3" s="1"/>
  <c r="G3076" i="3"/>
  <c r="K3076" i="3" s="1"/>
  <c r="G3075" i="3"/>
  <c r="K3075" i="3" s="1"/>
  <c r="G3074" i="3"/>
  <c r="K3074" i="3" s="1"/>
  <c r="K3073" i="3"/>
  <c r="K3050" i="3"/>
  <c r="K3049" i="3"/>
  <c r="G3048" i="3"/>
  <c r="K3048" i="3" s="1"/>
  <c r="K3047" i="3"/>
  <c r="G3039" i="3"/>
  <c r="K3039" i="3" s="1"/>
  <c r="G3038" i="3"/>
  <c r="K3038" i="3" s="1"/>
  <c r="K3037" i="3"/>
  <c r="K3028" i="3"/>
  <c r="K3027" i="3"/>
  <c r="K3026" i="3"/>
  <c r="K3017" i="3"/>
  <c r="E3016" i="3"/>
  <c r="K3016" i="3" s="1"/>
  <c r="K3007" i="3"/>
  <c r="K3006" i="3"/>
  <c r="K2987" i="3"/>
  <c r="K2986" i="3"/>
  <c r="G2967" i="3"/>
  <c r="K2967" i="3" s="1"/>
  <c r="G2966" i="3"/>
  <c r="K2966" i="3" s="1"/>
  <c r="G2965" i="3"/>
  <c r="K2965" i="3" s="1"/>
  <c r="G2964" i="3"/>
  <c r="K2964" i="3" s="1"/>
  <c r="G2963" i="3"/>
  <c r="K2963" i="3" s="1"/>
  <c r="G2962" i="3"/>
  <c r="K2962" i="3" s="1"/>
  <c r="K2961" i="3"/>
  <c r="K2960" i="3"/>
  <c r="K2938" i="3"/>
  <c r="K2937" i="3"/>
  <c r="K2928" i="3"/>
  <c r="K2927" i="3"/>
  <c r="I2922" i="3"/>
  <c r="K2922" i="3" s="1"/>
  <c r="K2923" i="3" s="1"/>
  <c r="I2917" i="3"/>
  <c r="K2917" i="3" s="1"/>
  <c r="K2918" i="3" s="1"/>
  <c r="K2908" i="3"/>
  <c r="K2912" i="3" s="1"/>
  <c r="K2899" i="3"/>
  <c r="K2898" i="3"/>
  <c r="K2889" i="3"/>
  <c r="K2888" i="3"/>
  <c r="K2883" i="3"/>
  <c r="K2884" i="3" s="1"/>
  <c r="K2864" i="3"/>
  <c r="K2862" i="3"/>
  <c r="K2861" i="3"/>
  <c r="K2856" i="3"/>
  <c r="K2857" i="3" s="1"/>
  <c r="K2852" i="3"/>
  <c r="K2832" i="3"/>
  <c r="K2831" i="3"/>
  <c r="K2830" i="3"/>
  <c r="K2829" i="3"/>
  <c r="K2826" i="3"/>
  <c r="K2825" i="3"/>
  <c r="K2821" i="3"/>
  <c r="K2815" i="3"/>
  <c r="K2816" i="3" s="1"/>
  <c r="K2805" i="3"/>
  <c r="K2806" i="3" s="1"/>
  <c r="K2796" i="3"/>
  <c r="K2795" i="3"/>
  <c r="K2786" i="3"/>
  <c r="K2785" i="3"/>
  <c r="K2776" i="3"/>
  <c r="K2775" i="3"/>
  <c r="K2766" i="3"/>
  <c r="K2765" i="3"/>
  <c r="K2757" i="3"/>
  <c r="K2760" i="3" s="1"/>
  <c r="K2752" i="3"/>
  <c r="K2718" i="3"/>
  <c r="K2720" i="3" s="1"/>
  <c r="K2717" i="3"/>
  <c r="K2705" i="3"/>
  <c r="K2706" i="3" s="1"/>
  <c r="I2679" i="3"/>
  <c r="K2679" i="3" s="1"/>
  <c r="K2680" i="3" s="1"/>
  <c r="K2670" i="3"/>
  <c r="K2669" i="3"/>
  <c r="K2664" i="3"/>
  <c r="K2665" i="3" s="1"/>
  <c r="K2659" i="3"/>
  <c r="K2660" i="3" s="1"/>
  <c r="K2655" i="3"/>
  <c r="K2650" i="3"/>
  <c r="K2645" i="3"/>
  <c r="K2640" i="3"/>
  <c r="K2630" i="3"/>
  <c r="K2629" i="3"/>
  <c r="K2620" i="3"/>
  <c r="K2619" i="3"/>
  <c r="K2618" i="3"/>
  <c r="K2609" i="3"/>
  <c r="K2608" i="3"/>
  <c r="K2599" i="3"/>
  <c r="K2598" i="3"/>
  <c r="G2579" i="3"/>
  <c r="K2579" i="3" s="1"/>
  <c r="G2578" i="3"/>
  <c r="K2578" i="3" s="1"/>
  <c r="G2577" i="3"/>
  <c r="K2577" i="3" s="1"/>
  <c r="G2576" i="3"/>
  <c r="K2576" i="3" s="1"/>
  <c r="G2575" i="3"/>
  <c r="K2575" i="3" s="1"/>
  <c r="G2574" i="3"/>
  <c r="K2574" i="3" s="1"/>
  <c r="K2573" i="3"/>
  <c r="K2572" i="3"/>
  <c r="K2567" i="3"/>
  <c r="K2568" i="3" s="1"/>
  <c r="K2557" i="3"/>
  <c r="K2556" i="3"/>
  <c r="K2555" i="3"/>
  <c r="K2545" i="3"/>
  <c r="K2534" i="3"/>
  <c r="K2533" i="3"/>
  <c r="K2528" i="3"/>
  <c r="K2529" i="3" s="1"/>
  <c r="K2520" i="3"/>
  <c r="K2523" i="3" s="1"/>
  <c r="K2511" i="3"/>
  <c r="K2510" i="3"/>
  <c r="K2491" i="3"/>
  <c r="G2490" i="3"/>
  <c r="I2490" i="3" s="1"/>
  <c r="K2490" i="3" s="1"/>
  <c r="G2489" i="3"/>
  <c r="I2489" i="3" s="1"/>
  <c r="K2489" i="3" s="1"/>
  <c r="G2488" i="3"/>
  <c r="I2488" i="3" s="1"/>
  <c r="K2488" i="3" s="1"/>
  <c r="G2487" i="3"/>
  <c r="I2487" i="3" s="1"/>
  <c r="K2487" i="3" s="1"/>
  <c r="G2486" i="3"/>
  <c r="I2486" i="3" s="1"/>
  <c r="K2486" i="3" s="1"/>
  <c r="G2485" i="3"/>
  <c r="I2485" i="3" s="1"/>
  <c r="K2484" i="3"/>
  <c r="K2474" i="3"/>
  <c r="K2475" i="3" s="1"/>
  <c r="K2469" i="3"/>
  <c r="K2470" i="3" s="1"/>
  <c r="K2450" i="3"/>
  <c r="I2449" i="3"/>
  <c r="K2449" i="3" s="1"/>
  <c r="I2448" i="3"/>
  <c r="K2448" i="3" s="1"/>
  <c r="I2447" i="3"/>
  <c r="K2447" i="3" s="1"/>
  <c r="G2446" i="3"/>
  <c r="I2445" i="3"/>
  <c r="K2445" i="3" s="1"/>
  <c r="G2444" i="3"/>
  <c r="K2443" i="3"/>
  <c r="K2429" i="3"/>
  <c r="K2419" i="3"/>
  <c r="K2418" i="3"/>
  <c r="K2417" i="3"/>
  <c r="K2408" i="3"/>
  <c r="K2407" i="3"/>
  <c r="K2406" i="3"/>
  <c r="K2386" i="3"/>
  <c r="K2385" i="3"/>
  <c r="I2378" i="3"/>
  <c r="K2378" i="3" s="1"/>
  <c r="K2377" i="3"/>
  <c r="K2372" i="3"/>
  <c r="I2345" i="3"/>
  <c r="K2345" i="3" s="1"/>
  <c r="K2346" i="3" s="1"/>
  <c r="J2312" i="3"/>
  <c r="K2312" i="3" s="1"/>
  <c r="J2311" i="3"/>
  <c r="I2291" i="3"/>
  <c r="K2291" i="3" s="1"/>
  <c r="I2290" i="3"/>
  <c r="K2290" i="3" s="1"/>
  <c r="I2282" i="3"/>
  <c r="K2282" i="3" s="1"/>
  <c r="K2277" i="3"/>
  <c r="I2253" i="3"/>
  <c r="K2253" i="3" s="1"/>
  <c r="I2252" i="3"/>
  <c r="K2252" i="3" s="1"/>
  <c r="I2251" i="3"/>
  <c r="K2251" i="3" s="1"/>
  <c r="I2250" i="3"/>
  <c r="K2250" i="3" s="1"/>
  <c r="G2249" i="3"/>
  <c r="I2249" i="3" s="1"/>
  <c r="K2249" i="3" s="1"/>
  <c r="G2248" i="3"/>
  <c r="I2248" i="3" s="1"/>
  <c r="K2248" i="3" s="1"/>
  <c r="G2247" i="3"/>
  <c r="I2247" i="3" s="1"/>
  <c r="K2247" i="3" s="1"/>
  <c r="G2246" i="3"/>
  <c r="I2246" i="3" s="1"/>
  <c r="K2246" i="3" s="1"/>
  <c r="G2245" i="3"/>
  <c r="I2245" i="3" s="1"/>
  <c r="K2245" i="3" s="1"/>
  <c r="I2244" i="3"/>
  <c r="K2244" i="3" s="1"/>
  <c r="I2243" i="3"/>
  <c r="K2243" i="3" s="1"/>
  <c r="I2224" i="3"/>
  <c r="K2224" i="3" s="1"/>
  <c r="I2223" i="3"/>
  <c r="K2223" i="3" s="1"/>
  <c r="I2222" i="3"/>
  <c r="K2222" i="3" s="1"/>
  <c r="I2221" i="3"/>
  <c r="K2221" i="3" s="1"/>
  <c r="G2220" i="3"/>
  <c r="I2220" i="3" s="1"/>
  <c r="K2220" i="3" s="1"/>
  <c r="G2219" i="3"/>
  <c r="I2219" i="3" s="1"/>
  <c r="K2219" i="3" s="1"/>
  <c r="G2218" i="3"/>
  <c r="I2218" i="3" s="1"/>
  <c r="K2218" i="3" s="1"/>
  <c r="I2217" i="3"/>
  <c r="K2217" i="3" s="1"/>
  <c r="G2216" i="3"/>
  <c r="I2216" i="3" s="1"/>
  <c r="K2216" i="3" s="1"/>
  <c r="I2215" i="3"/>
  <c r="K2215" i="3" s="1"/>
  <c r="I2214" i="3"/>
  <c r="K2214" i="3" s="1"/>
  <c r="K2195" i="3"/>
  <c r="E2194" i="3"/>
  <c r="K2194" i="3" s="1"/>
  <c r="K2193" i="3"/>
  <c r="I2192" i="3"/>
  <c r="K2192" i="3" s="1"/>
  <c r="I2191" i="3"/>
  <c r="K2191" i="3" s="1"/>
  <c r="I2190" i="3"/>
  <c r="K2190" i="3" s="1"/>
  <c r="I2189" i="3"/>
  <c r="K2189" i="3" s="1"/>
  <c r="I2188" i="3"/>
  <c r="K2188" i="3" s="1"/>
  <c r="I2187" i="3"/>
  <c r="K2187" i="3" s="1"/>
  <c r="G2184" i="3"/>
  <c r="K2184" i="3" s="1"/>
  <c r="K2183" i="3"/>
  <c r="I2164" i="3"/>
  <c r="K2164" i="3" s="1"/>
  <c r="I2163" i="3"/>
  <c r="K2163" i="3" s="1"/>
  <c r="I2162" i="3"/>
  <c r="K2162" i="3" s="1"/>
  <c r="I2161" i="3"/>
  <c r="K2161" i="3" s="1"/>
  <c r="G2160" i="3"/>
  <c r="I2160" i="3" s="1"/>
  <c r="K2160" i="3" s="1"/>
  <c r="G2159" i="3"/>
  <c r="I2159" i="3" s="1"/>
  <c r="K2159" i="3" s="1"/>
  <c r="I2158" i="3"/>
  <c r="K2158" i="3" s="1"/>
  <c r="I2157" i="3"/>
  <c r="K2157" i="3" s="1"/>
  <c r="K2138" i="3"/>
  <c r="E2137" i="3"/>
  <c r="K2137" i="3" s="1"/>
  <c r="K2136" i="3"/>
  <c r="G2135" i="3"/>
  <c r="G2134" i="3"/>
  <c r="K2133" i="3"/>
  <c r="G2133" i="3"/>
  <c r="K2132" i="3"/>
  <c r="K2113" i="3"/>
  <c r="K2112" i="3"/>
  <c r="K2111" i="3"/>
  <c r="I2110" i="3"/>
  <c r="K2110" i="3" s="1"/>
  <c r="I2109" i="3"/>
  <c r="K2109" i="3" s="1"/>
  <c r="I2108" i="3"/>
  <c r="K2108" i="3" s="1"/>
  <c r="I2107" i="3"/>
  <c r="K2107" i="3" s="1"/>
  <c r="I2106" i="3"/>
  <c r="K2106" i="3" s="1"/>
  <c r="I2105" i="3"/>
  <c r="K2105" i="3" s="1"/>
  <c r="G2102" i="3"/>
  <c r="K2102" i="3" s="1"/>
  <c r="K2101" i="3"/>
  <c r="I2092" i="3"/>
  <c r="K2092" i="3" s="1"/>
  <c r="I2091" i="3"/>
  <c r="K2091" i="3" s="1"/>
  <c r="I2090" i="3"/>
  <c r="K2090" i="3" s="1"/>
  <c r="I2089" i="3"/>
  <c r="K2089" i="3" s="1"/>
  <c r="G2088" i="3"/>
  <c r="I2088" i="3" s="1"/>
  <c r="K2088" i="3" s="1"/>
  <c r="G2087" i="3"/>
  <c r="I2087" i="3" s="1"/>
  <c r="K2087" i="3" s="1"/>
  <c r="G2086" i="3"/>
  <c r="I2084" i="3"/>
  <c r="K2084" i="3" s="1"/>
  <c r="G2084" i="3"/>
  <c r="I2083" i="3"/>
  <c r="K2083" i="3" s="1"/>
  <c r="I2082" i="3"/>
  <c r="K2082" i="3" s="1"/>
  <c r="I2063" i="3"/>
  <c r="K2063" i="3" s="1"/>
  <c r="I2062" i="3"/>
  <c r="K2062" i="3" s="1"/>
  <c r="I2061" i="3"/>
  <c r="K2061" i="3" s="1"/>
  <c r="I2060" i="3"/>
  <c r="K2060" i="3" s="1"/>
  <c r="G2059" i="3"/>
  <c r="I2059" i="3" s="1"/>
  <c r="K2059" i="3" s="1"/>
  <c r="G2058" i="3"/>
  <c r="I2058" i="3" s="1"/>
  <c r="K2058" i="3" s="1"/>
  <c r="G2057" i="3"/>
  <c r="K2055" i="3"/>
  <c r="I2054" i="3"/>
  <c r="K2054" i="3" s="1"/>
  <c r="I2053" i="3"/>
  <c r="K2053" i="3" s="1"/>
  <c r="I2047" i="3"/>
  <c r="K2047" i="3" s="1"/>
  <c r="I2046" i="3"/>
  <c r="K2046" i="3" s="1"/>
  <c r="I2044" i="3"/>
  <c r="K2044" i="3" s="1"/>
  <c r="I2038" i="3"/>
  <c r="K2038" i="3" s="1"/>
  <c r="I2037" i="3"/>
  <c r="K2037" i="3" s="1"/>
  <c r="K2026" i="3"/>
  <c r="G2025" i="3"/>
  <c r="K2025" i="3" s="1"/>
  <c r="K2024" i="3"/>
  <c r="K2023" i="3"/>
  <c r="K2014" i="3"/>
  <c r="G2013" i="3"/>
  <c r="K2013" i="3" s="1"/>
  <c r="K2012" i="3"/>
  <c r="K2011" i="3"/>
  <c r="K1992" i="3"/>
  <c r="K1991" i="3"/>
  <c r="K1990" i="3"/>
  <c r="K1989" i="3"/>
  <c r="K1970" i="3"/>
  <c r="K1968" i="3"/>
  <c r="E1959" i="3"/>
  <c r="K1950" i="3"/>
  <c r="K1949" i="3"/>
  <c r="K1948" i="3"/>
  <c r="G1947" i="3"/>
  <c r="K1947" i="3" s="1"/>
  <c r="K1946" i="3"/>
  <c r="K1937" i="3"/>
  <c r="K1936" i="3"/>
  <c r="G1929" i="3"/>
  <c r="G1927" i="3"/>
  <c r="K1923" i="3"/>
  <c r="H1913" i="3"/>
  <c r="K1913" i="3" s="1"/>
  <c r="E1912" i="3"/>
  <c r="H1912" i="3" s="1"/>
  <c r="K1912" i="3" s="1"/>
  <c r="K1911" i="3"/>
  <c r="K1910" i="3"/>
  <c r="K1901" i="3"/>
  <c r="E1900" i="3"/>
  <c r="K1900" i="3" s="1"/>
  <c r="K1899" i="3"/>
  <c r="G1897" i="3"/>
  <c r="K1897" i="3" s="1"/>
  <c r="K1896" i="3"/>
  <c r="E1886" i="3"/>
  <c r="K1886" i="3" s="1"/>
  <c r="K1884" i="3"/>
  <c r="K1873" i="3"/>
  <c r="G1871" i="3"/>
  <c r="K1871" i="3" s="1"/>
  <c r="K1870" i="3"/>
  <c r="K1861" i="3"/>
  <c r="K1860" i="3"/>
  <c r="K1851" i="3"/>
  <c r="G1850" i="3"/>
  <c r="K1850" i="3" s="1"/>
  <c r="K1849" i="3"/>
  <c r="K1840" i="3"/>
  <c r="G1839" i="3"/>
  <c r="K1839" i="3" s="1"/>
  <c r="K1838" i="3"/>
  <c r="K1829" i="3"/>
  <c r="K1828" i="3"/>
  <c r="K1827" i="3"/>
  <c r="I1798" i="3"/>
  <c r="K1798" i="3" s="1"/>
  <c r="I1797" i="3"/>
  <c r="K1797" i="3" s="1"/>
  <c r="I1796" i="3"/>
  <c r="K1796" i="3" s="1"/>
  <c r="G1795" i="3"/>
  <c r="I1794" i="3"/>
  <c r="K1794" i="3" s="1"/>
  <c r="I1793" i="3"/>
  <c r="K1793" i="3" s="1"/>
  <c r="I1791" i="3"/>
  <c r="K1791" i="3" s="1"/>
  <c r="I1790" i="3"/>
  <c r="K1790" i="3" s="1"/>
  <c r="K1781" i="3"/>
  <c r="G1761" i="3"/>
  <c r="K1761" i="3" s="1"/>
  <c r="G1760" i="3"/>
  <c r="K1760" i="3" s="1"/>
  <c r="G1759" i="3"/>
  <c r="K1759" i="3" s="1"/>
  <c r="K1758" i="3"/>
  <c r="K1739" i="3"/>
  <c r="K1725" i="3"/>
  <c r="K1728" i="3" s="1"/>
  <c r="I1720" i="3"/>
  <c r="K1720" i="3" s="1"/>
  <c r="K1721" i="3" s="1"/>
  <c r="I1715" i="3"/>
  <c r="K1715" i="3" s="1"/>
  <c r="K1716" i="3" s="1"/>
  <c r="K1706" i="3"/>
  <c r="E1705" i="3"/>
  <c r="K1705" i="3" s="1"/>
  <c r="K1704" i="3"/>
  <c r="G1703" i="3"/>
  <c r="K1703" i="3" s="1"/>
  <c r="K1702" i="3"/>
  <c r="K1682" i="3"/>
  <c r="E1681" i="3"/>
  <c r="K1681" i="3" s="1"/>
  <c r="K1680" i="3"/>
  <c r="G1679" i="3"/>
  <c r="K1679" i="3" s="1"/>
  <c r="K1683" i="3"/>
  <c r="G1683" i="3"/>
  <c r="K1678" i="3"/>
  <c r="K1669" i="3"/>
  <c r="E1668" i="3"/>
  <c r="K1668" i="3" s="1"/>
  <c r="K1667" i="3"/>
  <c r="G1666" i="3"/>
  <c r="K1666" i="3" s="1"/>
  <c r="K1665" i="3"/>
  <c r="G1665" i="3"/>
  <c r="K1664" i="3"/>
  <c r="K1655" i="3"/>
  <c r="G1654" i="3"/>
  <c r="K1654" i="3" s="1"/>
  <c r="K1653" i="3"/>
  <c r="H1631" i="3"/>
  <c r="K1631" i="3" s="1"/>
  <c r="H1630" i="3"/>
  <c r="K1630" i="3" s="1"/>
  <c r="H1629" i="3"/>
  <c r="K1629" i="3" s="1"/>
  <c r="H1628" i="3"/>
  <c r="K1628" i="3" s="1"/>
  <c r="H1627" i="3"/>
  <c r="K1627" i="3" s="1"/>
  <c r="H1626" i="3"/>
  <c r="K1626" i="3" s="1"/>
  <c r="H1625" i="3"/>
  <c r="K1625" i="3" s="1"/>
  <c r="H1624" i="3"/>
  <c r="K1624" i="3" s="1"/>
  <c r="H1623" i="3"/>
  <c r="K1623" i="3" s="1"/>
  <c r="H1622" i="3"/>
  <c r="I1602" i="3"/>
  <c r="K1602" i="3" s="1"/>
  <c r="K1591" i="3"/>
  <c r="K1592" i="3" s="1"/>
  <c r="K1586" i="3"/>
  <c r="K1587" i="3" s="1"/>
  <c r="K1581" i="3"/>
  <c r="K1582" i="3" s="1"/>
  <c r="K1567" i="3"/>
  <c r="K1547" i="3"/>
  <c r="G1546" i="3"/>
  <c r="I1546" i="3" s="1"/>
  <c r="K1546" i="3" s="1"/>
  <c r="I1545" i="3"/>
  <c r="K1545" i="3" s="1"/>
  <c r="I1544" i="3"/>
  <c r="K1544" i="3" s="1"/>
  <c r="K1540" i="3"/>
  <c r="I1528" i="3"/>
  <c r="K1528" i="3" s="1"/>
  <c r="K1529" i="3" s="1"/>
  <c r="I1509" i="3"/>
  <c r="K1509" i="3" s="1"/>
  <c r="I1508" i="3"/>
  <c r="K1508" i="3" s="1"/>
  <c r="I1507" i="3"/>
  <c r="K1507" i="3" s="1"/>
  <c r="G1506" i="3"/>
  <c r="I1505" i="3"/>
  <c r="K1505" i="3" s="1"/>
  <c r="G1504" i="3"/>
  <c r="I1502" i="3"/>
  <c r="K1502" i="3" s="1"/>
  <c r="I1501" i="3"/>
  <c r="K1501" i="3" s="1"/>
  <c r="I1500" i="3"/>
  <c r="K1500" i="3" s="1"/>
  <c r="I1499" i="3"/>
  <c r="K1499" i="3" s="1"/>
  <c r="I1490" i="3"/>
  <c r="K1490" i="3" s="1"/>
  <c r="I1489" i="3"/>
  <c r="K1489" i="3" s="1"/>
  <c r="I1488" i="3"/>
  <c r="K1488" i="3" s="1"/>
  <c r="G1487" i="3"/>
  <c r="I1486" i="3"/>
  <c r="K1486" i="3" s="1"/>
  <c r="G1485" i="3"/>
  <c r="I1484" i="3"/>
  <c r="K1484" i="3" s="1"/>
  <c r="I1483" i="3"/>
  <c r="K1483" i="3" s="1"/>
  <c r="I1482" i="3"/>
  <c r="K1482" i="3" s="1"/>
  <c r="I1481" i="3"/>
  <c r="K1481" i="3" s="1"/>
  <c r="I1480" i="3"/>
  <c r="K1480" i="3" s="1"/>
  <c r="K1471" i="3"/>
  <c r="K1470" i="3"/>
  <c r="G1469" i="3"/>
  <c r="K1468" i="3"/>
  <c r="I1449" i="3"/>
  <c r="K1449" i="3" s="1"/>
  <c r="I1448" i="3"/>
  <c r="K1448" i="3" s="1"/>
  <c r="I1447" i="3"/>
  <c r="K1447" i="3" s="1"/>
  <c r="G1446" i="3"/>
  <c r="I1445" i="3"/>
  <c r="K1445" i="3" s="1"/>
  <c r="G1444" i="3"/>
  <c r="I1443" i="3"/>
  <c r="K1443" i="3" s="1"/>
  <c r="I1442" i="3"/>
  <c r="K1442" i="3" s="1"/>
  <c r="E1441" i="3"/>
  <c r="I1441" i="3" s="1"/>
  <c r="K1441" i="3" s="1"/>
  <c r="K1440" i="3"/>
  <c r="K1439" i="3"/>
  <c r="I1420" i="3"/>
  <c r="K1420" i="3" s="1"/>
  <c r="I1419" i="3"/>
  <c r="K1419" i="3" s="1"/>
  <c r="I1418" i="3"/>
  <c r="K1418" i="3" s="1"/>
  <c r="I1417" i="3"/>
  <c r="K1417" i="3" s="1"/>
  <c r="I1416" i="3"/>
  <c r="K1416" i="3" s="1"/>
  <c r="I1415" i="3"/>
  <c r="K1415" i="3" s="1"/>
  <c r="I1414" i="3"/>
  <c r="K1414" i="3" s="1"/>
  <c r="I1413" i="3"/>
  <c r="K1413" i="3" s="1"/>
  <c r="E1412" i="3"/>
  <c r="I1412" i="3" s="1"/>
  <c r="K1412" i="3" s="1"/>
  <c r="I1411" i="3"/>
  <c r="K1411" i="3" s="1"/>
  <c r="I1410" i="3"/>
  <c r="K1410" i="3" s="1"/>
  <c r="I1405" i="3"/>
  <c r="K1405" i="3" s="1"/>
  <c r="K1406" i="3" s="1"/>
  <c r="I1400" i="3"/>
  <c r="K1400" i="3" s="1"/>
  <c r="K1401" i="3" s="1"/>
  <c r="K1395" i="3"/>
  <c r="K1396" i="3" s="1"/>
  <c r="K1390" i="3"/>
  <c r="K1391" i="3" s="1"/>
  <c r="K1386" i="3"/>
  <c r="K1366" i="3"/>
  <c r="K1365" i="3"/>
  <c r="G1364" i="3"/>
  <c r="K1364" i="3" s="1"/>
  <c r="G1363" i="3"/>
  <c r="K1363" i="3" s="1"/>
  <c r="K1361" i="3"/>
  <c r="K1360" i="3"/>
  <c r="K1359" i="3"/>
  <c r="K1354" i="3"/>
  <c r="K1355" i="3" s="1"/>
  <c r="G1345" i="3"/>
  <c r="G1344" i="3"/>
  <c r="G1343" i="3"/>
  <c r="K1343" i="3" s="1"/>
  <c r="K1342" i="3"/>
  <c r="G1341" i="3"/>
  <c r="K1341" i="3" s="1"/>
  <c r="K1340" i="3"/>
  <c r="E1334" i="3"/>
  <c r="E1333" i="3"/>
  <c r="I1332" i="3"/>
  <c r="G1332" i="3"/>
  <c r="I1331" i="3"/>
  <c r="G1331" i="3"/>
  <c r="E1325" i="3"/>
  <c r="E1324" i="3"/>
  <c r="G1323" i="3"/>
  <c r="E1323" i="3"/>
  <c r="I1322" i="3"/>
  <c r="G1322" i="3"/>
  <c r="I1321" i="3"/>
  <c r="E1304" i="3"/>
  <c r="E1303" i="3"/>
  <c r="I1302" i="3"/>
  <c r="I1301" i="3"/>
  <c r="E1300" i="3"/>
  <c r="E1299" i="3"/>
  <c r="I1298" i="3"/>
  <c r="G1298" i="3"/>
  <c r="I1297" i="3"/>
  <c r="I1296" i="3"/>
  <c r="E1267" i="3"/>
  <c r="E1266" i="3"/>
  <c r="I1265" i="3"/>
  <c r="I1259" i="3"/>
  <c r="G1259" i="3"/>
  <c r="E1259" i="3"/>
  <c r="E1258" i="3"/>
  <c r="E1257" i="3"/>
  <c r="E1256" i="3"/>
  <c r="I1255" i="3"/>
  <c r="I1254" i="3"/>
  <c r="G1254" i="3"/>
  <c r="I1253" i="3"/>
  <c r="I1252" i="3"/>
  <c r="I1251" i="3"/>
  <c r="G1251" i="3"/>
  <c r="I1250" i="3"/>
  <c r="I1249" i="3"/>
  <c r="G1249" i="3"/>
  <c r="E1249" i="3"/>
  <c r="I1248" i="3"/>
  <c r="G1248" i="3"/>
  <c r="E1248" i="3"/>
  <c r="I1247" i="3"/>
  <c r="G1247" i="3"/>
  <c r="I1246" i="3"/>
  <c r="I1245" i="3"/>
  <c r="I1244" i="3"/>
  <c r="G1244" i="3"/>
  <c r="G1237" i="3"/>
  <c r="E1237" i="3"/>
  <c r="E1236" i="3"/>
  <c r="I1235" i="3"/>
  <c r="I1234" i="3"/>
  <c r="I1233" i="3"/>
  <c r="I1232" i="3"/>
  <c r="I1231" i="3"/>
  <c r="G1231" i="3"/>
  <c r="I1230" i="3"/>
  <c r="I1229" i="3"/>
  <c r="I1228" i="3"/>
  <c r="G1228" i="3"/>
  <c r="I1220" i="3"/>
  <c r="G1220" i="3"/>
  <c r="I1219" i="3"/>
  <c r="E1219" i="3"/>
  <c r="E1218" i="3"/>
  <c r="E1217" i="3"/>
  <c r="E1216" i="3"/>
  <c r="I1215" i="3"/>
  <c r="I1214" i="3"/>
  <c r="G1214" i="3"/>
  <c r="I1213" i="3"/>
  <c r="I1212" i="3"/>
  <c r="I1211" i="3"/>
  <c r="G1211" i="3"/>
  <c r="I1210" i="3"/>
  <c r="I1209" i="3"/>
  <c r="I1208" i="3"/>
  <c r="G1208" i="3"/>
  <c r="E1201" i="3"/>
  <c r="I1200" i="3"/>
  <c r="I1199" i="3"/>
  <c r="G1199" i="3"/>
  <c r="I1198" i="3"/>
  <c r="I1192" i="3"/>
  <c r="I1191" i="3"/>
  <c r="G1191" i="3"/>
  <c r="I1190" i="3"/>
  <c r="E1190" i="3"/>
  <c r="E1189" i="3"/>
  <c r="E1188" i="3"/>
  <c r="E1187" i="3"/>
  <c r="I1186" i="3"/>
  <c r="I1185" i="3"/>
  <c r="I1184" i="3"/>
  <c r="I1183" i="3"/>
  <c r="I1182" i="3"/>
  <c r="G1182" i="3"/>
  <c r="E1182" i="3"/>
  <c r="I1181" i="3"/>
  <c r="G1181" i="3"/>
  <c r="I1180" i="3"/>
  <c r="I1179" i="3"/>
  <c r="I1178" i="3"/>
  <c r="G1178" i="3"/>
  <c r="E1171" i="3"/>
  <c r="I1170" i="3"/>
  <c r="I1169" i="3"/>
  <c r="E1168" i="3"/>
  <c r="I1162" i="3"/>
  <c r="E1162" i="3"/>
  <c r="E1161" i="3"/>
  <c r="E1160" i="3"/>
  <c r="E1159" i="3"/>
  <c r="I1158" i="3"/>
  <c r="I1157" i="3"/>
  <c r="I1156" i="3"/>
  <c r="I1155" i="3"/>
  <c r="I1154" i="3"/>
  <c r="G1154" i="3"/>
  <c r="I1153" i="3"/>
  <c r="I1152" i="3"/>
  <c r="G1152" i="3"/>
  <c r="E1152" i="3"/>
  <c r="I1151" i="3"/>
  <c r="G1151" i="3"/>
  <c r="E1151" i="3"/>
  <c r="I1150" i="3"/>
  <c r="G1150" i="3"/>
  <c r="I1149" i="3"/>
  <c r="I1148" i="3"/>
  <c r="I1147" i="3"/>
  <c r="G1147" i="3"/>
  <c r="I1140" i="3"/>
  <c r="E1140" i="3"/>
  <c r="E1139" i="3"/>
  <c r="I1138" i="3"/>
  <c r="G1138" i="3"/>
  <c r="E1137" i="3"/>
  <c r="I1136" i="3"/>
  <c r="G1136" i="3"/>
  <c r="E1136" i="3"/>
  <c r="E1135" i="3"/>
  <c r="E1134" i="3"/>
  <c r="I1133" i="3"/>
  <c r="I1132" i="3"/>
  <c r="I1131" i="3"/>
  <c r="I1130" i="3"/>
  <c r="I1129" i="3"/>
  <c r="G1129" i="3"/>
  <c r="I1123" i="3"/>
  <c r="G1123" i="3"/>
  <c r="E1122" i="3"/>
  <c r="E1121" i="3"/>
  <c r="I1120" i="3"/>
  <c r="G1120" i="3"/>
  <c r="I1119" i="3"/>
  <c r="G1119" i="3"/>
  <c r="I1118" i="3"/>
  <c r="I1117" i="3"/>
  <c r="I1116" i="3"/>
  <c r="G1116" i="3"/>
  <c r="I1115" i="3"/>
  <c r="I1114" i="3"/>
  <c r="G1114" i="3"/>
  <c r="E1114" i="3"/>
  <c r="I1113" i="3"/>
  <c r="G1113" i="3"/>
  <c r="E1113" i="3"/>
  <c r="I1112" i="3"/>
  <c r="G1112" i="3"/>
  <c r="I1111" i="3"/>
  <c r="I1110" i="3"/>
  <c r="I1109" i="3"/>
  <c r="G1109" i="3"/>
  <c r="E1102" i="3"/>
  <c r="E1101" i="3"/>
  <c r="I1100" i="3"/>
  <c r="G1100" i="3"/>
  <c r="I1099" i="3"/>
  <c r="I1098" i="3"/>
  <c r="G1098" i="3"/>
  <c r="I1097" i="3"/>
  <c r="I1096" i="3"/>
  <c r="I1095" i="3"/>
  <c r="G1095" i="3"/>
  <c r="G1087" i="3"/>
  <c r="E1087" i="3"/>
  <c r="I1086" i="3"/>
  <c r="G1086" i="3"/>
  <c r="I1085" i="3"/>
  <c r="I1084" i="3"/>
  <c r="I1083" i="3"/>
  <c r="I1082" i="3"/>
  <c r="G1082" i="3"/>
  <c r="I1064" i="3"/>
  <c r="E1064" i="3"/>
  <c r="E1063" i="3"/>
  <c r="I1062" i="3"/>
  <c r="G1062" i="3"/>
  <c r="E1061" i="3"/>
  <c r="I1060" i="3"/>
  <c r="G1060" i="3"/>
  <c r="E1059" i="3"/>
  <c r="I1058" i="3"/>
  <c r="G1058" i="3"/>
  <c r="I1057" i="3"/>
  <c r="I1056" i="3"/>
  <c r="I1055" i="3"/>
  <c r="I1054" i="3"/>
  <c r="G1054" i="3"/>
  <c r="I1053" i="3"/>
  <c r="I1052" i="3"/>
  <c r="G1052" i="3"/>
  <c r="E1052" i="3"/>
  <c r="I1051" i="3"/>
  <c r="G1051" i="3"/>
  <c r="E1051" i="3"/>
  <c r="I1050" i="3"/>
  <c r="G1050" i="3"/>
  <c r="I1049" i="3"/>
  <c r="I1048" i="3"/>
  <c r="I1047" i="3"/>
  <c r="G1047" i="3"/>
  <c r="I1040" i="3"/>
  <c r="E1040" i="3"/>
  <c r="E1039" i="3"/>
  <c r="I1038" i="3"/>
  <c r="E1037" i="3"/>
  <c r="I1036" i="3"/>
  <c r="G1036" i="3"/>
  <c r="E1035" i="3"/>
  <c r="I1034" i="3"/>
  <c r="I1033" i="3"/>
  <c r="I1032" i="3"/>
  <c r="I1031" i="3"/>
  <c r="I1030" i="3"/>
  <c r="G1030" i="3"/>
  <c r="I1029" i="3"/>
  <c r="I1028" i="3"/>
  <c r="G1028" i="3"/>
  <c r="E1028" i="3"/>
  <c r="I1027" i="3"/>
  <c r="G1027" i="3"/>
  <c r="E1027" i="3"/>
  <c r="I1026" i="3"/>
  <c r="G1026" i="3"/>
  <c r="I1025" i="3"/>
  <c r="I1024" i="3"/>
  <c r="I1023" i="3"/>
  <c r="G1023" i="3"/>
  <c r="E1016" i="3"/>
  <c r="E1015" i="3"/>
  <c r="I1014" i="3"/>
  <c r="G1014" i="3"/>
  <c r="I1013" i="3"/>
  <c r="G1013" i="3"/>
  <c r="E1012" i="3"/>
  <c r="I1011" i="3"/>
  <c r="G1011" i="3"/>
  <c r="I1010" i="3"/>
  <c r="I1009" i="3"/>
  <c r="I1008" i="3"/>
  <c r="I1007" i="3"/>
  <c r="G1007" i="3"/>
  <c r="I1006" i="3"/>
  <c r="I1005" i="3"/>
  <c r="G1005" i="3"/>
  <c r="E1005" i="3"/>
  <c r="I1004" i="3"/>
  <c r="I1003" i="3"/>
  <c r="I1002" i="3"/>
  <c r="G1002" i="3"/>
  <c r="E995" i="3"/>
  <c r="E994" i="3"/>
  <c r="E987" i="3"/>
  <c r="E986" i="3"/>
  <c r="I985" i="3"/>
  <c r="G985" i="3"/>
  <c r="I984" i="3"/>
  <c r="G984" i="3"/>
  <c r="E983" i="3"/>
  <c r="I982" i="3"/>
  <c r="G982" i="3"/>
  <c r="I981" i="3"/>
  <c r="G981" i="3"/>
  <c r="I980" i="3"/>
  <c r="I979" i="3"/>
  <c r="I978" i="3"/>
  <c r="I977" i="3"/>
  <c r="I976" i="3"/>
  <c r="G976" i="3"/>
  <c r="E976" i="3"/>
  <c r="I975" i="3"/>
  <c r="G975" i="3"/>
  <c r="E975" i="3"/>
  <c r="I974" i="3"/>
  <c r="G974" i="3"/>
  <c r="I973" i="3"/>
  <c r="I972" i="3"/>
  <c r="I971" i="3"/>
  <c r="G971" i="3"/>
  <c r="E964" i="3"/>
  <c r="E963" i="3"/>
  <c r="I962" i="3"/>
  <c r="G962" i="3"/>
  <c r="E961" i="3"/>
  <c r="I960" i="3"/>
  <c r="G960" i="3"/>
  <c r="I959" i="3"/>
  <c r="I958" i="3"/>
  <c r="I957" i="3"/>
  <c r="I956" i="3"/>
  <c r="G956" i="3"/>
  <c r="E949" i="3"/>
  <c r="E948" i="3"/>
  <c r="I947" i="3"/>
  <c r="G947" i="3"/>
  <c r="E946" i="3"/>
  <c r="I945" i="3"/>
  <c r="G945" i="3"/>
  <c r="I944" i="3"/>
  <c r="I943" i="3"/>
  <c r="I942" i="3"/>
  <c r="I941" i="3"/>
  <c r="G941" i="3"/>
  <c r="I940" i="3"/>
  <c r="I939" i="3"/>
  <c r="G939" i="3"/>
  <c r="E939" i="3"/>
  <c r="I938" i="3"/>
  <c r="G938" i="3"/>
  <c r="E931" i="3"/>
  <c r="I930" i="3"/>
  <c r="E930" i="3"/>
  <c r="I929" i="3"/>
  <c r="I928" i="3"/>
  <c r="I927" i="3"/>
  <c r="I926" i="3"/>
  <c r="I925" i="3"/>
  <c r="G925" i="3"/>
  <c r="I924" i="3"/>
  <c r="I923" i="3"/>
  <c r="G923" i="3"/>
  <c r="E923" i="3"/>
  <c r="I922" i="3"/>
  <c r="G922" i="3"/>
  <c r="E906" i="3"/>
  <c r="E905" i="3"/>
  <c r="E904" i="3"/>
  <c r="E898" i="3"/>
  <c r="E897" i="3"/>
  <c r="G896" i="3"/>
  <c r="E896" i="3"/>
  <c r="I895" i="3"/>
  <c r="G889" i="3"/>
  <c r="E889" i="3"/>
  <c r="G888" i="3"/>
  <c r="E888" i="3"/>
  <c r="E887" i="3"/>
  <c r="E881" i="3"/>
  <c r="E880" i="3"/>
  <c r="G879" i="3"/>
  <c r="I878" i="3"/>
  <c r="I877" i="3"/>
  <c r="G877" i="3"/>
  <c r="I876" i="3"/>
  <c r="I875" i="3"/>
  <c r="I874" i="3"/>
  <c r="G874" i="3"/>
  <c r="I873" i="3"/>
  <c r="I872" i="3"/>
  <c r="G872" i="3"/>
  <c r="E872" i="3"/>
  <c r="I871" i="3"/>
  <c r="G871" i="3"/>
  <c r="I870" i="3"/>
  <c r="G870" i="3"/>
  <c r="I869" i="3"/>
  <c r="G869" i="3"/>
  <c r="G862" i="3"/>
  <c r="E862" i="3"/>
  <c r="E861" i="3"/>
  <c r="I860" i="3"/>
  <c r="G860" i="3"/>
  <c r="I859" i="3"/>
  <c r="I858" i="3"/>
  <c r="I857" i="3"/>
  <c r="I856" i="3"/>
  <c r="G856" i="3"/>
  <c r="E850" i="3"/>
  <c r="G849" i="3"/>
  <c r="I848" i="3"/>
  <c r="I847" i="3"/>
  <c r="I846" i="3"/>
  <c r="I845" i="3"/>
  <c r="I844" i="3"/>
  <c r="G844" i="3"/>
  <c r="I843" i="3"/>
  <c r="I842" i="3"/>
  <c r="G842" i="3"/>
  <c r="E842" i="3"/>
  <c r="I841" i="3"/>
  <c r="G841" i="3"/>
  <c r="E834" i="3"/>
  <c r="I833" i="3"/>
  <c r="E833" i="3"/>
  <c r="I832" i="3"/>
  <c r="I831" i="3"/>
  <c r="E825" i="3"/>
  <c r="G824" i="3"/>
  <c r="E824" i="3"/>
  <c r="I823" i="3"/>
  <c r="I822" i="3"/>
  <c r="I821" i="3"/>
  <c r="I820" i="3"/>
  <c r="I819" i="3"/>
  <c r="G819" i="3"/>
  <c r="E813" i="3"/>
  <c r="E812" i="3"/>
  <c r="I811" i="3"/>
  <c r="I810" i="3"/>
  <c r="G810" i="3"/>
  <c r="I809" i="3"/>
  <c r="I808" i="3"/>
  <c r="I807" i="3"/>
  <c r="I806" i="3"/>
  <c r="G806" i="3"/>
  <c r="J1301" i="3"/>
  <c r="E811" i="3"/>
  <c r="J1054" i="3"/>
  <c r="E1251" i="3"/>
  <c r="E800" i="3"/>
  <c r="E799" i="3"/>
  <c r="I798" i="3"/>
  <c r="J928" i="3"/>
  <c r="I797" i="3"/>
  <c r="J980" i="3"/>
  <c r="E1009" i="3"/>
  <c r="I796" i="3"/>
  <c r="I795" i="3"/>
  <c r="J1246" i="3"/>
  <c r="E1297" i="3"/>
  <c r="I794" i="3"/>
  <c r="J924" i="3"/>
  <c r="E1232" i="3"/>
  <c r="I793" i="3"/>
  <c r="G793" i="3"/>
  <c r="E794" i="3"/>
  <c r="E879" i="3"/>
  <c r="J1150" i="3"/>
  <c r="J1332" i="3"/>
  <c r="E1321" i="3"/>
  <c r="E1038" i="3"/>
  <c r="J1064" i="3"/>
  <c r="E786" i="3"/>
  <c r="J1136" i="3"/>
  <c r="I785" i="3"/>
  <c r="I784" i="3"/>
  <c r="E784" i="3"/>
  <c r="I783" i="3"/>
  <c r="E775" i="3"/>
  <c r="I773" i="3"/>
  <c r="I772" i="3"/>
  <c r="G772" i="3"/>
  <c r="I771" i="3"/>
  <c r="I770" i="3"/>
  <c r="E770" i="3"/>
  <c r="I769" i="3"/>
  <c r="G769" i="3"/>
  <c r="K760" i="3"/>
  <c r="K759" i="3"/>
  <c r="K758" i="3"/>
  <c r="K736" i="3"/>
  <c r="K738" i="3" s="1"/>
  <c r="G730" i="3"/>
  <c r="K717" i="3"/>
  <c r="G695" i="3"/>
  <c r="K695" i="3" s="1"/>
  <c r="G694" i="3"/>
  <c r="K694" i="3" s="1"/>
  <c r="K688" i="3"/>
  <c r="K689" i="3" s="1"/>
  <c r="K677" i="3"/>
  <c r="K665" i="3"/>
  <c r="K666" i="3" s="1"/>
  <c r="K660" i="3"/>
  <c r="K661" i="3" s="1"/>
  <c r="K650" i="3"/>
  <c r="K651" i="3" s="1"/>
  <c r="K640" i="3"/>
  <c r="K641" i="3" s="1"/>
  <c r="K635" i="3"/>
  <c r="K636" i="3" s="1"/>
  <c r="K627" i="3"/>
  <c r="K626" i="3"/>
  <c r="K598" i="3"/>
  <c r="K602" i="3" s="1"/>
  <c r="K593" i="3"/>
  <c r="K584" i="3"/>
  <c r="K576" i="3"/>
  <c r="I567" i="3"/>
  <c r="K567" i="3" s="1"/>
  <c r="K568" i="3" s="1"/>
  <c r="I559" i="3"/>
  <c r="K559" i="3" s="1"/>
  <c r="I551" i="3"/>
  <c r="K551" i="3" s="1"/>
  <c r="I538" i="3"/>
  <c r="K515" i="3"/>
  <c r="K508" i="3"/>
  <c r="K497" i="3"/>
  <c r="K496" i="3"/>
  <c r="K495" i="3"/>
  <c r="K484" i="3"/>
  <c r="K482" i="3"/>
  <c r="K481" i="3"/>
  <c r="G463" i="3"/>
  <c r="K463" i="3" s="1"/>
  <c r="K430" i="3"/>
  <c r="K388" i="3"/>
  <c r="K386" i="3"/>
  <c r="K376" i="3"/>
  <c r="K377" i="3" s="1"/>
  <c r="K357" i="3"/>
  <c r="K355" i="3"/>
  <c r="K354" i="3"/>
  <c r="K353" i="3"/>
  <c r="K351" i="3"/>
  <c r="K350" i="3"/>
  <c r="K349" i="3"/>
  <c r="K331" i="3"/>
  <c r="K330" i="3"/>
  <c r="K321" i="3"/>
  <c r="K320" i="3"/>
  <c r="K316" i="3"/>
  <c r="K306" i="3"/>
  <c r="K305" i="3"/>
  <c r="K289" i="3"/>
  <c r="K269" i="3"/>
  <c r="K260" i="3"/>
  <c r="K263" i="3" s="1"/>
  <c r="K219" i="3"/>
  <c r="K222" i="3" s="1"/>
  <c r="K196" i="3"/>
  <c r="K199" i="3" s="1"/>
  <c r="I191" i="3"/>
  <c r="K191" i="3" s="1"/>
  <c r="K192" i="3" s="1"/>
  <c r="K4132" i="3" l="1"/>
  <c r="K4133" i="3" s="1"/>
  <c r="K3212" i="3"/>
  <c r="K3215" i="3" s="1"/>
  <c r="K3339" i="3"/>
  <c r="K3342" i="3" s="1"/>
  <c r="K3343" i="3" s="1"/>
  <c r="K2721" i="3"/>
  <c r="K2724" i="3" s="1"/>
  <c r="K2725" i="3" s="1"/>
  <c r="K560" i="3"/>
  <c r="K3679" i="3"/>
  <c r="K3684" i="3" s="1"/>
  <c r="K3839" i="3"/>
  <c r="K3842" i="3" s="1"/>
  <c r="K4023" i="3"/>
  <c r="K4026" i="3" s="1"/>
  <c r="K4044" i="3"/>
  <c r="K4737" i="3"/>
  <c r="K628" i="3"/>
  <c r="K631" i="3" s="1"/>
  <c r="K4686" i="3"/>
  <c r="K3734" i="3"/>
  <c r="K3978" i="3"/>
  <c r="K538" i="3"/>
  <c r="K539" i="3" s="1"/>
  <c r="K2697" i="3"/>
  <c r="K2700" i="3" s="1"/>
  <c r="K1872" i="3"/>
  <c r="K3705" i="3"/>
  <c r="K4122" i="3"/>
  <c r="K3637" i="3"/>
  <c r="K3640" i="3" s="1"/>
  <c r="K3834" i="3"/>
  <c r="K4121" i="3"/>
  <c r="K4138" i="3"/>
  <c r="K4139" i="3" s="1"/>
  <c r="K1959" i="3"/>
  <c r="K1960" i="3" s="1"/>
  <c r="K1963" i="3" s="1"/>
  <c r="K4118" i="3"/>
  <c r="K4123" i="3"/>
  <c r="K1622" i="3"/>
  <c r="K1632" i="3" s="1"/>
  <c r="K4796" i="3"/>
  <c r="K2311" i="3"/>
  <c r="K2313" i="3" s="1"/>
  <c r="K2314" i="3" s="1"/>
  <c r="K3505" i="3"/>
  <c r="K3508" i="3" s="1"/>
  <c r="K464" i="3"/>
  <c r="K29" i="7"/>
  <c r="L29" i="7" s="1"/>
  <c r="K1362" i="3"/>
  <c r="K1367" i="3" s="1"/>
  <c r="K1370" i="3" s="1"/>
  <c r="K4316" i="3"/>
  <c r="K1729" i="3"/>
  <c r="K3544" i="3"/>
  <c r="K4298" i="3"/>
  <c r="K577" i="3"/>
  <c r="K35" i="7"/>
  <c r="L35" i="7" s="1"/>
  <c r="M35" i="7" s="1"/>
  <c r="K18" i="7"/>
  <c r="L18" i="7" s="1"/>
  <c r="M18" i="7" s="1"/>
  <c r="K4" i="7"/>
  <c r="L4" i="7" s="1"/>
  <c r="M4" i="7" s="1"/>
  <c r="K3523" i="3"/>
  <c r="K3525" i="3" s="1"/>
  <c r="K3526" i="3" s="1"/>
  <c r="K3819" i="3"/>
  <c r="K3877" i="3"/>
  <c r="K2359" i="3"/>
  <c r="K2360" i="3" s="1"/>
  <c r="K2434" i="3"/>
  <c r="K2950" i="3"/>
  <c r="K1927" i="3"/>
  <c r="K3603" i="3"/>
  <c r="K3607" i="3" s="1"/>
  <c r="K2276" i="3"/>
  <c r="K2278" i="3" s="1"/>
  <c r="K3945" i="3"/>
  <c r="K545" i="3"/>
  <c r="I905" i="3"/>
  <c r="K905" i="3" s="1"/>
  <c r="K3294" i="3"/>
  <c r="K3295" i="3" s="1"/>
  <c r="K3487" i="3"/>
  <c r="K3488" i="3" s="1"/>
  <c r="K4213" i="3"/>
  <c r="K3860" i="3"/>
  <c r="K4275" i="3"/>
  <c r="K719" i="3"/>
  <c r="I906" i="3"/>
  <c r="K906" i="3" s="1"/>
  <c r="K731" i="3"/>
  <c r="K2283" i="3"/>
  <c r="K682" i="3"/>
  <c r="K442" i="3"/>
  <c r="K443" i="3" s="1"/>
  <c r="K2479" i="3"/>
  <c r="K2480" i="3" s="1"/>
  <c r="I904" i="3"/>
  <c r="K904" i="3" s="1"/>
  <c r="K2292" i="3"/>
  <c r="K227" i="3"/>
  <c r="K543" i="3"/>
  <c r="K228" i="3"/>
  <c r="K544" i="3"/>
  <c r="K655" i="3"/>
  <c r="K656" i="3" s="1"/>
  <c r="E960" i="3"/>
  <c r="E1298" i="3"/>
  <c r="K431" i="3"/>
  <c r="K681" i="3"/>
  <c r="K718" i="3"/>
  <c r="I887" i="3"/>
  <c r="K887" i="3" s="1"/>
  <c r="K1748" i="3"/>
  <c r="K1749" i="3" s="1"/>
  <c r="K2039" i="3"/>
  <c r="K2040" i="3" s="1"/>
  <c r="K2729" i="3"/>
  <c r="K2955" i="3"/>
  <c r="K2956" i="3" s="1"/>
  <c r="K3820" i="3"/>
  <c r="K3936" i="3"/>
  <c r="K3950" i="3"/>
  <c r="K4162" i="3"/>
  <c r="K4214" i="3"/>
  <c r="K4276" i="3"/>
  <c r="K4517" i="3"/>
  <c r="K3649" i="3"/>
  <c r="K3800" i="3"/>
  <c r="K4053" i="3"/>
  <c r="K4458" i="3"/>
  <c r="K7" i="7"/>
  <c r="L7" i="7" s="1"/>
  <c r="M7" i="7" s="1"/>
  <c r="K16" i="7"/>
  <c r="L16" i="7" s="1"/>
  <c r="K278" i="3"/>
  <c r="K279" i="3" s="1"/>
  <c r="K432" i="3"/>
  <c r="K2355" i="3"/>
  <c r="K2730" i="3"/>
  <c r="K3821" i="3"/>
  <c r="K3937" i="3"/>
  <c r="K3951" i="3"/>
  <c r="K4163" i="3"/>
  <c r="K4215" i="3"/>
  <c r="K4277" i="3"/>
  <c r="K4518" i="3"/>
  <c r="K17" i="7"/>
  <c r="L17" i="7" s="1"/>
  <c r="K21" i="7"/>
  <c r="L21" i="7" s="1"/>
  <c r="K1754" i="3"/>
  <c r="K1928" i="3"/>
  <c r="K2731" i="3"/>
  <c r="K3822" i="3"/>
  <c r="K3938" i="3"/>
  <c r="K3952" i="3"/>
  <c r="K4268" i="3"/>
  <c r="K4278" i="3"/>
  <c r="I4443" i="3"/>
  <c r="K4443" i="3" s="1"/>
  <c r="K2524" i="3"/>
  <c r="K28" i="7"/>
  <c r="L28" i="7" s="1"/>
  <c r="M28" i="7" s="1"/>
  <c r="K434" i="3"/>
  <c r="K725" i="3"/>
  <c r="K726" i="3" s="1"/>
  <c r="K1929" i="3"/>
  <c r="K2732" i="3"/>
  <c r="K3823" i="3"/>
  <c r="K3892" i="3"/>
  <c r="K3941" i="3"/>
  <c r="K3953" i="3"/>
  <c r="K4269" i="3"/>
  <c r="K4281" i="3"/>
  <c r="K435" i="3"/>
  <c r="I1159" i="3"/>
  <c r="K1159" i="3" s="1"/>
  <c r="K1603" i="3"/>
  <c r="K2048" i="3"/>
  <c r="K2733" i="3"/>
  <c r="K2947" i="3"/>
  <c r="K3264" i="3"/>
  <c r="K3265" i="3" s="1"/>
  <c r="K3382" i="3"/>
  <c r="K3824" i="3"/>
  <c r="K3874" i="3"/>
  <c r="K3893" i="3"/>
  <c r="K3942" i="3"/>
  <c r="K3954" i="3"/>
  <c r="K4270" i="3"/>
  <c r="K4282" i="3"/>
  <c r="I4438" i="3"/>
  <c r="K4438" i="3" s="1"/>
  <c r="K2761" i="3"/>
  <c r="K3726" i="3"/>
  <c r="K3870" i="3"/>
  <c r="K381" i="3"/>
  <c r="K382" i="3" s="1"/>
  <c r="K552" i="3"/>
  <c r="K553" i="3" s="1"/>
  <c r="K720" i="3"/>
  <c r="I1304" i="3"/>
  <c r="K1304" i="3" s="1"/>
  <c r="K436" i="3"/>
  <c r="K506" i="3"/>
  <c r="K730" i="3"/>
  <c r="I1300" i="3"/>
  <c r="K1300" i="3" s="1"/>
  <c r="K1930" i="3"/>
  <c r="K2734" i="3"/>
  <c r="K2948" i="3"/>
  <c r="K3269" i="3"/>
  <c r="K3270" i="3" s="1"/>
  <c r="K3875" i="3"/>
  <c r="K3943" i="3"/>
  <c r="K4271" i="3"/>
  <c r="K4287" i="3"/>
  <c r="K594" i="3"/>
  <c r="K1530" i="3"/>
  <c r="K4397" i="3"/>
  <c r="K31" i="7"/>
  <c r="L31" i="7" s="1"/>
  <c r="M31" i="7" s="1"/>
  <c r="K645" i="3"/>
  <c r="K646" i="3" s="1"/>
  <c r="K433" i="3"/>
  <c r="K437" i="3"/>
  <c r="K507" i="3"/>
  <c r="K716" i="3"/>
  <c r="I1168" i="3"/>
  <c r="K1168" i="3" s="1"/>
  <c r="K2735" i="3"/>
  <c r="K2949" i="3"/>
  <c r="K3574" i="3"/>
  <c r="K3576" i="3" s="1"/>
  <c r="K3692" i="3"/>
  <c r="K3693" i="3" s="1"/>
  <c r="K3859" i="3"/>
  <c r="K3876" i="3"/>
  <c r="K3944" i="3"/>
  <c r="K4272" i="3"/>
  <c r="K4288" i="3"/>
  <c r="K3671" i="3"/>
  <c r="K4148" i="3"/>
  <c r="K4470" i="3"/>
  <c r="K3" i="7"/>
  <c r="L3" i="7" s="1"/>
  <c r="K34" i="7"/>
  <c r="L34" i="7" s="1"/>
  <c r="M34" i="7" s="1"/>
  <c r="K24" i="7"/>
  <c r="L24" i="7" s="1"/>
  <c r="M24" i="7" s="1"/>
  <c r="K27" i="7"/>
  <c r="L27" i="7" s="1"/>
  <c r="M27" i="7" s="1"/>
  <c r="K39" i="7"/>
  <c r="L39" i="7" s="1"/>
  <c r="M39" i="7" s="1"/>
  <c r="K6" i="7"/>
  <c r="L6" i="7" s="1"/>
  <c r="K37" i="7"/>
  <c r="L37" i="7" s="1"/>
  <c r="M37" i="7" s="1"/>
  <c r="I2444" i="3"/>
  <c r="K2444" i="3" s="1"/>
  <c r="K3018" i="3"/>
  <c r="K3021" i="3" s="1"/>
  <c r="J1191" i="3"/>
  <c r="I2056" i="3"/>
  <c r="K2056" i="3" s="1"/>
  <c r="K1780" i="3"/>
  <c r="K1782" i="3" s="1"/>
  <c r="K1785" i="3" s="1"/>
  <c r="K1862" i="3"/>
  <c r="K1865" i="3" s="1"/>
  <c r="K4169" i="3"/>
  <c r="K4171" i="3" s="1"/>
  <c r="K4174" i="3" s="1"/>
  <c r="K4175" i="3" s="1"/>
  <c r="K2546" i="3"/>
  <c r="K2547" i="3" s="1"/>
  <c r="K2550" i="3" s="1"/>
  <c r="K2787" i="3"/>
  <c r="K2790" i="3" s="1"/>
  <c r="K2791" i="3" s="1"/>
  <c r="K307" i="3"/>
  <c r="K310" i="3" s="1"/>
  <c r="K311" i="3" s="1"/>
  <c r="K3459" i="3"/>
  <c r="K3462" i="3" s="1"/>
  <c r="K3532" i="3"/>
  <c r="K3535" i="3" s="1"/>
  <c r="J1115" i="3"/>
  <c r="I1487" i="3"/>
  <c r="K1487" i="3" s="1"/>
  <c r="K879" i="3"/>
  <c r="K1301" i="3"/>
  <c r="K2485" i="3"/>
  <c r="K2492" i="3" s="1"/>
  <c r="K2495" i="3" s="1"/>
  <c r="K3105" i="3"/>
  <c r="K3108" i="3" s="1"/>
  <c r="K3429" i="3"/>
  <c r="K3432" i="3" s="1"/>
  <c r="K43" i="7"/>
  <c r="L43" i="7" s="1"/>
  <c r="M43" i="7" s="1"/>
  <c r="K9" i="7"/>
  <c r="L9" i="7" s="1"/>
  <c r="M9" i="7" s="1"/>
  <c r="K22" i="7"/>
  <c r="L22" i="7" s="1"/>
  <c r="M22" i="7" s="1"/>
  <c r="K25" i="7"/>
  <c r="L25" i="7" s="1"/>
  <c r="M25" i="7" s="1"/>
  <c r="K40" i="7"/>
  <c r="L40" i="7" s="1"/>
  <c r="M40" i="7" s="1"/>
  <c r="K12" i="7"/>
  <c r="L12" i="7" s="1"/>
  <c r="K20" i="7"/>
  <c r="L20" i="7" s="1"/>
  <c r="K23" i="7"/>
  <c r="L23" i="7" s="1"/>
  <c r="M23" i="7" s="1"/>
  <c r="K26" i="7"/>
  <c r="L26" i="7" s="1"/>
  <c r="K41" i="7"/>
  <c r="L41" i="7" s="1"/>
  <c r="M41" i="7" s="1"/>
  <c r="K8" i="7"/>
  <c r="L8" i="7" s="1"/>
  <c r="M8" i="7" s="1"/>
  <c r="K4745" i="3"/>
  <c r="K603" i="3"/>
  <c r="K4493" i="3"/>
  <c r="K3815" i="3"/>
  <c r="K4379" i="3"/>
  <c r="K696" i="3"/>
  <c r="K699" i="3" s="1"/>
  <c r="K770" i="3"/>
  <c r="J1293" i="3"/>
  <c r="I1506" i="3"/>
  <c r="K1506" i="3" s="1"/>
  <c r="K2753" i="3"/>
  <c r="K2988" i="3"/>
  <c r="K2991" i="3" s="1"/>
  <c r="K3317" i="3"/>
  <c r="K3515" i="3"/>
  <c r="K3518" i="3" s="1"/>
  <c r="K3519" i="3" s="1"/>
  <c r="K4666" i="3"/>
  <c r="K4669" i="3" s="1"/>
  <c r="J1232" i="3"/>
  <c r="K1232" i="3" s="1"/>
  <c r="K1469" i="3"/>
  <c r="K1472" i="3" s="1"/>
  <c r="K1475" i="3" s="1"/>
  <c r="I1795" i="3"/>
  <c r="K1795" i="3" s="1"/>
  <c r="K1799" i="3" s="1"/>
  <c r="K1802" i="3" s="1"/>
  <c r="K3399" i="3"/>
  <c r="K3402" i="3" s="1"/>
  <c r="K3403" i="3" s="1"/>
  <c r="K3780" i="3"/>
  <c r="K3783" i="3" s="1"/>
  <c r="K322" i="3"/>
  <c r="K325" i="3" s="1"/>
  <c r="I1446" i="3"/>
  <c r="K1446" i="3" s="1"/>
  <c r="K2103" i="3"/>
  <c r="K2186" i="3"/>
  <c r="K3349" i="3"/>
  <c r="K3352" i="3" s="1"/>
  <c r="K3629" i="3"/>
  <c r="K3632" i="3" s="1"/>
  <c r="K4057" i="3"/>
  <c r="K4060" i="3" s="1"/>
  <c r="K4063" i="3" s="1"/>
  <c r="K4441" i="3"/>
  <c r="K4678" i="3"/>
  <c r="J1014" i="3"/>
  <c r="K2409" i="3"/>
  <c r="K2412" i="3" s="1"/>
  <c r="E774" i="3"/>
  <c r="K774" i="3" s="1"/>
  <c r="K1898" i="3"/>
  <c r="K1902" i="3" s="1"/>
  <c r="K1905" i="3" s="1"/>
  <c r="I2057" i="3"/>
  <c r="K2057" i="3" s="1"/>
  <c r="I2086" i="3"/>
  <c r="K2086" i="3" s="1"/>
  <c r="K2600" i="3"/>
  <c r="K2603" i="3" s="1"/>
  <c r="K2939" i="3"/>
  <c r="K2942" i="3" s="1"/>
  <c r="K3994" i="3"/>
  <c r="K3997" i="3" s="1"/>
  <c r="K4119" i="3"/>
  <c r="K4692" i="3"/>
  <c r="K4695" i="3" s="1"/>
  <c r="K264" i="3"/>
  <c r="K761" i="3"/>
  <c r="K764" i="3" s="1"/>
  <c r="K765" i="3" s="1"/>
  <c r="E843" i="3"/>
  <c r="E857" i="3"/>
  <c r="J943" i="3"/>
  <c r="E1147" i="3"/>
  <c r="K2135" i="3"/>
  <c r="K4247" i="3"/>
  <c r="K4250" i="3" s="1"/>
  <c r="E1109" i="3"/>
  <c r="E793" i="3"/>
  <c r="K1064" i="3"/>
  <c r="E869" i="3"/>
  <c r="J940" i="3"/>
  <c r="E972" i="3"/>
  <c r="J1082" i="3"/>
  <c r="E1118" i="3"/>
  <c r="J1212" i="3"/>
  <c r="I1504" i="3"/>
  <c r="K1504" i="3" s="1"/>
  <c r="K2535" i="3"/>
  <c r="K2538" i="3" s="1"/>
  <c r="K2777" i="3"/>
  <c r="K2780" i="3" s="1"/>
  <c r="K2781" i="3" s="1"/>
  <c r="K2913" i="3"/>
  <c r="K3115" i="3"/>
  <c r="K3118" i="3" s="1"/>
  <c r="K3187" i="3"/>
  <c r="K3190" i="3" s="1"/>
  <c r="K4222" i="3"/>
  <c r="K4414" i="3"/>
  <c r="K4417" i="3" s="1"/>
  <c r="K4790" i="3"/>
  <c r="K4794" i="3"/>
  <c r="E1228" i="3"/>
  <c r="E769" i="3"/>
  <c r="E1014" i="3"/>
  <c r="J1062" i="3"/>
  <c r="E1083" i="3"/>
  <c r="J1178" i="3"/>
  <c r="E841" i="3"/>
  <c r="K4772" i="3"/>
  <c r="K4775" i="3" s="1"/>
  <c r="K389" i="3"/>
  <c r="K392" i="3" s="1"/>
  <c r="J957" i="3"/>
  <c r="E1024" i="3"/>
  <c r="J1032" i="3"/>
  <c r="E1169" i="3"/>
  <c r="E1184" i="3"/>
  <c r="K2512" i="3"/>
  <c r="K2515" i="3" s="1"/>
  <c r="K2558" i="3"/>
  <c r="K2559" i="3" s="1"/>
  <c r="K2562" i="3" s="1"/>
  <c r="K3151" i="3"/>
  <c r="K3154" i="3" s="1"/>
  <c r="K3241" i="3"/>
  <c r="K3244" i="3" s="1"/>
  <c r="K3359" i="3"/>
  <c r="K3362" i="3" s="1"/>
  <c r="K3409" i="3"/>
  <c r="K3412" i="3" s="1"/>
  <c r="K3439" i="3"/>
  <c r="K3442" i="3" s="1"/>
  <c r="K3494" i="3"/>
  <c r="K3497" i="3" s="1"/>
  <c r="K3552" i="3"/>
  <c r="K3904" i="3"/>
  <c r="K3907" i="3" s="1"/>
  <c r="K3908" i="3" s="1"/>
  <c r="K4793" i="3"/>
  <c r="K4798" i="3"/>
  <c r="J958" i="3"/>
  <c r="K3758" i="3"/>
  <c r="K200" i="3"/>
  <c r="K1971" i="3"/>
  <c r="K1974" i="3" s="1"/>
  <c r="K2015" i="3"/>
  <c r="K2018" i="3" s="1"/>
  <c r="K2134" i="3"/>
  <c r="K3962" i="3"/>
  <c r="K3966" i="3" s="1"/>
  <c r="K3969" i="3" s="1"/>
  <c r="K4088" i="3"/>
  <c r="K4791" i="3"/>
  <c r="J1140" i="3"/>
  <c r="K1140" i="3" s="1"/>
  <c r="E1250" i="3"/>
  <c r="E1212" i="3"/>
  <c r="E924" i="3"/>
  <c r="K924" i="3" s="1"/>
  <c r="E873" i="3"/>
  <c r="E1029" i="3"/>
  <c r="K4792" i="3"/>
  <c r="J1298" i="3"/>
  <c r="K4346" i="3"/>
  <c r="K4349" i="3" s="1"/>
  <c r="K4350" i="3" s="1"/>
  <c r="E845" i="3"/>
  <c r="E1008" i="3"/>
  <c r="E979" i="3"/>
  <c r="E1055" i="3"/>
  <c r="J1008" i="3"/>
  <c r="J942" i="3"/>
  <c r="J1117" i="3"/>
  <c r="J926" i="3"/>
  <c r="E1053" i="3"/>
  <c r="E1302" i="3"/>
  <c r="E1220" i="3"/>
  <c r="E1198" i="3"/>
  <c r="E1100" i="3"/>
  <c r="E971" i="3"/>
  <c r="E1096" i="3"/>
  <c r="E1048" i="3"/>
  <c r="E1245" i="3"/>
  <c r="E1003" i="3"/>
  <c r="K833" i="3"/>
  <c r="E849" i="3"/>
  <c r="K849" i="3" s="1"/>
  <c r="J985" i="3"/>
  <c r="J1138" i="3"/>
  <c r="J1155" i="3"/>
  <c r="E1209" i="3"/>
  <c r="J1219" i="3"/>
  <c r="K1219" i="3" s="1"/>
  <c r="K1421" i="3"/>
  <c r="K1424" i="3" s="1"/>
  <c r="K1548" i="3"/>
  <c r="K1551" i="3" s="1"/>
  <c r="E926" i="3"/>
  <c r="K2580" i="3"/>
  <c r="K2583" i="3" s="1"/>
  <c r="K223" i="3"/>
  <c r="J1228" i="3"/>
  <c r="J1322" i="3"/>
  <c r="J1198" i="3"/>
  <c r="J1169" i="3"/>
  <c r="J1129" i="3"/>
  <c r="J1321" i="3"/>
  <c r="K1321" i="3" s="1"/>
  <c r="J1047" i="3"/>
  <c r="K794" i="3"/>
  <c r="J1233" i="3"/>
  <c r="J1056" i="3"/>
  <c r="J1156" i="3"/>
  <c r="E807" i="3"/>
  <c r="K807" i="3" s="1"/>
  <c r="E943" i="3"/>
  <c r="E958" i="3"/>
  <c r="J1002" i="3"/>
  <c r="E1031" i="3"/>
  <c r="J1095" i="3"/>
  <c r="K1344" i="3"/>
  <c r="I1444" i="3"/>
  <c r="K1444" i="3" s="1"/>
  <c r="I1485" i="3"/>
  <c r="K1485" i="3" s="1"/>
  <c r="K1841" i="3"/>
  <c r="K1844" i="3" s="1"/>
  <c r="J1162" i="3"/>
  <c r="K1162" i="3" s="1"/>
  <c r="J1040" i="3"/>
  <c r="K1040" i="3" s="1"/>
  <c r="K2900" i="3"/>
  <c r="K2903" i="3" s="1"/>
  <c r="K3029" i="3"/>
  <c r="K3032" i="3" s="1"/>
  <c r="E1183" i="3"/>
  <c r="E1252" i="3"/>
  <c r="K585" i="3"/>
  <c r="E1254" i="3"/>
  <c r="E796" i="3"/>
  <c r="E772" i="3"/>
  <c r="E1153" i="3"/>
  <c r="K2671" i="3"/>
  <c r="K2674" i="3" s="1"/>
  <c r="K1670" i="3"/>
  <c r="K1673" i="3" s="1"/>
  <c r="K332" i="3"/>
  <c r="K335" i="3" s="1"/>
  <c r="J1183" i="3"/>
  <c r="K1345" i="3"/>
  <c r="K1830" i="3"/>
  <c r="K1833" i="3" s="1"/>
  <c r="K1914" i="3"/>
  <c r="K1917" i="3" s="1"/>
  <c r="K1993" i="3"/>
  <c r="K1996" i="3" s="1"/>
  <c r="K2373" i="3"/>
  <c r="K3582" i="3"/>
  <c r="K3585" i="3" s="1"/>
  <c r="K3717" i="3"/>
  <c r="K2225" i="3"/>
  <c r="K2228" i="3" s="1"/>
  <c r="K485" i="3"/>
  <c r="K488" i="3" s="1"/>
  <c r="K784" i="3"/>
  <c r="K1656" i="3"/>
  <c r="K1659" i="3" s="1"/>
  <c r="K1852" i="3"/>
  <c r="K1855" i="3" s="1"/>
  <c r="K2610" i="3"/>
  <c r="K2613" i="3" s="1"/>
  <c r="K2614" i="3" s="1"/>
  <c r="K4550" i="3"/>
  <c r="K4551" i="3" s="1"/>
  <c r="K4552" i="3" s="1"/>
  <c r="K4555" i="3" s="1"/>
  <c r="I2446" i="3"/>
  <c r="K2446" i="3" s="1"/>
  <c r="K2631" i="3"/>
  <c r="K2634" i="3" s="1"/>
  <c r="K2797" i="3"/>
  <c r="K2800" i="3" s="1"/>
  <c r="K2890" i="3"/>
  <c r="K2893" i="3" s="1"/>
  <c r="K3008" i="3"/>
  <c r="K3011" i="3" s="1"/>
  <c r="K3323" i="3"/>
  <c r="K3326" i="3" s="1"/>
  <c r="K3327" i="3" s="1"/>
  <c r="K3371" i="3"/>
  <c r="K3373" i="3" s="1"/>
  <c r="K3376" i="3" s="1"/>
  <c r="K3377" i="3" s="1"/>
  <c r="K3419" i="3"/>
  <c r="K3422" i="3" s="1"/>
  <c r="K3984" i="3"/>
  <c r="K3987" i="3" s="1"/>
  <c r="K2185" i="3"/>
  <c r="K2420" i="3"/>
  <c r="K2423" i="3" s="1"/>
  <c r="K2621" i="3"/>
  <c r="K2624" i="3" s="1"/>
  <c r="K2863" i="3"/>
  <c r="K2865" i="3" s="1"/>
  <c r="K2868" i="3" s="1"/>
  <c r="K3618" i="3"/>
  <c r="K3621" i="3" s="1"/>
  <c r="K4357" i="3"/>
  <c r="K4360" i="3" s="1"/>
  <c r="K4751" i="3"/>
  <c r="K4754" i="3" s="1"/>
  <c r="K3662" i="3"/>
  <c r="K3851" i="3"/>
  <c r="K3854" i="3" s="1"/>
  <c r="K4186" i="3"/>
  <c r="K4189" i="3" s="1"/>
  <c r="K4477" i="3"/>
  <c r="K4479" i="3" s="1"/>
  <c r="K4482" i="3" s="1"/>
  <c r="K4761" i="3"/>
  <c r="K4764" i="3" s="1"/>
  <c r="K4765" i="3" s="1"/>
  <c r="K4608" i="3"/>
  <c r="K4611" i="3" s="1"/>
  <c r="K2104" i="3"/>
  <c r="K2379" i="3"/>
  <c r="K2380" i="3" s="1"/>
  <c r="K2929" i="3"/>
  <c r="K2932" i="3" s="1"/>
  <c r="K3042" i="3"/>
  <c r="K3043" i="3" s="1"/>
  <c r="K2767" i="3"/>
  <c r="K3141" i="3"/>
  <c r="K3144" i="3" s="1"/>
  <c r="K3167" i="3"/>
  <c r="K3170" i="3" s="1"/>
  <c r="K3276" i="3"/>
  <c r="K3279" i="3" s="1"/>
  <c r="K3560" i="3"/>
  <c r="K3916" i="3"/>
  <c r="K3919" i="3" s="1"/>
  <c r="K4576" i="3"/>
  <c r="K4577" i="3" s="1"/>
  <c r="K4580" i="3" s="1"/>
  <c r="K4644" i="3"/>
  <c r="K4647" i="3" s="1"/>
  <c r="K358" i="3"/>
  <c r="K361" i="3" s="1"/>
  <c r="K498" i="3"/>
  <c r="K501" i="3" s="1"/>
  <c r="K811" i="3"/>
  <c r="J1038" i="3"/>
  <c r="K1038" i="3" s="1"/>
  <c r="E1231" i="3"/>
  <c r="E1170" i="3"/>
  <c r="E1112" i="3"/>
  <c r="E1060" i="3"/>
  <c r="E922" i="3"/>
  <c r="E1199" i="3"/>
  <c r="E1181" i="3"/>
  <c r="E1150" i="3"/>
  <c r="K1150" i="3" s="1"/>
  <c r="E1013" i="3"/>
  <c r="E871" i="3"/>
  <c r="E1331" i="3"/>
  <c r="E1200" i="3"/>
  <c r="E1036" i="3"/>
  <c r="E956" i="3"/>
  <c r="E1247" i="3"/>
  <c r="E1050" i="3"/>
  <c r="E974" i="3"/>
  <c r="E962" i="3"/>
  <c r="E938" i="3"/>
  <c r="E1265" i="3"/>
  <c r="E1026" i="3"/>
  <c r="E947" i="3"/>
  <c r="E984" i="3"/>
  <c r="E1211" i="3"/>
  <c r="E1192" i="3"/>
  <c r="J1113" i="3"/>
  <c r="K1113" i="3" s="1"/>
  <c r="J923" i="3"/>
  <c r="K923" i="3" s="1"/>
  <c r="J1249" i="3"/>
  <c r="K1249" i="3" s="1"/>
  <c r="J1182" i="3"/>
  <c r="K1182" i="3" s="1"/>
  <c r="J1151" i="3"/>
  <c r="K1151" i="3" s="1"/>
  <c r="J1005" i="3"/>
  <c r="K1005" i="3" s="1"/>
  <c r="J976" i="3"/>
  <c r="K976" i="3" s="1"/>
  <c r="J1052" i="3"/>
  <c r="K1052" i="3" s="1"/>
  <c r="J1028" i="3"/>
  <c r="K1028" i="3" s="1"/>
  <c r="J1152" i="3"/>
  <c r="K1152" i="3" s="1"/>
  <c r="K872" i="3"/>
  <c r="J1114" i="3"/>
  <c r="K1114" i="3" s="1"/>
  <c r="J930" i="3"/>
  <c r="K930" i="3" s="1"/>
  <c r="J1248" i="3"/>
  <c r="K1248" i="3" s="1"/>
  <c r="J975" i="3"/>
  <c r="K975" i="3" s="1"/>
  <c r="K842" i="3"/>
  <c r="J939" i="3"/>
  <c r="K939" i="3" s="1"/>
  <c r="J1051" i="3"/>
  <c r="K1051" i="3" s="1"/>
  <c r="J1027" i="3"/>
  <c r="K1027" i="3" s="1"/>
  <c r="J1033" i="3"/>
  <c r="J981" i="3"/>
  <c r="J1132" i="3"/>
  <c r="J1098" i="3"/>
  <c r="J1085" i="3"/>
  <c r="E771" i="3"/>
  <c r="E1332" i="3"/>
  <c r="K1332" i="3" s="1"/>
  <c r="E1208" i="3"/>
  <c r="E1129" i="3"/>
  <c r="E1123" i="3"/>
  <c r="E1082" i="3"/>
  <c r="E1062" i="3"/>
  <c r="E1023" i="3"/>
  <c r="E1322" i="3"/>
  <c r="E1191" i="3"/>
  <c r="E1095" i="3"/>
  <c r="E1047" i="3"/>
  <c r="E985" i="3"/>
  <c r="E870" i="3"/>
  <c r="E1006" i="3"/>
  <c r="E1115" i="3"/>
  <c r="E957" i="3"/>
  <c r="E940" i="3"/>
  <c r="E795" i="3"/>
  <c r="E1253" i="3"/>
  <c r="E1056" i="3"/>
  <c r="E1233" i="3"/>
  <c r="E927" i="3"/>
  <c r="E798" i="3"/>
  <c r="E1117" i="3"/>
  <c r="E942" i="3"/>
  <c r="E1155" i="3"/>
  <c r="E875" i="3"/>
  <c r="E831" i="3"/>
  <c r="E844" i="3"/>
  <c r="E856" i="3"/>
  <c r="E860" i="3"/>
  <c r="J927" i="3"/>
  <c r="J973" i="3"/>
  <c r="E977" i="3"/>
  <c r="E980" i="3"/>
  <c r="K980" i="3" s="1"/>
  <c r="E982" i="3"/>
  <c r="E1002" i="3"/>
  <c r="E1011" i="3"/>
  <c r="E1032" i="3"/>
  <c r="E1034" i="3"/>
  <c r="J1036" i="3"/>
  <c r="J1049" i="3"/>
  <c r="J1060" i="3"/>
  <c r="J1086" i="3"/>
  <c r="J1096" i="3"/>
  <c r="E1116" i="3"/>
  <c r="J1149" i="3"/>
  <c r="E1178" i="3"/>
  <c r="E1180" i="3"/>
  <c r="J1208" i="3"/>
  <c r="E1213" i="3"/>
  <c r="J1254" i="3"/>
  <c r="J1294" i="3"/>
  <c r="K1294" i="3" s="1"/>
  <c r="J1331" i="3"/>
  <c r="K1684" i="3"/>
  <c r="K1687" i="3" s="1"/>
  <c r="E773" i="3"/>
  <c r="E783" i="3"/>
  <c r="E785" i="3"/>
  <c r="J1292" i="3"/>
  <c r="K1292" i="3" s="1"/>
  <c r="J1259" i="3"/>
  <c r="K1259" i="3" s="1"/>
  <c r="J1244" i="3"/>
  <c r="J1100" i="3"/>
  <c r="J1302" i="3"/>
  <c r="E1229" i="3"/>
  <c r="E1110" i="3"/>
  <c r="E1296" i="3"/>
  <c r="E1179" i="3"/>
  <c r="E1148" i="3"/>
  <c r="J1153" i="3"/>
  <c r="J977" i="3"/>
  <c r="J1253" i="3"/>
  <c r="J1213" i="3"/>
  <c r="J1184" i="3"/>
  <c r="J1009" i="3"/>
  <c r="K1009" i="3" s="1"/>
  <c r="J1031" i="3"/>
  <c r="J979" i="3"/>
  <c r="E806" i="3"/>
  <c r="E809" i="3"/>
  <c r="I812" i="3"/>
  <c r="K812" i="3" s="1"/>
  <c r="E819" i="3"/>
  <c r="E846" i="3"/>
  <c r="E848" i="3"/>
  <c r="E858" i="3"/>
  <c r="E874" i="3"/>
  <c r="E876" i="3"/>
  <c r="E878" i="3"/>
  <c r="I880" i="3"/>
  <c r="K880" i="3" s="1"/>
  <c r="J925" i="3"/>
  <c r="J941" i="3"/>
  <c r="J944" i="3"/>
  <c r="J959" i="3"/>
  <c r="J971" i="3"/>
  <c r="I994" i="3"/>
  <c r="K994" i="3" s="1"/>
  <c r="J1006" i="3"/>
  <c r="J1023" i="3"/>
  <c r="J1029" i="3"/>
  <c r="J1053" i="3"/>
  <c r="J1055" i="3"/>
  <c r="J1084" i="3"/>
  <c r="J1099" i="3"/>
  <c r="J1109" i="3"/>
  <c r="J1118" i="3"/>
  <c r="J1123" i="3"/>
  <c r="E1130" i="3"/>
  <c r="E1133" i="3"/>
  <c r="E1138" i="3"/>
  <c r="J1147" i="3"/>
  <c r="E1154" i="3"/>
  <c r="E1156" i="3"/>
  <c r="E1158" i="3"/>
  <c r="J1170" i="3"/>
  <c r="E1185" i="3"/>
  <c r="J1190" i="3"/>
  <c r="K1190" i="3" s="1"/>
  <c r="J1215" i="3"/>
  <c r="J1220" i="3"/>
  <c r="E1244" i="3"/>
  <c r="J1250" i="3"/>
  <c r="J1252" i="3"/>
  <c r="K1762" i="3"/>
  <c r="K1765" i="3" s="1"/>
  <c r="K1888" i="3"/>
  <c r="K1891" i="3" s="1"/>
  <c r="K1892" i="3" s="1"/>
  <c r="J1229" i="3"/>
  <c r="J972" i="3"/>
  <c r="J1209" i="3"/>
  <c r="J1130" i="3"/>
  <c r="J1083" i="3"/>
  <c r="J1024" i="3"/>
  <c r="E797" i="3"/>
  <c r="K797" i="3" s="1"/>
  <c r="E821" i="3"/>
  <c r="E823" i="3"/>
  <c r="E928" i="3"/>
  <c r="K928" i="3" s="1"/>
  <c r="E978" i="3"/>
  <c r="J984" i="3"/>
  <c r="J1004" i="3"/>
  <c r="J1034" i="3"/>
  <c r="J1058" i="3"/>
  <c r="J1097" i="3"/>
  <c r="J1112" i="3"/>
  <c r="K1136" i="3"/>
  <c r="J1180" i="3"/>
  <c r="J1192" i="3"/>
  <c r="J1231" i="3"/>
  <c r="E1234" i="3"/>
  <c r="J1255" i="3"/>
  <c r="K1707" i="3"/>
  <c r="K1710" i="3" s="1"/>
  <c r="I1257" i="3"/>
  <c r="K1257" i="3" s="1"/>
  <c r="I825" i="3"/>
  <c r="K825" i="3" s="1"/>
  <c r="E945" i="3"/>
  <c r="J982" i="3"/>
  <c r="E1007" i="3"/>
  <c r="I1061" i="3"/>
  <c r="K1061" i="3" s="1"/>
  <c r="E1085" i="3"/>
  <c r="J1110" i="3"/>
  <c r="J1116" i="3"/>
  <c r="E1131" i="3"/>
  <c r="J1133" i="3"/>
  <c r="J1158" i="3"/>
  <c r="J1185" i="3"/>
  <c r="J1199" i="3"/>
  <c r="E1214" i="3"/>
  <c r="J1296" i="3"/>
  <c r="E1058" i="3"/>
  <c r="E1255" i="3"/>
  <c r="E1235" i="3"/>
  <c r="E1215" i="3"/>
  <c r="E929" i="3"/>
  <c r="E808" i="3"/>
  <c r="E832" i="3"/>
  <c r="J922" i="3"/>
  <c r="J978" i="3"/>
  <c r="E981" i="3"/>
  <c r="E1010" i="3"/>
  <c r="J1030" i="3"/>
  <c r="E1098" i="3"/>
  <c r="J1119" i="3"/>
  <c r="J1148" i="3"/>
  <c r="J1154" i="3"/>
  <c r="E1210" i="3"/>
  <c r="E1230" i="3"/>
  <c r="J1234" i="3"/>
  <c r="K1951" i="3"/>
  <c r="K1954" i="3" s="1"/>
  <c r="J1265" i="3"/>
  <c r="J1211" i="3"/>
  <c r="J1026" i="3"/>
  <c r="J1013" i="3"/>
  <c r="J938" i="3"/>
  <c r="J1200" i="3"/>
  <c r="J1050" i="3"/>
  <c r="J947" i="3"/>
  <c r="J1120" i="3"/>
  <c r="J1011" i="3"/>
  <c r="J1186" i="3"/>
  <c r="J945" i="3"/>
  <c r="E1030" i="3"/>
  <c r="E1054" i="3"/>
  <c r="K1054" i="3" s="1"/>
  <c r="E847" i="3"/>
  <c r="J962" i="3"/>
  <c r="J974" i="3"/>
  <c r="E1025" i="3"/>
  <c r="E1033" i="3"/>
  <c r="E1057" i="3"/>
  <c r="E1086" i="3"/>
  <c r="E1111" i="3"/>
  <c r="J1131" i="3"/>
  <c r="E1186" i="3"/>
  <c r="E1293" i="3"/>
  <c r="E1246" i="3"/>
  <c r="K1246" i="3" s="1"/>
  <c r="E1097" i="3"/>
  <c r="E1049" i="3"/>
  <c r="E1004" i="3"/>
  <c r="E1157" i="3"/>
  <c r="E1119" i="3"/>
  <c r="E944" i="3"/>
  <c r="E959" i="3"/>
  <c r="E877" i="3"/>
  <c r="E859" i="3"/>
  <c r="J1251" i="3"/>
  <c r="K1251" i="3" s="1"/>
  <c r="J1007" i="3"/>
  <c r="E810" i="3"/>
  <c r="E820" i="3"/>
  <c r="E822" i="3"/>
  <c r="E925" i="3"/>
  <c r="E941" i="3"/>
  <c r="J960" i="3"/>
  <c r="E973" i="3"/>
  <c r="J1010" i="3"/>
  <c r="J1048" i="3"/>
  <c r="E1120" i="3"/>
  <c r="I1134" i="3"/>
  <c r="K1134" i="3" s="1"/>
  <c r="E1149" i="3"/>
  <c r="J1179" i="3"/>
  <c r="J1181" i="3"/>
  <c r="J1210" i="3"/>
  <c r="J1214" i="3"/>
  <c r="J1230" i="3"/>
  <c r="J1235" i="3"/>
  <c r="J1247" i="3"/>
  <c r="J929" i="3"/>
  <c r="J956" i="3"/>
  <c r="I963" i="3"/>
  <c r="K963" i="3" s="1"/>
  <c r="J1003" i="3"/>
  <c r="J1025" i="3"/>
  <c r="J1057" i="3"/>
  <c r="E1084" i="3"/>
  <c r="E1099" i="3"/>
  <c r="J1111" i="3"/>
  <c r="E1132" i="3"/>
  <c r="I1137" i="3"/>
  <c r="K1137" i="3" s="1"/>
  <c r="J1157" i="3"/>
  <c r="J1245" i="3"/>
  <c r="I1267" i="3"/>
  <c r="K1267" i="3" s="1"/>
  <c r="J1297" i="3"/>
  <c r="K1297" i="3" s="1"/>
  <c r="I1324" i="3"/>
  <c r="K1324" i="3" s="1"/>
  <c r="K2254" i="3"/>
  <c r="K2257" i="3" s="1"/>
  <c r="K3051" i="3"/>
  <c r="K3054" i="3" s="1"/>
  <c r="K3085" i="3"/>
  <c r="K3088" i="3" s="1"/>
  <c r="K1938" i="3"/>
  <c r="K1941" i="3" s="1"/>
  <c r="K2165" i="3"/>
  <c r="K2168" i="3" s="1"/>
  <c r="K2387" i="3"/>
  <c r="K2388" i="3" s="1"/>
  <c r="K2391" i="3" s="1"/>
  <c r="K2968" i="3"/>
  <c r="K2971" i="3" s="1"/>
  <c r="K2027" i="3"/>
  <c r="K2030" i="3" s="1"/>
  <c r="I2085" i="3"/>
  <c r="K2085" i="3" s="1"/>
  <c r="K2833" i="3"/>
  <c r="K2836" i="3" s="1"/>
  <c r="K3449" i="3"/>
  <c r="K3452" i="3" s="1"/>
  <c r="K3566" i="3"/>
  <c r="K3569" i="3" s="1"/>
  <c r="K3570" i="3" s="1"/>
  <c r="K4113" i="3"/>
  <c r="K3479" i="3"/>
  <c r="K3482" i="3" s="1"/>
  <c r="K3127" i="3"/>
  <c r="K3130" i="3" s="1"/>
  <c r="K3301" i="3"/>
  <c r="K3304" i="3" s="1"/>
  <c r="K3747" i="3"/>
  <c r="K4012" i="3"/>
  <c r="K4507" i="3"/>
  <c r="K4510" i="3" s="1"/>
  <c r="K4511" i="3" s="1"/>
  <c r="K15" i="7"/>
  <c r="L15" i="7" s="1"/>
  <c r="M15" i="7" s="1"/>
  <c r="K33" i="7"/>
  <c r="L33" i="7" s="1"/>
  <c r="M33" i="7" s="1"/>
  <c r="K36" i="7"/>
  <c r="L36" i="7" s="1"/>
  <c r="M36" i="7" s="1"/>
  <c r="K4070" i="3"/>
  <c r="K4073" i="3" s="1"/>
  <c r="K4325" i="3"/>
  <c r="K4328" i="3" s="1"/>
  <c r="K4713" i="3"/>
  <c r="K4716" i="3" s="1"/>
  <c r="K13" i="7"/>
  <c r="L13" i="7" s="1"/>
  <c r="M13" i="7" s="1"/>
  <c r="K5" i="7"/>
  <c r="L5" i="7" s="1"/>
  <c r="M5" i="7" s="1"/>
  <c r="K42" i="7"/>
  <c r="L42" i="7" s="1"/>
  <c r="M42" i="7" s="1"/>
  <c r="K14" i="7"/>
  <c r="L14" i="7" s="1"/>
  <c r="M14" i="7" s="1"/>
  <c r="K32" i="7"/>
  <c r="L32" i="7" s="1"/>
  <c r="M32" i="7" s="1"/>
  <c r="K4628" i="3" l="1"/>
  <c r="K4620" i="3"/>
  <c r="K4616" i="3"/>
  <c r="K4624" i="3"/>
  <c r="E2284" i="3"/>
  <c r="K2284" i="3" s="1"/>
  <c r="K2285" i="3" s="1"/>
  <c r="K2286" i="3" s="1"/>
  <c r="K1876" i="3"/>
  <c r="K1879" i="3" s="1"/>
  <c r="K1880" i="3" s="1"/>
  <c r="K683" i="3"/>
  <c r="K2635" i="3"/>
  <c r="K4027" i="3"/>
  <c r="K3843" i="3"/>
  <c r="K4045" i="3"/>
  <c r="K1918" i="3"/>
  <c r="K3855" i="3"/>
  <c r="K4670" i="3"/>
  <c r="K3921" i="3"/>
  <c r="K3955" i="3"/>
  <c r="K4696" i="3"/>
  <c r="K4556" i="3"/>
  <c r="K2551" i="3"/>
  <c r="K3939" i="3"/>
  <c r="K3946" i="3"/>
  <c r="K3948" i="3" s="1"/>
  <c r="K3826" i="3"/>
  <c r="K3827" i="3" s="1"/>
  <c r="K4483" i="3"/>
  <c r="K4717" i="3"/>
  <c r="K3199" i="3"/>
  <c r="K3234" i="3"/>
  <c r="K4755" i="3"/>
  <c r="K3633" i="3"/>
  <c r="K3353" i="3"/>
  <c r="K1964" i="3"/>
  <c r="K3835" i="3"/>
  <c r="K4091" i="3"/>
  <c r="K4094" i="3" s="1"/>
  <c r="K4095" i="3" s="1"/>
  <c r="K3759" i="3"/>
  <c r="K4224" i="3"/>
  <c r="K4227" i="3" s="1"/>
  <c r="K4228" i="3" s="1"/>
  <c r="K3641" i="3"/>
  <c r="K1298" i="3"/>
  <c r="K4329" i="3"/>
  <c r="K4064" i="3"/>
  <c r="K3109" i="3"/>
  <c r="K4799" i="3"/>
  <c r="K4802" i="3" s="1"/>
  <c r="K4803" i="3" s="1"/>
  <c r="K2992" i="3"/>
  <c r="K1674" i="3"/>
  <c r="K2675" i="3"/>
  <c r="K2770" i="3"/>
  <c r="K2771" i="3" s="1"/>
  <c r="K547" i="3"/>
  <c r="K4081" i="3"/>
  <c r="K4082" i="3" s="1"/>
  <c r="K2837" i="3"/>
  <c r="K4776" i="3"/>
  <c r="K4074" i="3"/>
  <c r="K1688" i="3"/>
  <c r="K3423" i="3"/>
  <c r="K3498" i="3"/>
  <c r="K3012" i="3"/>
  <c r="K700" i="3"/>
  <c r="K2424" i="3"/>
  <c r="K1552" i="3"/>
  <c r="K3413" i="3"/>
  <c r="K1786" i="3"/>
  <c r="K1178" i="3"/>
  <c r="K1082" i="3"/>
  <c r="K3586" i="3"/>
  <c r="K3970" i="3"/>
  <c r="K1056" i="3"/>
  <c r="K957" i="3"/>
  <c r="K960" i="3"/>
  <c r="K3861" i="3"/>
  <c r="K3862" i="3" s="1"/>
  <c r="K1184" i="3"/>
  <c r="K732" i="3"/>
  <c r="K1252" i="3"/>
  <c r="K985" i="3"/>
  <c r="K3998" i="3"/>
  <c r="K3622" i="3"/>
  <c r="K2229" i="3"/>
  <c r="K2413" i="3"/>
  <c r="K3089" i="3"/>
  <c r="K3988" i="3"/>
  <c r="K4190" i="3"/>
  <c r="K2258" i="3"/>
  <c r="K3131" i="3"/>
  <c r="K2801" i="3"/>
  <c r="K4612" i="3"/>
  <c r="K1975" i="3"/>
  <c r="K2392" i="3"/>
  <c r="K1371" i="3"/>
  <c r="K1024" i="3"/>
  <c r="K1191" i="3"/>
  <c r="K684" i="3"/>
  <c r="K3509" i="3"/>
  <c r="K3191" i="3"/>
  <c r="K3155" i="3"/>
  <c r="K1866" i="3"/>
  <c r="K2169" i="3"/>
  <c r="K2563" i="3"/>
  <c r="K3433" i="3"/>
  <c r="K3536" i="3"/>
  <c r="K3280" i="3"/>
  <c r="K4361" i="3"/>
  <c r="K393" i="3"/>
  <c r="K4519" i="3"/>
  <c r="K4520" i="3" s="1"/>
  <c r="K2516" i="3"/>
  <c r="K4273" i="3"/>
  <c r="K1425" i="3"/>
  <c r="K3483" i="3"/>
  <c r="K2139" i="3"/>
  <c r="K2142" i="3" s="1"/>
  <c r="K2143" i="3" s="1"/>
  <c r="K1955" i="3"/>
  <c r="K2114" i="3"/>
  <c r="K2117" i="3" s="1"/>
  <c r="K2118" i="3" s="1"/>
  <c r="K3305" i="3"/>
  <c r="K3463" i="3"/>
  <c r="K1766" i="3"/>
  <c r="K2539" i="3"/>
  <c r="K2604" i="3"/>
  <c r="K3022" i="3"/>
  <c r="I1201" i="3"/>
  <c r="K1201" i="3" s="1"/>
  <c r="I931" i="3"/>
  <c r="K931" i="3" s="1"/>
  <c r="I1333" i="3"/>
  <c r="K1333" i="3" s="1"/>
  <c r="I1171" i="3"/>
  <c r="K1171" i="3" s="1"/>
  <c r="I1015" i="3"/>
  <c r="K1015" i="3" s="1"/>
  <c r="I1101" i="3"/>
  <c r="K1101" i="3" s="1"/>
  <c r="I850" i="3"/>
  <c r="K850" i="3" s="1"/>
  <c r="I986" i="3"/>
  <c r="K986" i="3" s="1"/>
  <c r="I775" i="3"/>
  <c r="K775" i="3" s="1"/>
  <c r="I948" i="3"/>
  <c r="K948" i="3" s="1"/>
  <c r="I897" i="3"/>
  <c r="K897" i="3" s="1"/>
  <c r="I1160" i="3"/>
  <c r="K1160" i="3" s="1"/>
  <c r="I1189" i="3"/>
  <c r="K1189" i="3" s="1"/>
  <c r="I1135" i="3"/>
  <c r="K1135" i="3" s="1"/>
  <c r="I1299" i="3"/>
  <c r="K1299" i="3" s="1"/>
  <c r="I800" i="3"/>
  <c r="K800" i="3" s="1"/>
  <c r="I1237" i="3"/>
  <c r="K1237" i="3" s="1"/>
  <c r="I889" i="3"/>
  <c r="K889" i="3" s="1"/>
  <c r="K776" i="3"/>
  <c r="K4279" i="3"/>
  <c r="K2049" i="3"/>
  <c r="K231" i="3"/>
  <c r="K232" i="3" s="1"/>
  <c r="K233" i="3" s="1"/>
  <c r="K3878" i="3"/>
  <c r="K3879" i="3" s="1"/>
  <c r="K2972" i="3"/>
  <c r="K1153" i="3"/>
  <c r="I1012" i="3"/>
  <c r="K1012" i="3" s="1"/>
  <c r="K2736" i="3"/>
  <c r="K3216" i="3"/>
  <c r="K326" i="3"/>
  <c r="K2701" i="3"/>
  <c r="K4418" i="3"/>
  <c r="I1256" i="3"/>
  <c r="K1256" i="3" s="1"/>
  <c r="I961" i="3"/>
  <c r="K961" i="3" s="1"/>
  <c r="K4216" i="3"/>
  <c r="K3145" i="3"/>
  <c r="K1856" i="3"/>
  <c r="K3033" i="3"/>
  <c r="K1942" i="3"/>
  <c r="K1803" i="3"/>
  <c r="K721" i="3"/>
  <c r="K336" i="3"/>
  <c r="K3443" i="3"/>
  <c r="K3119" i="3"/>
  <c r="K4648" i="3"/>
  <c r="I1059" i="3"/>
  <c r="K1059" i="3" s="1"/>
  <c r="K4290" i="3"/>
  <c r="K509" i="3"/>
  <c r="K3894" i="3"/>
  <c r="K3895" i="3" s="1"/>
  <c r="K1476" i="3"/>
  <c r="I1035" i="3"/>
  <c r="K1035" i="3" s="1"/>
  <c r="K2625" i="3"/>
  <c r="I1121" i="3"/>
  <c r="K1121" i="3" s="1"/>
  <c r="K438" i="3"/>
  <c r="K4164" i="3"/>
  <c r="K4165" i="3" s="1"/>
  <c r="K4240" i="3" s="1"/>
  <c r="I1236" i="3"/>
  <c r="K1236" i="3" s="1"/>
  <c r="I983" i="3"/>
  <c r="K983" i="3" s="1"/>
  <c r="K2894" i="3"/>
  <c r="I1216" i="3"/>
  <c r="K1216" i="3" s="1"/>
  <c r="K3363" i="3"/>
  <c r="K2951" i="3"/>
  <c r="K300" i="3"/>
  <c r="K301" i="3" s="1"/>
  <c r="I1187" i="3"/>
  <c r="K1187" i="3" s="1"/>
  <c r="I946" i="3"/>
  <c r="K946" i="3" s="1"/>
  <c r="K1491" i="3"/>
  <c r="K1494" i="3" s="1"/>
  <c r="K1495" i="3" s="1"/>
  <c r="K1450" i="3"/>
  <c r="K1453" i="3" s="1"/>
  <c r="K1454" i="3" s="1"/>
  <c r="K1032" i="3"/>
  <c r="K793" i="3"/>
  <c r="K1228" i="3"/>
  <c r="K971" i="3"/>
  <c r="K819" i="3"/>
  <c r="K769" i="3"/>
  <c r="I949" i="3"/>
  <c r="K949" i="3" s="1"/>
  <c r="K3453" i="3"/>
  <c r="I1088" i="3"/>
  <c r="K1088" i="3" s="1"/>
  <c r="I861" i="3"/>
  <c r="K861" i="3" s="1"/>
  <c r="I1266" i="3"/>
  <c r="K1266" i="3" s="1"/>
  <c r="I1102" i="3"/>
  <c r="K1102" i="3" s="1"/>
  <c r="I888" i="3"/>
  <c r="K888" i="3" s="1"/>
  <c r="I1037" i="3"/>
  <c r="K1037" i="3" s="1"/>
  <c r="I787" i="3"/>
  <c r="K787" i="3" s="1"/>
  <c r="K1209" i="3"/>
  <c r="K1118" i="3"/>
  <c r="I799" i="3"/>
  <c r="K799" i="3" s="1"/>
  <c r="K502" i="3"/>
  <c r="I813" i="3"/>
  <c r="K813" i="3" s="1"/>
  <c r="K2943" i="3"/>
  <c r="K4448" i="3"/>
  <c r="K4449" i="3" s="1"/>
  <c r="I1139" i="3"/>
  <c r="K1139" i="3" s="1"/>
  <c r="I1188" i="3"/>
  <c r="K1188" i="3" s="1"/>
  <c r="I881" i="3"/>
  <c r="K881" i="3" s="1"/>
  <c r="I1217" i="3"/>
  <c r="K1217" i="3" s="1"/>
  <c r="K2869" i="3"/>
  <c r="K1997" i="3"/>
  <c r="K2904" i="3"/>
  <c r="I834" i="3"/>
  <c r="K834" i="3" s="1"/>
  <c r="K3595" i="3"/>
  <c r="K3598" i="3" s="1"/>
  <c r="K3599" i="3" s="1"/>
  <c r="K2093" i="3"/>
  <c r="K2096" i="3" s="1"/>
  <c r="K2097" i="3" s="1"/>
  <c r="K1276" i="3"/>
  <c r="K1277" i="3" s="1"/>
  <c r="K1278" i="3" s="1"/>
  <c r="K1660" i="3"/>
  <c r="K1906" i="3"/>
  <c r="I1122" i="3"/>
  <c r="K1122" i="3" s="1"/>
  <c r="I1161" i="3"/>
  <c r="K1161" i="3" s="1"/>
  <c r="K3171" i="3"/>
  <c r="K2064" i="3"/>
  <c r="K2067" i="3" s="1"/>
  <c r="K2068" i="3" s="1"/>
  <c r="I1334" i="3"/>
  <c r="K1334" i="3" s="1"/>
  <c r="K1711" i="3"/>
  <c r="I1063" i="3"/>
  <c r="K1063" i="3" s="1"/>
  <c r="I1039" i="3"/>
  <c r="K1039" i="3" s="1"/>
  <c r="I898" i="3"/>
  <c r="K898" i="3" s="1"/>
  <c r="I995" i="3"/>
  <c r="K995" i="3" s="1"/>
  <c r="K996" i="3" s="1"/>
  <c r="K997" i="3" s="1"/>
  <c r="I1087" i="3"/>
  <c r="K1087" i="3" s="1"/>
  <c r="I1325" i="3"/>
  <c r="K1325" i="3" s="1"/>
  <c r="I964" i="3"/>
  <c r="K964" i="3" s="1"/>
  <c r="I1218" i="3"/>
  <c r="K1218" i="3" s="1"/>
  <c r="K4581" i="3"/>
  <c r="K2933" i="3"/>
  <c r="K1845" i="3"/>
  <c r="I1016" i="3"/>
  <c r="K1016" i="3" s="1"/>
  <c r="I1303" i="3"/>
  <c r="K1303" i="3" s="1"/>
  <c r="K3055" i="3"/>
  <c r="K1084" i="3"/>
  <c r="I786" i="3"/>
  <c r="K786" i="3" s="1"/>
  <c r="I987" i="3"/>
  <c r="K987" i="3" s="1"/>
  <c r="I1323" i="3"/>
  <c r="K1323" i="3" s="1"/>
  <c r="I1258" i="3"/>
  <c r="K1258" i="3" s="1"/>
  <c r="I862" i="3"/>
  <c r="K862" i="3" s="1"/>
  <c r="I896" i="3"/>
  <c r="K896" i="3" s="1"/>
  <c r="I824" i="3"/>
  <c r="K824" i="3" s="1"/>
  <c r="K2451" i="3"/>
  <c r="K2454" i="3" s="1"/>
  <c r="K2455" i="3" s="1"/>
  <c r="K3245" i="3"/>
  <c r="K4251" i="3"/>
  <c r="K4207" i="3"/>
  <c r="K4208" i="3" s="1"/>
  <c r="K2496" i="3"/>
  <c r="K925" i="3"/>
  <c r="K859" i="3"/>
  <c r="J1510" i="3"/>
  <c r="K1513" i="3" s="1"/>
  <c r="K1514" i="3" s="1"/>
  <c r="K822" i="3"/>
  <c r="K875" i="3"/>
  <c r="K1047" i="3"/>
  <c r="K846" i="3"/>
  <c r="K1293" i="3"/>
  <c r="K1295" i="3" s="1"/>
  <c r="K772" i="3"/>
  <c r="K1138" i="3"/>
  <c r="K1254" i="3"/>
  <c r="K795" i="3"/>
  <c r="K1048" i="3"/>
  <c r="K821" i="3"/>
  <c r="K832" i="3"/>
  <c r="K1055" i="3"/>
  <c r="K1302" i="3"/>
  <c r="K1346" i="3"/>
  <c r="K1349" i="3" s="1"/>
  <c r="K1350" i="3" s="1"/>
  <c r="K362" i="3"/>
  <c r="K1003" i="3"/>
  <c r="K808" i="3"/>
  <c r="K771" i="3"/>
  <c r="K820" i="3"/>
  <c r="K1085" i="3"/>
  <c r="K1115" i="3"/>
  <c r="K2196" i="3"/>
  <c r="K2199" i="3" s="1"/>
  <c r="K2200" i="3" s="1"/>
  <c r="K841" i="3"/>
  <c r="K1635" i="3"/>
  <c r="K1014" i="3"/>
  <c r="K1031" i="3"/>
  <c r="K1169" i="3"/>
  <c r="K783" i="3"/>
  <c r="K856" i="3"/>
  <c r="K1096" i="3"/>
  <c r="K1155" i="3"/>
  <c r="K1095" i="3"/>
  <c r="K1212" i="3"/>
  <c r="K843" i="3"/>
  <c r="K1132" i="3"/>
  <c r="K1098" i="3"/>
  <c r="K1053" i="3"/>
  <c r="K3784" i="3"/>
  <c r="K1086" i="3"/>
  <c r="K858" i="3"/>
  <c r="K979" i="3"/>
  <c r="K1245" i="3"/>
  <c r="K1099" i="3"/>
  <c r="K2019" i="3"/>
  <c r="K489" i="3"/>
  <c r="K2031" i="3"/>
  <c r="K2584" i="3"/>
  <c r="K1834" i="3"/>
  <c r="K877" i="3"/>
  <c r="K1233" i="3"/>
  <c r="K1931" i="3"/>
  <c r="K1932" i="3" s="1"/>
  <c r="K907" i="3"/>
  <c r="K908" i="3" s="1"/>
  <c r="E2294" i="3"/>
  <c r="K2294" i="3" s="1"/>
  <c r="K2295" i="3" s="1"/>
  <c r="K873" i="3"/>
  <c r="K926" i="3"/>
  <c r="K1156" i="3"/>
  <c r="K1002" i="3"/>
  <c r="E469" i="3"/>
  <c r="K469" i="3" s="1"/>
  <c r="K1129" i="3"/>
  <c r="K806" i="3"/>
  <c r="K940" i="3"/>
  <c r="K1255" i="3"/>
  <c r="K895" i="3"/>
  <c r="K1215" i="3"/>
  <c r="K981" i="3"/>
  <c r="K972" i="3"/>
  <c r="K1250" i="3"/>
  <c r="K857" i="3"/>
  <c r="K1083" i="3"/>
  <c r="K823" i="3"/>
  <c r="K1109" i="3"/>
  <c r="K1062" i="3"/>
  <c r="K810" i="3"/>
  <c r="K869" i="3"/>
  <c r="K958" i="3"/>
  <c r="K1029" i="3"/>
  <c r="K809" i="3"/>
  <c r="K1198" i="3"/>
  <c r="K1097" i="3"/>
  <c r="K945" i="3"/>
  <c r="K1147" i="3"/>
  <c r="K796" i="3"/>
  <c r="K943" i="3"/>
  <c r="K845" i="3"/>
  <c r="K942" i="3"/>
  <c r="K944" i="3"/>
  <c r="K1033" i="3"/>
  <c r="K1117" i="3"/>
  <c r="K1322" i="3"/>
  <c r="K1149" i="3"/>
  <c r="K1058" i="3"/>
  <c r="K1244" i="3"/>
  <c r="K798" i="3"/>
  <c r="K1183" i="3"/>
  <c r="K1119" i="3"/>
  <c r="K4124" i="3"/>
  <c r="K4127" i="3" s="1"/>
  <c r="K4128" i="3" s="1"/>
  <c r="K973" i="3"/>
  <c r="K1214" i="3"/>
  <c r="K1100" i="3"/>
  <c r="K959" i="3"/>
  <c r="K1004" i="3"/>
  <c r="K1111" i="3"/>
  <c r="K1210" i="3"/>
  <c r="K1220" i="3"/>
  <c r="K870" i="3"/>
  <c r="E470" i="3"/>
  <c r="K470" i="3" s="1"/>
  <c r="K941" i="3"/>
  <c r="K1049" i="3"/>
  <c r="K876" i="3"/>
  <c r="K1008" i="3"/>
  <c r="K1120" i="3"/>
  <c r="K1158" i="3"/>
  <c r="K848" i="3"/>
  <c r="K1148" i="3"/>
  <c r="K1213" i="3"/>
  <c r="K1026" i="3"/>
  <c r="K1036" i="3"/>
  <c r="K922" i="3"/>
  <c r="K1025" i="3"/>
  <c r="K1179" i="3"/>
  <c r="K1116" i="3"/>
  <c r="K977" i="3"/>
  <c r="K860" i="3"/>
  <c r="K1123" i="3"/>
  <c r="K1265" i="3"/>
  <c r="K1200" i="3"/>
  <c r="K1060" i="3"/>
  <c r="K3709" i="3"/>
  <c r="K3708" i="3"/>
  <c r="K1131" i="3"/>
  <c r="K1007" i="3"/>
  <c r="K978" i="3"/>
  <c r="K1154" i="3"/>
  <c r="K1296" i="3"/>
  <c r="K785" i="3"/>
  <c r="K1034" i="3"/>
  <c r="K1253" i="3"/>
  <c r="K938" i="3"/>
  <c r="K1331" i="3"/>
  <c r="K1112" i="3"/>
  <c r="K1230" i="3"/>
  <c r="K878" i="3"/>
  <c r="K1110" i="3"/>
  <c r="K844" i="3"/>
  <c r="K1208" i="3"/>
  <c r="K962" i="3"/>
  <c r="K871" i="3"/>
  <c r="K1170" i="3"/>
  <c r="K1229" i="3"/>
  <c r="K1180" i="3"/>
  <c r="K1011" i="3"/>
  <c r="K831" i="3"/>
  <c r="K1192" i="3"/>
  <c r="K974" i="3"/>
  <c r="K1013" i="3"/>
  <c r="K1231" i="3"/>
  <c r="K4013" i="3"/>
  <c r="K4015" i="3" s="1"/>
  <c r="K4018" i="3" s="1"/>
  <c r="K4019" i="3" s="1"/>
  <c r="K1010" i="3"/>
  <c r="K929" i="3"/>
  <c r="K1133" i="3"/>
  <c r="K874" i="3"/>
  <c r="K773" i="3"/>
  <c r="K1211" i="3"/>
  <c r="K1050" i="3"/>
  <c r="K1185" i="3"/>
  <c r="K1130" i="3"/>
  <c r="K1023" i="3"/>
  <c r="K984" i="3"/>
  <c r="K1247" i="3"/>
  <c r="K1181" i="3"/>
  <c r="K1157" i="3"/>
  <c r="K1186" i="3"/>
  <c r="K1057" i="3"/>
  <c r="K847" i="3"/>
  <c r="K1030" i="3"/>
  <c r="K1235" i="3"/>
  <c r="K1234" i="3"/>
  <c r="K982" i="3"/>
  <c r="K927" i="3"/>
  <c r="K1006" i="3"/>
  <c r="K947" i="3"/>
  <c r="K956" i="3"/>
  <c r="K1199" i="3"/>
  <c r="K4263" i="3" l="1"/>
  <c r="K4236" i="3"/>
  <c r="B3135" i="3"/>
  <c r="K3135" i="3" s="1"/>
  <c r="K4259" i="3"/>
  <c r="K3760" i="3"/>
  <c r="K3763" i="3" s="1"/>
  <c r="K3764" i="3" s="1"/>
  <c r="B3069" i="3"/>
  <c r="K2299" i="3"/>
  <c r="K2272" i="3"/>
  <c r="E1571" i="3"/>
  <c r="K1571" i="3" s="1"/>
  <c r="K1572" i="3" s="1"/>
  <c r="K1649" i="3"/>
  <c r="K4280" i="3"/>
  <c r="K4283" i="3" s="1"/>
  <c r="K3957" i="3"/>
  <c r="K510" i="3"/>
  <c r="K511" i="3" s="1"/>
  <c r="K890" i="3"/>
  <c r="K891" i="3" s="1"/>
  <c r="K1335" i="3"/>
  <c r="K1336" i="3" s="1"/>
  <c r="K788" i="3"/>
  <c r="K789" i="3" s="1"/>
  <c r="K899" i="3"/>
  <c r="K900" i="3" s="1"/>
  <c r="K1326" i="3"/>
  <c r="K1327" i="3" s="1"/>
  <c r="K826" i="3"/>
  <c r="K827" i="3" s="1"/>
  <c r="K1268" i="3"/>
  <c r="K1269" i="3" s="1"/>
  <c r="K777" i="3"/>
  <c r="K778" i="3" s="1"/>
  <c r="K779" i="3" s="1"/>
  <c r="K814" i="3"/>
  <c r="K815" i="3" s="1"/>
  <c r="K1089" i="3"/>
  <c r="K1090" i="3" s="1"/>
  <c r="K1172" i="3"/>
  <c r="K1173" i="3" s="1"/>
  <c r="K835" i="3"/>
  <c r="K836" i="3" s="1"/>
  <c r="K863" i="3"/>
  <c r="K864" i="3" s="1"/>
  <c r="K801" i="3"/>
  <c r="K802" i="3" s="1"/>
  <c r="K1103" i="3"/>
  <c r="K1104" i="3" s="1"/>
  <c r="K471" i="3"/>
  <c r="K472" i="3" s="1"/>
  <c r="K1193" i="3"/>
  <c r="K1194" i="3" s="1"/>
  <c r="K1202" i="3"/>
  <c r="K1203" i="3" s="1"/>
  <c r="K1065" i="3"/>
  <c r="K1066" i="3" s="1"/>
  <c r="K1067" i="3" s="1"/>
  <c r="K1141" i="3"/>
  <c r="K1142" i="3" s="1"/>
  <c r="K851" i="3"/>
  <c r="K852" i="3" s="1"/>
  <c r="K1260" i="3"/>
  <c r="K1261" i="3" s="1"/>
  <c r="K1041" i="3"/>
  <c r="K1042" i="3" s="1"/>
  <c r="K965" i="3"/>
  <c r="K966" i="3" s="1"/>
  <c r="K1221" i="3"/>
  <c r="K1222" i="3" s="1"/>
  <c r="K1017" i="3"/>
  <c r="K1018" i="3" s="1"/>
  <c r="K1163" i="3"/>
  <c r="K1164" i="3" s="1"/>
  <c r="K1124" i="3"/>
  <c r="K1125" i="3" s="1"/>
  <c r="K882" i="3"/>
  <c r="K883" i="3" s="1"/>
  <c r="K1238" i="3"/>
  <c r="K1239" i="3" s="1"/>
  <c r="K950" i="3"/>
  <c r="K951" i="3" s="1"/>
  <c r="K932" i="3"/>
  <c r="K933" i="3" s="1"/>
  <c r="K988" i="3"/>
  <c r="K989" i="3" s="1"/>
  <c r="K1305" i="3"/>
  <c r="K1306" i="3" s="1"/>
  <c r="K1307" i="3" s="1"/>
  <c r="K3069" i="3" l="1"/>
  <c r="K516" i="3"/>
  <c r="K518" i="3"/>
  <c r="K517" i="3"/>
  <c r="K520" i="3" l="1"/>
  <c r="K523" i="3" s="1"/>
  <c r="K524" i="3" s="1"/>
  <c r="K3687" i="3" l="1"/>
  <c r="K3688"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Gary Calese</author>
  </authors>
  <commentList>
    <comment ref="G2" authorId="0" shapeId="0" xr:uid="{6BD5E10D-7CD9-4CB7-AFDF-EA93E81CB93A}">
      <text>
        <r>
          <rPr>
            <b/>
            <sz val="9"/>
            <color indexed="81"/>
            <rFont val="Tahoma"/>
            <family val="2"/>
          </rPr>
          <t>In accordance with FAR 28.102, all government construction projects over $150,000 are subject
to the Miller Act which requires performance and payment bonds.</t>
        </r>
      </text>
    </comment>
    <comment ref="P3" authorId="0" shapeId="0" xr:uid="{DB4741B8-9C8E-4293-9DC2-A675CD9340E8}">
      <text>
        <r>
          <rPr>
            <b/>
            <sz val="9"/>
            <color indexed="81"/>
            <rFont val="Tahoma"/>
            <family val="2"/>
          </rPr>
          <t>Generally effects MILCON (&gt;$750k) projects)</t>
        </r>
      </text>
    </comment>
  </commentList>
</comments>
</file>

<file path=xl/sharedStrings.xml><?xml version="1.0" encoding="utf-8"?>
<sst xmlns="http://schemas.openxmlformats.org/spreadsheetml/2006/main" count="17305" uniqueCount="3202">
  <si>
    <t>FAC</t>
  </si>
  <si>
    <t>FAC Title</t>
  </si>
  <si>
    <t>UM</t>
  </si>
  <si>
    <t>SY</t>
  </si>
  <si>
    <t>N/A</t>
  </si>
  <si>
    <t>GA</t>
  </si>
  <si>
    <t>LF</t>
  </si>
  <si>
    <t>GM</t>
  </si>
  <si>
    <t>SF</t>
  </si>
  <si>
    <t>COMMUNICATIONS FACILITY</t>
  </si>
  <si>
    <t>EA</t>
  </si>
  <si>
    <t>AIRCRAFT NAVIGATION FACILITY</t>
  </si>
  <si>
    <t>COMMUNICATION LINES</t>
  </si>
  <si>
    <t>MI</t>
  </si>
  <si>
    <t>AIRFIELD LIGHTING</t>
  </si>
  <si>
    <t>SHIP NAVIGATION FACILITY</t>
  </si>
  <si>
    <t>HELIUM STORAGE FACILITY</t>
  </si>
  <si>
    <t>SHIP OPERATIONS BUILDING</t>
  </si>
  <si>
    <t>PHOTO/TV PRODUCTION BUILDING</t>
  </si>
  <si>
    <t>OPERATIONS SUPPORT LAB</t>
  </si>
  <si>
    <t>OPERATIONS SUPPLY BUILDING</t>
  </si>
  <si>
    <t>SECURITY FORCE BUILDING</t>
  </si>
  <si>
    <t>NUCLEAR WEAPONS SUPPORT FACILITY</t>
  </si>
  <si>
    <t>EXPLOSIVES RAILWAY HOLDING YARD</t>
  </si>
  <si>
    <t>REVETMENT</t>
  </si>
  <si>
    <t>FY09 Study for CNIC</t>
  </si>
  <si>
    <t>PIER/WHARF ACCESS TRESTLE</t>
  </si>
  <si>
    <t>SHORE EROSION PREVENTION FACILITY</t>
  </si>
  <si>
    <t>SMALL CRAFT BERTHING</t>
  </si>
  <si>
    <t>FB</t>
  </si>
  <si>
    <t>SMALL CRAFT BUILDING</t>
  </si>
  <si>
    <t>MISCELLANEOUS WATERFRONT FACILITY</t>
  </si>
  <si>
    <t>HARBOR MARINE IMPROVEMENTS</t>
  </si>
  <si>
    <t>TRAINING POOL AND TANK</t>
  </si>
  <si>
    <t>AC</t>
  </si>
  <si>
    <t>PARADE AND DRILL FIELD</t>
  </si>
  <si>
    <t>GENERAL PURPOSE SMALL ARMS RANGE</t>
  </si>
  <si>
    <t>FP</t>
  </si>
  <si>
    <t>ZERO RANGE</t>
  </si>
  <si>
    <t>FIELD FIRE RANGE</t>
  </si>
  <si>
    <t>RECORD FIRE RANGE</t>
  </si>
  <si>
    <t>NIGHT FIRE RANGE</t>
  </si>
  <si>
    <t>KNOWN DISTANCE RANGE</t>
  </si>
  <si>
    <t>SNIPER RANGE</t>
  </si>
  <si>
    <t>PISTOL RANGE</t>
  </si>
  <si>
    <t>MACHINEGUN RANGE</t>
  </si>
  <si>
    <t>GENERAL PURPOSE DIRECT FIRE RANGE</t>
  </si>
  <si>
    <t>GRENADE LAUNCHER RANGE</t>
  </si>
  <si>
    <t>GRENADE MACHINEGUN RANGE</t>
  </si>
  <si>
    <t>LN</t>
  </si>
  <si>
    <t>LIGHT ANTIARMOR WEAPON RANGE</t>
  </si>
  <si>
    <t>HEAVY ANTIARMOR WEAPON RANGE</t>
  </si>
  <si>
    <t>ARTILLERY DIRECT FIRE RANGE</t>
  </si>
  <si>
    <t>TANK STATIONARY GUNNERY RANGE</t>
  </si>
  <si>
    <t>INDIRECT FIRE RANGE</t>
  </si>
  <si>
    <t>SCALED INDIRECT FIRE RANGE</t>
  </si>
  <si>
    <t>SCALED GUNNERY RANGE</t>
  </si>
  <si>
    <t>ARMOR VEHICLE CREW TRAINING RANGE</t>
  </si>
  <si>
    <t>ARMOR VEHICLE UNIT TRAINING RANGE</t>
  </si>
  <si>
    <t>FIRE AND MOVEMENT RANGE</t>
  </si>
  <si>
    <t>SQUAD DEFENSE RANGE</t>
  </si>
  <si>
    <t>INFANTRY BATTLE COURSE</t>
  </si>
  <si>
    <t>URBAN COMBAT TRAINING RANGE</t>
  </si>
  <si>
    <t>CONVOY LIVE FIRE RANGE</t>
  </si>
  <si>
    <t>LIVE HAND GRENADE RANGE</t>
  </si>
  <si>
    <t>ENGINEER QUALIFICATION RANGE</t>
  </si>
  <si>
    <t>LIGHT DEMOLITION AND FLAME TRAINING RANGE</t>
  </si>
  <si>
    <t>MISCELLANEOUS TRAINING FACILITY</t>
  </si>
  <si>
    <t>AIRCRAFT WEAPONS CALIBRATION RANGE</t>
  </si>
  <si>
    <t>ATTACK HELICOPTER WEAPONS RANGE</t>
  </si>
  <si>
    <t>AIRCRAFT WEAPONS RANGE</t>
  </si>
  <si>
    <t>AIR DEFENSE RANGE</t>
  </si>
  <si>
    <t>URBAN COMBAT TRAINING AREA, NON-FIRE</t>
  </si>
  <si>
    <t>HAND GRENADE RANGE, NON-FIRING</t>
  </si>
  <si>
    <t>INFILTRATION COURSE, LIVE FIRE</t>
  </si>
  <si>
    <t>CONFIDENCE/OBSTACLE COURSE</t>
  </si>
  <si>
    <t>AIRCRAFT MAINTENANCE SHOP</t>
  </si>
  <si>
    <t>MISSILE MAINTENANCE/ASSEMBLY BUILDING</t>
  </si>
  <si>
    <t>MISSILE/LAUNCHER MAINTENANCE SUPPORT FACILITY</t>
  </si>
  <si>
    <t>MISSILE TEST TOWER</t>
  </si>
  <si>
    <t>MISSILE MAINTENANCE/ASSEMBLY BUILDING, DEPOT</t>
  </si>
  <si>
    <t>FY11 Study for CNIC</t>
  </si>
  <si>
    <t>MARINE MAINTENANCE SUPPORT FACILITY</t>
  </si>
  <si>
    <t>WEAPON MAINTENANCE SHOP, DEPOT</t>
  </si>
  <si>
    <t>WEAPON MAINTENANCE FACILITY, DEPOT</t>
  </si>
  <si>
    <t>AMMUNITION MAINTENANCE SHOP</t>
  </si>
  <si>
    <t>AMMUNITION MAINTENANCE SHOP, DEPOT</t>
  </si>
  <si>
    <t>AMMUNITION MAINTENANCE FACILITY, DEPOT</t>
  </si>
  <si>
    <t>ELECTRONIC AND COMMUNICATION MAINTENANCE FACILITY</t>
  </si>
  <si>
    <t>FACILITY ENGINEER MAINTENANCE SHOP</t>
  </si>
  <si>
    <t>FACILITY ENGINEER MAINTENANCE FACILITY</t>
  </si>
  <si>
    <t>AIRCRAFT PRODUCTION PLANT</t>
  </si>
  <si>
    <t>MISSILE PRODUCTION PLANT</t>
  </si>
  <si>
    <t>SHIP PRODUCTION PLANT</t>
  </si>
  <si>
    <t>TANK/AUTOMOTIVE PRODUCTION PLANT</t>
  </si>
  <si>
    <t>TANK/AUTOMOTIVE PRODUCTION FACILITY</t>
  </si>
  <si>
    <t>WEAPON PRODUCTION PLANT</t>
  </si>
  <si>
    <t>WEAPON PRODUCTION FACILITY</t>
  </si>
  <si>
    <t>AMMUNITION PRODUCTION PLANT</t>
  </si>
  <si>
    <t>AMMUNITION PRODUCTION FACILITY</t>
  </si>
  <si>
    <t>ELECTRONIC AND COMMUNICATION PRODUCTION PLANT</t>
  </si>
  <si>
    <t>MISCELLANEOUS SUPPORT PRODUCTION PLANT</t>
  </si>
  <si>
    <t>CONSTRUCTION MATERIAL PRODUCTION PLANT</t>
  </si>
  <si>
    <t>RDT&amp;E LABORATORY</t>
  </si>
  <si>
    <t>MEDICAL RESEARCH LABORATORY</t>
  </si>
  <si>
    <t>BIOSAFETY LEVEL 3 LABORATORY</t>
  </si>
  <si>
    <t>BIOSAFETY LEVEL 4 LABORATORY</t>
  </si>
  <si>
    <t>SHIP AND MARINE RDT&amp;E FACILITY</t>
  </si>
  <si>
    <t>TANK AND AUTOMOTIVE RDT&amp;E FACILITY</t>
  </si>
  <si>
    <t>WEAPONS RDT&amp;E FACILITY</t>
  </si>
  <si>
    <t>AMMUNITION, EXPLOSIVE, AND TOXIC RDT&amp;E FACILITY</t>
  </si>
  <si>
    <t>ELECTRONIC AND COMMUNICATION RDT&amp;E FACILITY</t>
  </si>
  <si>
    <t>PROPULSION RDT&amp;E FACILITY</t>
  </si>
  <si>
    <t>MISCELLANEOUS ITEM AND EQUIPMENT RDT&amp;E FACILITY</t>
  </si>
  <si>
    <t>UNDERWATER EQUIPMENT RDT&amp;E FACILITY</t>
  </si>
  <si>
    <t>SMALL BULK STORAGE</t>
  </si>
  <si>
    <t>INTERCONTINENTAL BALLISTIC MISSILE STORAGE FACILITY</t>
  </si>
  <si>
    <t>LIQUID PROPELLANT STORAGE, AMMUNITION RELATED</t>
  </si>
  <si>
    <t>OPEN AMMUNITION STORAGE</t>
  </si>
  <si>
    <t>COLD STORAGE, DEPOT</t>
  </si>
  <si>
    <t>COLD STORAGE, INSTALLATION</t>
  </si>
  <si>
    <t>CONTROLLED HUMIDITY STORAGE, DEPOT</t>
  </si>
  <si>
    <t>CONTROLLED HUMIDITY STORAGE, INSTALLATION</t>
  </si>
  <si>
    <t>VEHICLE STORAGE, COVERED</t>
  </si>
  <si>
    <t>STORAGE SILO, LOOSE MATERIAL</t>
  </si>
  <si>
    <t>STORAGE AND CUSTOMER SERVICE</t>
  </si>
  <si>
    <t>OPEN STORAGE, DEPOT</t>
  </si>
  <si>
    <t>OPEN STORAGE, INSTALLATION</t>
  </si>
  <si>
    <t>MEDICAL LABORATORY</t>
  </si>
  <si>
    <t>MORGUE</t>
  </si>
  <si>
    <t>VETERINARY FACILITY</t>
  </si>
  <si>
    <t>MEDICAL WAREHOUSE</t>
  </si>
  <si>
    <t>AMBULANCE SHELTER</t>
  </si>
  <si>
    <t>PRINTING AND REPRODUCTION PLANT</t>
  </si>
  <si>
    <t>ADMINISTRATIVE STRUCTURE, OTHER THAN BUILDINGS</t>
  </si>
  <si>
    <t>FAMILY HOUSING TRAILER</t>
  </si>
  <si>
    <t>FAMILY HOUSING TRAILER SITE</t>
  </si>
  <si>
    <t>FAMILY HOUSING GARAGE</t>
  </si>
  <si>
    <t>FAMILY HOUSING STORAGE FACILITY</t>
  </si>
  <si>
    <t>MISCELLANEOUS FAMILY HOUSING SUPPORT FACILITY</t>
  </si>
  <si>
    <t>TRAILER COURT SUPPORT FACILITY</t>
  </si>
  <si>
    <t>FAMILY HOUSING CARPORT</t>
  </si>
  <si>
    <t>UNACCOMPANIED HOUSING FOR WOUNDED WARRIORS</t>
  </si>
  <si>
    <t>MISCELLANEOUS UPH SUPPORT BUILDING</t>
  </si>
  <si>
    <t>UNACCOMPANIED PERSONNEL HOUSING GARAGE</t>
  </si>
  <si>
    <t>DINING SUPPORT FACILITY</t>
  </si>
  <si>
    <t>LATRINE/SHOWER FACILITY</t>
  </si>
  <si>
    <t>MISCELLANEOUS UPH SUPPORT FACILITY</t>
  </si>
  <si>
    <t>OFFICER UPH, TRANSIENT</t>
  </si>
  <si>
    <t>SERVICE ACADEMY UNACCOMPANIED PERSONNEL HOUSING</t>
  </si>
  <si>
    <t>EMERGENCY UNACCOMPANIED PERSONNEL HOUSING</t>
  </si>
  <si>
    <t>PRISON/CONFINEMENT FACILITY</t>
  </si>
  <si>
    <t>POLICE STATION</t>
  </si>
  <si>
    <t>DRUG AND ALCOHOL ABUSE CENTER</t>
  </si>
  <si>
    <t>BREAD/PASTRY KITCHEN</t>
  </si>
  <si>
    <t>ICE/DAIRY PRODUCTS PLANT</t>
  </si>
  <si>
    <t>GREENHOUSE</t>
  </si>
  <si>
    <t>EXCHANGE EATING FACILITY</t>
  </si>
  <si>
    <t>OPEN MESS AND CLUB FACILITY</t>
  </si>
  <si>
    <t>THRIFT SHOP</t>
  </si>
  <si>
    <t>BUS STATION</t>
  </si>
  <si>
    <t>LAUNDRY/DRY CLEANING FACILITY</t>
  </si>
  <si>
    <t>POSTAL FACILITY</t>
  </si>
  <si>
    <t>EXCHANGE AUTOMOBILE FACILITY</t>
  </si>
  <si>
    <t>EXCHANGE SALES FACILITY</t>
  </si>
  <si>
    <t>BANK AND CREDIT UNION</t>
  </si>
  <si>
    <t>CAR WASH FACILITY</t>
  </si>
  <si>
    <t>COMMISSARY</t>
  </si>
  <si>
    <t>EDUCATION CENTER</t>
  </si>
  <si>
    <t>SCHOOL PLAYGROUNDS</t>
  </si>
  <si>
    <t>RELIGIOUS EDUCATION FACILITY</t>
  </si>
  <si>
    <t>FAMILY SERVICE CENTER</t>
  </si>
  <si>
    <t>FORESTRY GUARD STATION</t>
  </si>
  <si>
    <t>LOCKER ROOM</t>
  </si>
  <si>
    <t>PUBLIC RESTROOM/SHOWER</t>
  </si>
  <si>
    <t>CEREMONIAL HALL</t>
  </si>
  <si>
    <t>EXCHANGE SUPPORT FACILITY</t>
  </si>
  <si>
    <t>HOBBY AND CRAFT CENTER</t>
  </si>
  <si>
    <t>AUTOMOBILE CRAFT CENTER</t>
  </si>
  <si>
    <t>GOLF CLUB HOUSE AND SALES</t>
  </si>
  <si>
    <t>CLUB AND ORGANIZATION BUILDING</t>
  </si>
  <si>
    <t>BOWLING CENTER</t>
  </si>
  <si>
    <t>LIBRARY, GENERAL USE</t>
  </si>
  <si>
    <t>RECREATION CENTER</t>
  </si>
  <si>
    <t>INDOOR SKATING RINK</t>
  </si>
  <si>
    <t>INDOOR SWIMMING POOL</t>
  </si>
  <si>
    <t>AUDITORIUM AND THEATER FACILITY</t>
  </si>
  <si>
    <t>RECREATIONAL LODGING</t>
  </si>
  <si>
    <t>TRANSIENT AND RECREATIONAL LODGING SUPPORT FACILITY</t>
  </si>
  <si>
    <t>STABLE</t>
  </si>
  <si>
    <t>BOATHOUSE</t>
  </si>
  <si>
    <t>RETAIL KENNEL</t>
  </si>
  <si>
    <t>OUTDOOR SWIMMING POOL</t>
  </si>
  <si>
    <t>GOLF COURSE</t>
  </si>
  <si>
    <t>GOLF DRIVING RANGE</t>
  </si>
  <si>
    <t>GOLF PITCH AND PUTT COURSE</t>
  </si>
  <si>
    <t>OUTDOOR RECREATION AREA</t>
  </si>
  <si>
    <t>RECREATIONAL PIER</t>
  </si>
  <si>
    <t>MARINA</t>
  </si>
  <si>
    <t>OUTDOOR PLAYING COURT</t>
  </si>
  <si>
    <t>RUNNING TRACK</t>
  </si>
  <si>
    <t>STADIUM</t>
  </si>
  <si>
    <t>PAVILION</t>
  </si>
  <si>
    <t>OUTDOOR THEATER</t>
  </si>
  <si>
    <t>RECREATIONAL CAMP AND TRAILER PARK</t>
  </si>
  <si>
    <t>MISCELLANEOUS OUTDOOR RECREATION FACILITY</t>
  </si>
  <si>
    <t>MUSEUM</t>
  </si>
  <si>
    <t>COLUMBARIUM</t>
  </si>
  <si>
    <t>CF</t>
  </si>
  <si>
    <t>ELECTRICAL POWER SOURCE</t>
  </si>
  <si>
    <t>KW</t>
  </si>
  <si>
    <t>ELECTRICAL POWER SOURCE HYDROELECTRIC</t>
  </si>
  <si>
    <t>MW</t>
  </si>
  <si>
    <t>ELECTRICAL POWER SOURCE, WIND GENERATED</t>
  </si>
  <si>
    <t>ELECTRICAL POWER SOURCE, PHOTOVOLTAIC</t>
  </si>
  <si>
    <t>EXTERIOR LIGHTING, POLE</t>
  </si>
  <si>
    <t>KV</t>
  </si>
  <si>
    <t>HEAT SOURCE</t>
  </si>
  <si>
    <t>BH</t>
  </si>
  <si>
    <t>HEAT GAS PRODUCTION PLANT</t>
  </si>
  <si>
    <t>HEAT GAS STORAGE</t>
  </si>
  <si>
    <t>HEAT GAS DISTRIBUTION LINE</t>
  </si>
  <si>
    <t>REFRIGERATION AND AIR CONDITIONING SOURCE</t>
  </si>
  <si>
    <t>TR</t>
  </si>
  <si>
    <t>CHILLED WATER AND REFRIGERANT DISTRIBUTION LINE</t>
  </si>
  <si>
    <t>SEWAGE TREATMENT</t>
  </si>
  <si>
    <t>KG</t>
  </si>
  <si>
    <t>INDUSTRIAL WASTE TREATMENT</t>
  </si>
  <si>
    <t>WATER SEPARATION FACILITY</t>
  </si>
  <si>
    <t>SEPTIC TANK AND DRAIN FIELD</t>
  </si>
  <si>
    <t>SEPTIC LAGOON AND SETTLEMENT PONDS</t>
  </si>
  <si>
    <t>SEWER AND INDUSTRIAL WASTE LINE</t>
  </si>
  <si>
    <t>REFUSE COLLECTION AND RECYCLING FACILITY</t>
  </si>
  <si>
    <t>INCINERATOR</t>
  </si>
  <si>
    <t>TH</t>
  </si>
  <si>
    <t>SANITARY LANDFILL</t>
  </si>
  <si>
    <t>FY14 Navy Military Construction Program</t>
  </si>
  <si>
    <t>HAZARDOUS WASTE LANDFILL</t>
  </si>
  <si>
    <t>WATER TREATMENT FACILITY</t>
  </si>
  <si>
    <t>WATER STORAGE, POTABLE</t>
  </si>
  <si>
    <t>WATER WELL, POTABLE</t>
  </si>
  <si>
    <t>DESALINIZATION PLANT</t>
  </si>
  <si>
    <t>WATER DISTRIBUTION LINE, POTABLE</t>
  </si>
  <si>
    <t>WATER DISTRIBUTION LINE, FIRE PROTECTION</t>
  </si>
  <si>
    <t>MG</t>
  </si>
  <si>
    <t>WATER SOURCE, NON-POTABLE</t>
  </si>
  <si>
    <t>WATER STORAGE, NON-POTABLE</t>
  </si>
  <si>
    <t>ROAD, SURFACED</t>
  </si>
  <si>
    <t>VEHICLE BRIDGE</t>
  </si>
  <si>
    <t>VEHICULAR TUNNEL</t>
  </si>
  <si>
    <t>VEHICLE PARKING, SURFACED</t>
  </si>
  <si>
    <t>VEHICLE PARKING AND STAGING AREA, UNSURFACED</t>
  </si>
  <si>
    <t>VEHICLE STAGING AREA, SURFACED</t>
  </si>
  <si>
    <t>SIDEWALK AND WALKWAY</t>
  </si>
  <si>
    <t>PEDESTRIAN BRIDGE</t>
  </si>
  <si>
    <t>MISCELLANEOUS PAVED AREA</t>
  </si>
  <si>
    <t>TRAFFIC CONTROL SIGNALS</t>
  </si>
  <si>
    <t>RAILROAD TRACK</t>
  </si>
  <si>
    <t>RAILROAD BRIDGE</t>
  </si>
  <si>
    <t>MISCELLANEOUS RAILROAD FACILITY</t>
  </si>
  <si>
    <t>STORM DRAINAGE</t>
  </si>
  <si>
    <t>RETAINING STRUCTURE</t>
  </si>
  <si>
    <t>LEVEES AND DIKES FOR GROUNDS DRAINAGE</t>
  </si>
  <si>
    <t>BOUNDARY FENCE AND WALL</t>
  </si>
  <si>
    <t>SECURITY FENCE</t>
  </si>
  <si>
    <t>NAVIGATION REVETMENTS</t>
  </si>
  <si>
    <t>UTILITY BUILDING</t>
  </si>
  <si>
    <t>INSTALLATION GAS PRODUCTION PLANT</t>
  </si>
  <si>
    <t>INSTALLATION GAS STORAGE</t>
  </si>
  <si>
    <t>VEHICLE SCALES</t>
  </si>
  <si>
    <t>MISCELLANEOUS PUMP STATION</t>
  </si>
  <si>
    <t>HAZARDOUS WASTE STORAGE OR DISPOSAL FACILITY</t>
  </si>
  <si>
    <t>UTILITY VAULTS</t>
  </si>
  <si>
    <t>LOADING PLATFORM/RAMP</t>
  </si>
  <si>
    <t>INSTALLATION GAS DISTRIBUTION LINE</t>
  </si>
  <si>
    <t>UTILITY TUNNEL</t>
  </si>
  <si>
    <t>MISCELLANEOUS STORAGE TANK AND BASIN</t>
  </si>
  <si>
    <t>WATER LAUNCH RAMP</t>
  </si>
  <si>
    <t xml:space="preserve">FAC </t>
  </si>
  <si>
    <t>Design Size</t>
  </si>
  <si>
    <t xml:space="preserve">UM = </t>
  </si>
  <si>
    <t>Source</t>
  </si>
  <si>
    <t>Description</t>
  </si>
  <si>
    <t>CY</t>
  </si>
  <si>
    <t>Total</t>
  </si>
  <si>
    <t>RPAD Average Size</t>
  </si>
  <si>
    <t>Communications Building</t>
  </si>
  <si>
    <t>Table 2, UFC 3-701-1, 23 May 2018</t>
  </si>
  <si>
    <t>CATCODE</t>
  </si>
  <si>
    <t>Reference Size</t>
  </si>
  <si>
    <t>Unit Cost</t>
  </si>
  <si>
    <t>Inflation Adjustment                        by MILCON Index</t>
  </si>
  <si>
    <t>Adjusted Cost</t>
  </si>
  <si>
    <t>GUC</t>
  </si>
  <si>
    <t>Communications Facility</t>
  </si>
  <si>
    <t>Satellite Communications Building</t>
  </si>
  <si>
    <t>USACE PAX Newsletter 3.2.2, 16 May 2016</t>
  </si>
  <si>
    <t>Satellite Terminal Communications Facility</t>
  </si>
  <si>
    <t>Section</t>
  </si>
  <si>
    <t>Current Cost Multiplier</t>
  </si>
  <si>
    <t>67/6</t>
  </si>
  <si>
    <t>Self Supporting Tower, 100 ft</t>
  </si>
  <si>
    <t>Normalizing for Location</t>
  </si>
  <si>
    <t>Marshall and Swift Local Multiplier for Arlington, VA</t>
  </si>
  <si>
    <t>Average</t>
  </si>
  <si>
    <t>Note: "Section" refers to the Marshall &amp; Swift (M&amp;S) Marshall Valuation Guide (MVG) section and page which contains a profile of the facility used for this FAC as well as additional information on the features included in the MVG facility.  The "Area Adjustment" is the "local multiplier"  (Section 99, Pages 5 thru 10), which reflects local cost conditions and is designed to adjust the basic costs to each locality.   "Current Cost Multiplier" (Section 99, Page 3) are the multipliers to update costs.  Costs in each section are updated on a three-year cycle.  The current cost multiplier is republished monthly and is based upon nationally recognized building cost indices.  To obtain the current replacement value the cost shown in each section ("refined" by additions such as sprinklers, elevators, etc.) is multiplied by the current cost multiplier and the local multiplier; that is: Unit Cost x Current Cost Multiplier x Local Multiplier = Final Replacement Cost.</t>
  </si>
  <si>
    <t>OSD Design Criteria</t>
  </si>
  <si>
    <t>Building construction material</t>
  </si>
  <si>
    <t>Facility size</t>
  </si>
  <si>
    <t>Fire suppression system type, quality, and coverage</t>
  </si>
  <si>
    <t xml:space="preserve">UFC 3-600-01, "Fire Protection Engineering for Facilities," contains no requirement for antenna fire suppression. </t>
  </si>
  <si>
    <t>Inclusion of a loading dock or similar ancillary feature</t>
  </si>
  <si>
    <t>No UFC requirement exists for the incorporation of a loading dock.</t>
  </si>
  <si>
    <t>Inclusion and capacity of overhead cranes</t>
  </si>
  <si>
    <t xml:space="preserve">No UFC requirement exists for the incorporation of overhead cranes.  </t>
  </si>
  <si>
    <t xml:space="preserve">Established standard for components or materials </t>
  </si>
  <si>
    <t>Applicable Business Rules</t>
  </si>
  <si>
    <t xml:space="preserve">• M&amp;S Selection Business Rule
• MILCON Cost Premium Business Rule
</t>
  </si>
  <si>
    <t>Footnotes</t>
  </si>
  <si>
    <t>Aircraft Navigation Building</t>
  </si>
  <si>
    <t>Aircraft Navigation Facility</t>
  </si>
  <si>
    <t>TASK</t>
  </si>
  <si>
    <t>Units</t>
  </si>
  <si>
    <t>Conversion</t>
  </si>
  <si>
    <t>14/22</t>
  </si>
  <si>
    <t>SF to EA</t>
  </si>
  <si>
    <t>Communications Lines</t>
  </si>
  <si>
    <t>Area Adjustment</t>
  </si>
  <si>
    <t>36-strand Fiber Optic cable w/1" PVC inner duct run in duct bank</t>
  </si>
  <si>
    <t>FT to MI</t>
  </si>
  <si>
    <t>EA per MI</t>
  </si>
  <si>
    <t>66/1</t>
  </si>
  <si>
    <t>Trench only, LF</t>
  </si>
  <si>
    <t>FT</t>
  </si>
  <si>
    <t>Conduit only, LF</t>
  </si>
  <si>
    <t>Sum</t>
  </si>
  <si>
    <t>Unified Facilities Criteria (UFC) 3-580-01, "Telecommunications Interior Infrastructure Planning and Design."</t>
  </si>
  <si>
    <t xml:space="preserve">Fiber optic cable is the standard called for in UFC 3-580-01 for cable plant between buildings. </t>
  </si>
  <si>
    <t>No UFC requirement exists for the incorporation of a loading dock</t>
  </si>
  <si>
    <t>Fiber optic cable is the standard called for in UFC 3-580-01.</t>
  </si>
  <si>
    <t>Ship Navigation Building</t>
  </si>
  <si>
    <t>Ship Navigation Facility</t>
  </si>
  <si>
    <t>Self-Supporting Tower, 50 FT</t>
  </si>
  <si>
    <t>Air Defense Operations Building</t>
  </si>
  <si>
    <t>Aircraft Operations Facility Without Tower</t>
  </si>
  <si>
    <t>Missile Operations Building</t>
  </si>
  <si>
    <t>USACE PAX Newsletter 3.2.2, 30 May 2018</t>
  </si>
  <si>
    <t>Airfield Fire And Rescue Station</t>
  </si>
  <si>
    <t>Aviation Operations Building</t>
  </si>
  <si>
    <t>Air Control Tower</t>
  </si>
  <si>
    <t>Helium Production/Storage Building</t>
  </si>
  <si>
    <t>General Purpose (GP) Warehouse, Installation, Low-Bay (Up to 16-FT Stack Height), &lt; 15,000 SF</t>
  </si>
  <si>
    <t>Average Size</t>
  </si>
  <si>
    <t>Weighted Average</t>
  </si>
  <si>
    <t>Helium Storage Facility</t>
  </si>
  <si>
    <t>61/8</t>
  </si>
  <si>
    <t>Ship Operations Building</t>
  </si>
  <si>
    <t>Photo/TV Production Building</t>
  </si>
  <si>
    <t>14/19</t>
  </si>
  <si>
    <t>Broadcast Facility, Class B, Average</t>
  </si>
  <si>
    <t>14/37</t>
  </si>
  <si>
    <t>Sprinkler, 5000 SF, Wet System, Average</t>
  </si>
  <si>
    <t>SUM</t>
  </si>
  <si>
    <t>Marshall and Swift (Class B) Local Multiplier for Arlington, VA</t>
  </si>
  <si>
    <t>Operations Support Lab</t>
  </si>
  <si>
    <t>14/17</t>
  </si>
  <si>
    <t>Laboratory Building, Class B, Average</t>
  </si>
  <si>
    <t>Sprinkler, 10,000 SF, Dry System, Average</t>
  </si>
  <si>
    <t xml:space="preserve">Unified Facilities Criteria (UFC) for Multi-Disciplinary and Facility Specific Design (4 Series) is not provided for this type of facility.  The only UFC in the 4-300 Series for laboratories is 4-390-01, “O&amp;M: Unmanned Pressure Test Facilities Safety Certification Manual,” which does not apply to this FAC.
</t>
  </si>
  <si>
    <t xml:space="preserve">No UFC criteria exist for component material.  
Applying the Marshall &amp; Swift Business Rule, the FAC is Marshall &amp; Swift Class B, Average Quality.  Commercial building construction material is implied by using Marshall and Swift's “Laboratory Building."  
</t>
  </si>
  <si>
    <t xml:space="preserve">International Building Code (IBC) Group B.
A sprinkler is incorporated, applying the Fire Sprinkler Business Rule
</t>
  </si>
  <si>
    <t xml:space="preserve">No overhead cranes applying the Overhead Crane Business Rule.  </t>
  </si>
  <si>
    <t>No UFC criteria exist for component material, other than those consistent with fire safety noted above in building construction material.</t>
  </si>
  <si>
    <t xml:space="preserve">• M&amp;S Selection Business Rule
• Elevator Business Rule
• Fire Sprinkler Business Rule
• Overhead Crane Business Rule
• MILCON Cost Premium Business Rule
</t>
  </si>
  <si>
    <t>Operations Supply Building</t>
  </si>
  <si>
    <t>14/23</t>
  </si>
  <si>
    <t>Distribution Warehouse, Class B, Average</t>
  </si>
  <si>
    <t>55/5</t>
  </si>
  <si>
    <t>SF of door</t>
  </si>
  <si>
    <t>Overhead door electric operation</t>
  </si>
  <si>
    <t>65/12</t>
  </si>
  <si>
    <t>Dock bumper, Horizontal, Per LF, 10 FT length</t>
  </si>
  <si>
    <t>Per SF</t>
  </si>
  <si>
    <t>Dock leveler, hydraulic</t>
  </si>
  <si>
    <t>Dock seal, 10 inch projection</t>
  </si>
  <si>
    <t>Dock shelter</t>
  </si>
  <si>
    <t xml:space="preserve">Unified Facilities Criteria (UFC) 4-440-01, Warehouse and Storage Facilities, provides general guidance for this FAC. </t>
  </si>
  <si>
    <t xml:space="preserve">UFC 4-440-01 allows the use of insulated metal siding, brink or concrete masonry, or tilt-up precast or cast in place concrete panels .   
This is consistent with the type of building selected using the Marshall &amp; Swift Business Rule, the FAC is Class B, Average Quality.  
</t>
  </si>
  <si>
    <t xml:space="preserve">UFC 4-440-01 states that overhead bridge cranes may not be required.  Because bridge cranes are not required, no overhead crane is included, applying the Overhead Crane Business Rule.  </t>
  </si>
  <si>
    <t>UFC 4-440-01 provides the criteria for component material.</t>
  </si>
  <si>
    <t>Miscellaneous Operations Support Building</t>
  </si>
  <si>
    <t>Working Animal Support Building</t>
  </si>
  <si>
    <t>Kennel Facilities</t>
  </si>
  <si>
    <t>Security Force Building</t>
  </si>
  <si>
    <t>15/33</t>
  </si>
  <si>
    <t>Police Station, Class B, Average</t>
  </si>
  <si>
    <t>15/36</t>
  </si>
  <si>
    <t>15/37</t>
  </si>
  <si>
    <t>Sprinkler, 15,000 SF, Wet System, Average</t>
  </si>
  <si>
    <t xml:space="preserve">Unified Facilities Criteria (UFC) for Multi-Disciplinary and Facility Specific Design (4 Series) is not provided for this type of facility.  </t>
  </si>
  <si>
    <t xml:space="preserve">No UFC criteria exist for component material.  
Applying the Marshall and Swift Selection Business Rule, the FAC is  Marshall &amp; Swift Class B, Average Quality.
</t>
  </si>
  <si>
    <t xml:space="preserve">International Building Code Occupancy Group B.
A fire sprinkler has been incorporated, applying the Fire Sprinkler Business Rule.
</t>
  </si>
  <si>
    <t>No overhead crane is provided, applying the Overhead Crane Business Rule.</t>
  </si>
  <si>
    <t>No UFC criteria exist for component material.</t>
  </si>
  <si>
    <t>Mechanical Security Barricade</t>
  </si>
  <si>
    <t>Inflation Adjustment by MILCON Index</t>
  </si>
  <si>
    <t>NA</t>
  </si>
  <si>
    <t>Crash Barrier, 20' Wide Sliding Roller, including LME for complete installation</t>
  </si>
  <si>
    <t>Crash Barrier, 20' Wide Sliding Cantilever, including LME for complete installation</t>
  </si>
  <si>
    <t>Raised Bollard Crash Barrier, 10' Wide, Standard Power, including LME for complete installation</t>
  </si>
  <si>
    <t>Raised Bollard Crash Barrier, 12' Wide, Standard Power, including LME for complete installation</t>
  </si>
  <si>
    <t>Raised Bollard Crash Barrier, 10' Wide, Solar Power, including LME for complete installation</t>
  </si>
  <si>
    <t>Raised Bollard Crash Barrier, 12' Wide, Solar Power, including LME for complete installation</t>
  </si>
  <si>
    <t>In-ground Tire Shredder, 15" Wide, including LME for complete installation</t>
  </si>
  <si>
    <t>Overhead Cover</t>
  </si>
  <si>
    <t>USACE PAX Newsletter 3.2.2, 6 April 2017</t>
  </si>
  <si>
    <t>Canopy for Covered Hardstand (not Enclosed)</t>
  </si>
  <si>
    <t>Aircraft Shelter</t>
  </si>
  <si>
    <t>AF Military Construction Program</t>
  </si>
  <si>
    <t>Inflation Adjustment</t>
  </si>
  <si>
    <t>MILCON Projects</t>
  </si>
  <si>
    <t>F-35A Aircraft Shelter, Category Code 141-181</t>
  </si>
  <si>
    <t>SM</t>
  </si>
  <si>
    <t>Military Cost Premium not added because cost taken from military construction document</t>
  </si>
  <si>
    <t>Aircraft Support Facility</t>
  </si>
  <si>
    <t xml:space="preserve">Pro Rated based on number of RPAD records </t>
  </si>
  <si>
    <t>Weighted Cost</t>
  </si>
  <si>
    <t>FAC 8927 Utility Vault</t>
  </si>
  <si>
    <t>LF to EA</t>
  </si>
  <si>
    <t>FAC 1341 Aircraft Navigation Facility</t>
  </si>
  <si>
    <t>Weighted Sum</t>
  </si>
  <si>
    <t>Military Cost Premium included in component FACs</t>
  </si>
  <si>
    <t>Assumed Size</t>
  </si>
  <si>
    <t>5,000 SF</t>
  </si>
  <si>
    <t xml:space="preserve">14/15 </t>
  </si>
  <si>
    <t>14/15</t>
  </si>
  <si>
    <t>58/6</t>
  </si>
  <si>
    <t>Craneway electrical conductor</t>
  </si>
  <si>
    <t>Sprinkler, 5000 SF, Dry System, Average</t>
  </si>
  <si>
    <t>Backfill and Compaction, Dozer Backfill, Roller Compaction in 12" Layers</t>
  </si>
  <si>
    <t>CY/SY</t>
  </si>
  <si>
    <t>Explosives Railway Holding Yard</t>
  </si>
  <si>
    <t>66/3</t>
  </si>
  <si>
    <t>Rail Spur, 130# rail, assume 1,000 LF</t>
  </si>
  <si>
    <t>LF Total</t>
  </si>
  <si>
    <t>Add for Rail Turnout, Assume 2</t>
  </si>
  <si>
    <t>17/29</t>
  </si>
  <si>
    <t>Arch-rib (Quonset) Farm Implement Building, Class D, Average  (Assume 4 EA)</t>
  </si>
  <si>
    <t>SF Total</t>
  </si>
  <si>
    <t>51/3</t>
  </si>
  <si>
    <t>Reinforced Concrete foundation walls for Quonset Building, 12":  4 EA x 150 LF X 10' high = 6,000 SF wall</t>
  </si>
  <si>
    <t>51/2</t>
  </si>
  <si>
    <t>Explosives Holding/Transfer Facility</t>
  </si>
  <si>
    <t>Base Course, 1-1/2" Crushed Stone, 8" Deep, Compacted, including Material &amp; Transportation, excluding Earthwork</t>
  </si>
  <si>
    <t>Asphalt Concrete Paving Surface, 3" Thick Plant Mix, Excluding Earthwork</t>
  </si>
  <si>
    <t>Note: Lightning protection and fence calculated separately as stand alone assets</t>
  </si>
  <si>
    <t>Revetment</t>
  </si>
  <si>
    <t>CY to EA</t>
  </si>
  <si>
    <t>Haul and Fill, 5 CY Truck, 3 miles</t>
  </si>
  <si>
    <t>Gabions filled with stone</t>
  </si>
  <si>
    <t>SY to EA</t>
  </si>
  <si>
    <t>Geotextile fabric</t>
  </si>
  <si>
    <t>Assume 150 LF, 8 FT High x 4 FT Wide revetment; 4,800 CF = 177 CY volume and 133 SY per side</t>
  </si>
  <si>
    <t>Unified Facilities Criteria (UFC) 3-220-10N, Soil Mechanics; and, UFC 3-201-01, Civil Engineering, contain no design criteria for revetments.  UFC 3-220-01, Geotechnical Engineering,  requires a registered design professional evaluate conditions and the safety factors of new construction.  The replacement unit cost calculation materials and quantities were developed by Mr. Gary Calese, P.E., a registered design professional.</t>
  </si>
  <si>
    <t xml:space="preserve">No UFC criteria exist for component material.  </t>
  </si>
  <si>
    <t xml:space="preserve">UFC 3-600-01, "Fire Protection Engineering for Facilities," contains no requirement for fire suppression. </t>
  </si>
  <si>
    <t>No UFC criteria exist for component material .</t>
  </si>
  <si>
    <t xml:space="preserve">Documentation for proposed business rules reflecting DoD established practices for components or materials  </t>
  </si>
  <si>
    <t>Central Wash Facility, 16 Stations</t>
  </si>
  <si>
    <t>Security Support Building</t>
  </si>
  <si>
    <t>Search Office/ Sentry Building</t>
  </si>
  <si>
    <t>Gatehouse</t>
  </si>
  <si>
    <t>Miscellaneous Operations Support Facility</t>
  </si>
  <si>
    <t>Category Code</t>
  </si>
  <si>
    <t>Underground Administrative Facility (USACE PAX Newsletter, 20 Mar 2009)</t>
  </si>
  <si>
    <t>53/10</t>
  </si>
  <si>
    <t>FT to EA</t>
  </si>
  <si>
    <t>Pier</t>
  </si>
  <si>
    <t>Unit Price</t>
  </si>
  <si>
    <t>Military Cost Premium not added because reference cost taken from military construction documents</t>
  </si>
  <si>
    <t>Wharf</t>
  </si>
  <si>
    <t>Pier/Wharf Access Trestle</t>
  </si>
  <si>
    <t>SF to SY</t>
  </si>
  <si>
    <t>Shore Erosion Prevention Facility</t>
  </si>
  <si>
    <t>51/4</t>
  </si>
  <si>
    <t>Large Commercial Project Reduction</t>
  </si>
  <si>
    <t>Small Craft Berthing</t>
  </si>
  <si>
    <t>Ship and boat docks, medium, 4" decking, Average piling, including fenders, railings, utilities; exclusive of buildings</t>
  </si>
  <si>
    <t>SF/FB</t>
  </si>
  <si>
    <t>FB = LF of Berthing</t>
  </si>
  <si>
    <t>Small Craft Building</t>
  </si>
  <si>
    <t>17/18</t>
  </si>
  <si>
    <t>Boat Storage Shed, Class S, Average, Metal on steel frame; boat racks &amp; minimum electrical/water service</t>
  </si>
  <si>
    <t>66/2</t>
  </si>
  <si>
    <t>Harbor Marine Improvements</t>
  </si>
  <si>
    <t>Seawall Concrete, Precast, 5” - 6” including ties or piling</t>
  </si>
  <si>
    <t>Commercial Reduction</t>
  </si>
  <si>
    <t>Riprap, 6' Wide x 8' Tall, shore protection</t>
  </si>
  <si>
    <t>SY to LF</t>
  </si>
  <si>
    <t>General Purpose Instruction Building</t>
  </si>
  <si>
    <t>Applied Instruction Building</t>
  </si>
  <si>
    <t>Band Training Facility</t>
  </si>
  <si>
    <t>Reserve Training Facility</t>
  </si>
  <si>
    <t>Armed Forces Reserve Center</t>
  </si>
  <si>
    <t>Physical Education Building</t>
  </si>
  <si>
    <t>Physical Fitness Facility</t>
  </si>
  <si>
    <t>Organizational Classroom</t>
  </si>
  <si>
    <t>Indoor Firing Range and Supporting Facility</t>
  </si>
  <si>
    <t>Indoor Firing Range</t>
  </si>
  <si>
    <t>Flight Simulator Facility</t>
  </si>
  <si>
    <t>Physiological Training Facility</t>
  </si>
  <si>
    <t>Academic Instruction Buildings: High Bay w/ Simulation Training - Small (&lt;18,000 SF)</t>
  </si>
  <si>
    <t>Gas Training Facility</t>
  </si>
  <si>
    <t xml:space="preserve">USACE PAX Newsletters 3.2.2                                                        </t>
  </si>
  <si>
    <t>After-Action Review (AAR) Building - Small  (USACE PAX Newsletter 3.2.2, 6 April 2017)</t>
  </si>
  <si>
    <t>General Purpose Simulator Facility</t>
  </si>
  <si>
    <t>Training Pool and Tank</t>
  </si>
  <si>
    <t>Pour Concrete Pool, 25 M x 50 M = 13,455 SF Surface Area</t>
  </si>
  <si>
    <t>18/22</t>
  </si>
  <si>
    <t>Natatorium, Class C, Good</t>
  </si>
  <si>
    <t>SF/EA</t>
  </si>
  <si>
    <t>18/36</t>
  </si>
  <si>
    <t>1 SM = 10.764 SF</t>
  </si>
  <si>
    <t>Range Support Building</t>
  </si>
  <si>
    <t>Ammunition Breakdown Building</t>
  </si>
  <si>
    <t>After Action Review Building -Small (USACE PAX Newsletter 3.2.2, 6 April 2017)</t>
  </si>
  <si>
    <t xml:space="preserve">Covered Mess - Range (Small) </t>
  </si>
  <si>
    <t>Training Aids Support Building</t>
  </si>
  <si>
    <t>Training Aid Support Center for Range Complex</t>
  </si>
  <si>
    <t>Training Support Structure</t>
  </si>
  <si>
    <t>Covered Bleacher - Range  (Bleacher Enclosure), EA</t>
  </si>
  <si>
    <t>EA/SF</t>
  </si>
  <si>
    <t>Covered Mess - Range (Large) (USACE PAX Newsletter 3.2.2, 6 April 2017)</t>
  </si>
  <si>
    <t>Observation Tower/Bunker</t>
  </si>
  <si>
    <t>Parade and Drill Field</t>
  </si>
  <si>
    <t>66/8</t>
  </si>
  <si>
    <t>Soil preparation, Fine grading, Average</t>
  </si>
  <si>
    <t>SF to AC</t>
  </si>
  <si>
    <t>Hydroseeding, Average</t>
  </si>
  <si>
    <t>Rain Bird or Rain Jet system lawn sprinklers, large area</t>
  </si>
  <si>
    <t>General Purpose Small Arms Range</t>
  </si>
  <si>
    <t>Section/ CATCODE</t>
  </si>
  <si>
    <t xml:space="preserve">SIT Emplacement (62 SF concrete x 8" thick with bar reinforcing), per FP </t>
  </si>
  <si>
    <t>SF per FP</t>
  </si>
  <si>
    <t>54/1</t>
  </si>
  <si>
    <t>Service Switchgear, 100 Amps, Light Commercial</t>
  </si>
  <si>
    <t>EA per FP</t>
  </si>
  <si>
    <t>Circuit Breaker, 240-480 Volts, 20-60 Amps</t>
  </si>
  <si>
    <t>54/3</t>
  </si>
  <si>
    <t>Outlet, Rigid Conduit, Average, with Ground Fault Interrupter, 4 per SIT</t>
  </si>
  <si>
    <t>54/2</t>
  </si>
  <si>
    <t>Underground Wiring, 2", plastic duct, plus excavation and backfill (574 FT Average Distance)</t>
  </si>
  <si>
    <t>LF per FP</t>
  </si>
  <si>
    <t>Foxhole with Drain (36" reinforced Concrete Culvert. 4' deep)</t>
  </si>
  <si>
    <t>CY per FP</t>
  </si>
  <si>
    <t>Bank run gravel, Spread w/ 200 HP Dozer, including load at pit &amp; haul, 2 MI round trip, no compaction (409 CY per berm)</t>
  </si>
  <si>
    <t>Zero Range</t>
  </si>
  <si>
    <t>Foxhole with Drain (36" reinforced Concrete Storm Drainage, 4' deep)</t>
  </si>
  <si>
    <t xml:space="preserve">Target Boots / 4 per FP; Concrete perimeter footing, 12" below grade </t>
  </si>
  <si>
    <t>EA to FP</t>
  </si>
  <si>
    <t>Reference</t>
  </si>
  <si>
    <t>End Item</t>
  </si>
  <si>
    <t xml:space="preserve">Component Price </t>
  </si>
  <si>
    <t>Underground Wiring, 2", plastic duct, plus excavation and backfill</t>
  </si>
  <si>
    <t>Berm, 148 M x 2 M x 5 M = 1,936 CY; backfill &amp; compaction</t>
  </si>
  <si>
    <t>17/31</t>
  </si>
  <si>
    <t>Urban Cluster (Bank Barn, 2-Story, Class D, Low Cost)  (Use Class C Current Cost Multiplier for consistency)</t>
  </si>
  <si>
    <t>Bank run gravel, Spread, 387 CY per berm</t>
  </si>
  <si>
    <t>Target Bunker (Catch Basin,  4' deep)</t>
  </si>
  <si>
    <t xml:space="preserve">SIT  / WSIT Emplacement or Vehicle Firing Point (62, 94, or 128 SF concrete x 8" thick with bar reinforcing) </t>
  </si>
  <si>
    <t xml:space="preserve">SAT Emplacement or VBP Defilade (468 or 481 SF concrete x 12" thick w/Rebar) </t>
  </si>
  <si>
    <t>Field Fire Range</t>
  </si>
  <si>
    <t>Slab on Grade, 6" reinforced</t>
  </si>
  <si>
    <t>SIT Emplacement (62 SF concrete x 8" thick w/Rebar), 3 per FP</t>
  </si>
  <si>
    <t>Service Switchgear, 200 Amps, Light Commercial</t>
  </si>
  <si>
    <t>Circuit Breaker, 240-480 Volts, 125-250 Amps</t>
  </si>
  <si>
    <t>Berm, 522 M x 2 M x 5 M = 6,828 CY; backfill &amp; compaction</t>
  </si>
  <si>
    <t>Rigid Conduit and Wiring, 1", includes tees, ells, junction boxes, hangars and fittings</t>
  </si>
  <si>
    <t>Bank run gravel, Spread, 1,044 CY per berm</t>
  </si>
  <si>
    <t>Trolleyway, 1 Ton, 50 FT / MIT</t>
  </si>
  <si>
    <t>Trolley, Motorized, 0.5 ton, 1 per MIT</t>
  </si>
  <si>
    <t>Record Fire Range</t>
  </si>
  <si>
    <t>Utility tunnel, 3"-5" wall thickness, reinforced concrete, medium soil, 5'x7' cross-section, 504 LF</t>
  </si>
  <si>
    <t>Road, Plant Mix Asphalt Concrete surface, 3" thick, 1,500 SY</t>
  </si>
  <si>
    <t>SIT Emplacement (62 SF concrete x 8" thick with Rebar), 7 per FP</t>
  </si>
  <si>
    <t>8" Thick Reinforced Concrete Pavement,  4,500 PSI, 12' pass</t>
  </si>
  <si>
    <t>Bank run gravel, Spread, 409 CY per berm</t>
  </si>
  <si>
    <t>Underground Wiring, 2", plastic duct, 574 FT Average Distance, plus excavation and backfill</t>
  </si>
  <si>
    <t>10" Thick Reinforced Concrete Pavement, 4,500 PSI,  12' pass</t>
  </si>
  <si>
    <t>Berm, 340 M x 2M x 5 M = 4,447 CY; backfill &amp; compaction</t>
  </si>
  <si>
    <t>Bank run gravel, Spread, 445 CY per berm</t>
  </si>
  <si>
    <t>Night Fire Range</t>
  </si>
  <si>
    <t>SIT Emplacement (62 sf concrete x 8" thick w/Rebar); 2 per FP</t>
  </si>
  <si>
    <t>Underground Wiring, 2", plastic duct, 164 FT average distance, plus excavation and backfill</t>
  </si>
  <si>
    <t>Berm, 522 M x 2 M x 3 M = 4,096 CY; backfill &amp; compaction</t>
  </si>
  <si>
    <t>Known Distance Range</t>
  </si>
  <si>
    <t>Rigid Conduit and Wiring, 1",  525 FT average distance</t>
  </si>
  <si>
    <t>Berm, 340 M x 4 M x 5 M = 8,894 CY; backfill &amp; compaction</t>
  </si>
  <si>
    <t>Sniper Range</t>
  </si>
  <si>
    <t>Sniper range = 4 SITs/6MITs/8 Iron Maiden Pads per FP</t>
  </si>
  <si>
    <t>SIT Emplacement (62 SF concrete x 8" thick with Rebar), 4 per FP</t>
  </si>
  <si>
    <t xml:space="preserve">MIT Emplacement 15 M (15 M x . 5M =7 .5 SM) 12" concrete wall </t>
  </si>
  <si>
    <t>Trolley, Motorized, 0.5 Ton, 1 per MIT</t>
  </si>
  <si>
    <t>Outlet, Rigid Conduit, Average, with Ground Fault Interrupter (4 per MIT, SIT)</t>
  </si>
  <si>
    <t>Underground Wiring, 2", plastic duct, 1,640 FT average distance, plus excavation and backfill</t>
  </si>
  <si>
    <t>Concrete Pad 4 FT x 8 FT (1 per Firing Pad / 1 per Iron Maiden Pad)</t>
  </si>
  <si>
    <t>Berm, 80 M x 2 M x 5 M = 1,046 CY; backfill &amp; compaction</t>
  </si>
  <si>
    <t>Pistol Range</t>
  </si>
  <si>
    <t>SIT Emplacement (62 SF concrete x 8" thick with Rebar), 8 per FP</t>
  </si>
  <si>
    <t>Underground Wiring, 2", plastic duct, 101 FT Average Distance, plus excavation and backfill</t>
  </si>
  <si>
    <t>Bank run gravel, Spread, 445 CY per range</t>
  </si>
  <si>
    <t>Berm, 8  EA per FP, 1 M x 1 M x 2 M = 20.9 CY; backfill &amp; compaction</t>
  </si>
  <si>
    <t>Machinegun Range</t>
  </si>
  <si>
    <t>MPMG = 3 SITs/5 WSITs/2MITs/2 SATs/8 Iron Maiden Pads per FP</t>
  </si>
  <si>
    <t>SIT Emplacement (62 SF concrete x 8" thick with Rebar), 3 per FP</t>
  </si>
  <si>
    <t>WSIT Emplacement (94 SF concrete x 8" thick with Rebar),  5 per FP</t>
  </si>
  <si>
    <t>SAT Emplacement (468 SF concrete x 12" thick with Rebar), 2 per FP</t>
  </si>
  <si>
    <t xml:space="preserve">MIT Emplacement 15M (15 M x 0.5 M = 7.5 SM), 12" concrete wall </t>
  </si>
  <si>
    <t>Circuit Breaker, 240-480 Volts, 125 - 250 Amps</t>
  </si>
  <si>
    <t>Outlet, Rigid Conduit, Average, with Ground Fault Interrupter (5 per SAT; 4 per MIT, SIT; 6 per WSIT))</t>
  </si>
  <si>
    <t>Underground Wiring, 2", plastic duct, 1,640 FT Average Distance, plus excavation and backfill</t>
  </si>
  <si>
    <t>Berm, 30 M x 2 M x 5 M = 392 CY; backfill &amp; compaction</t>
  </si>
  <si>
    <t>Bank run gravel, Spread, 39 CY per range</t>
  </si>
  <si>
    <t>General Purpose Direct Fire Range</t>
  </si>
  <si>
    <t>Vehicle Battle Position - Defilade (481 SF concrete x 10" thick with Rebar), Unit Cost divided by 9 for SF</t>
  </si>
  <si>
    <t>Berm, 148 M x 2M x 5 M = 1,936 CY; backfill &amp; compaction</t>
  </si>
  <si>
    <t>Bank run gravel, Spread, 327 CY per range</t>
  </si>
  <si>
    <t>Grenade Launcher Range</t>
  </si>
  <si>
    <t>Target Berm, 1 M x 1 M x 2 M x 4 targets/lane = 2.6 CY; Backfill &amp; compaction</t>
  </si>
  <si>
    <t>Berm, 40 M x 1 M x 2 M = 104 CY; backfill &amp; compaction</t>
  </si>
  <si>
    <t>Bank run gravel, Spread, 104 CY per berm</t>
  </si>
  <si>
    <t>Grenade Machinegun Range</t>
  </si>
  <si>
    <t>Vehicle Firing Point (128 SF concrete x 8" thick with Rebar), Price per SY in PAX divided by 9 for SF</t>
  </si>
  <si>
    <t>SF per LN</t>
  </si>
  <si>
    <t>Berm, 20 M x 2 M x 1 M = 52 CY; backfill &amp; compaction</t>
  </si>
  <si>
    <t>CY per LN</t>
  </si>
  <si>
    <t>Bank run gravel, Spread, 20 CY per LN</t>
  </si>
  <si>
    <t xml:space="preserve">FAC 1762 design criteria is found in Army Field Manual (FM) 3-22.27, 40 mm Grenade Machinegun, and TC 25-8, identified in the latter as Category Code 17833, Automated Multipurpose Machine Gun (MPMG) Range.  </t>
  </si>
  <si>
    <t xml:space="preserve">• Selection as found in the U.S. Army Corps of Engineers (USACE) Programming Administration and Execution (PAX) System newsletter
• See “Range Business Rules” for type of materials
</t>
  </si>
  <si>
    <t xml:space="preserve">The USACE Engineering and Support Center, Huntsville (HNC) Range and Training Land Program (RTLP) “Program Information” section states “fire detection and protection are not typically required in Standard Range Facilities by either NFPA 101, Life Safety Code; or Unified Facilities Criteria (UFC) 3-600-01, Design: Fire Protection Engineering for Facilities."   </t>
  </si>
  <si>
    <t xml:space="preserve">No specific requirement exists for the incorporation of a loading dock; while there is no criteria, an engineering analysis would be performed during the design phase, based upon the topography of the surrounding access streets, expected delivery methods, throughput, ordnance equipment size.  </t>
  </si>
  <si>
    <t xml:space="preserve">No specific requirement exists for the incorporation of an overhead crane; while there is no criteria, an engineering analysis would be performed during the design phase, based upon the topography of the surrounding access streets, expected delivery methods, throughput, ordnance equipment size.  </t>
  </si>
  <si>
    <t>Limited established standards exist, as explained above, with a situation and site specific design required.</t>
  </si>
  <si>
    <t xml:space="preserve">Documentation for business rules reflecting DoD established practices for components or materials  </t>
  </si>
  <si>
    <t>• M&amp;S Selection Business Rule
• MILCON Cost Premium Business Rule
• Range Business Rules</t>
  </si>
  <si>
    <t>Light Antiarmor Weapon Range (LAWR)</t>
  </si>
  <si>
    <t>LAWR/AT-4 = 2 MG Bunkers/ 9 SATs / 2 MATs per FP</t>
  </si>
  <si>
    <t>Stationary Armor Target (SAT) Emplacement (468 SF concrete x 12" thick w/Rebar) 9 per FP</t>
  </si>
  <si>
    <t>MAT Emplacement 200M (200 M x 1 M= 2153 SF), 12" concrete wall, 2 per FP</t>
  </si>
  <si>
    <t>Trolleyway, 1 Ton, 656 FT / MAT</t>
  </si>
  <si>
    <t>Trolley, Motorized, 0.5 ton, 1 per MAT</t>
  </si>
  <si>
    <t>Outlet, Rigid Conduit, Average, with Ground Fault Interrupter (5 per SAT; 4 per MAT)</t>
  </si>
  <si>
    <t>Underground Wiring, 2", plastic duct, 984 FT Average Distance</t>
  </si>
  <si>
    <t>Concrete Bunker 4 FT x4 FT = 96 SF of 12" concrete, 2 EA</t>
  </si>
  <si>
    <t>Berm, 400 M x 1 M x 1 M = 523 CY; Backfill &amp; compaction</t>
  </si>
  <si>
    <t>Heavy Antiarmor Weapon Range (HAWR)</t>
  </si>
  <si>
    <t>HAWR = 12 SATs / 5 MATs / 1 Course Road per LN</t>
  </si>
  <si>
    <t>SAT Emplacement (468 SF concrete x 12" thick With Rebar), 12 per LN</t>
  </si>
  <si>
    <t xml:space="preserve">MAT Emplacement 350M (350 M x 1 M= 3,767 SF) 12" concrete wall </t>
  </si>
  <si>
    <t>EA per LN</t>
  </si>
  <si>
    <t>Trolleyway, 1 Ton, 1,148 FT / MAT</t>
  </si>
  <si>
    <t>LF per LN</t>
  </si>
  <si>
    <t>Underground Wiring, 2", plastic duct, 6,761 FT Average Distance, plus excavation and backfill</t>
  </si>
  <si>
    <t>Trail Grading, Fine Grading for Roadways, Base Course 11,525 SY</t>
  </si>
  <si>
    <t>SY per LN</t>
  </si>
  <si>
    <t>Vehicle Battle Position 6 EA; Defilade (481 SF concrete x 12" thick with Rebar)</t>
  </si>
  <si>
    <t>Berm, 1800 M x 2 M x 1 M = 4,709 CY; backfill &amp; compaction</t>
  </si>
  <si>
    <t>Bank run gravel, Spread, 1,063 CY per LN</t>
  </si>
  <si>
    <t>Artillery Direct Fire Range (ADFR)</t>
  </si>
  <si>
    <t>ADFR = 18 SATs / 6 Firing Positions per Range</t>
  </si>
  <si>
    <t>SAT Emplacement (468 SF concrete x 12" thick with Rebar); 6 per range</t>
  </si>
  <si>
    <t>SF per Range</t>
  </si>
  <si>
    <t>EA per Range</t>
  </si>
  <si>
    <t>Outlet, Rigid Conduit, Average, with Ground Fault Interrupter (5 per SAT)</t>
  </si>
  <si>
    <t>Underground Wiring, 2" plastic duct, 2,560 FT Average Distance, plus excavation and backfill</t>
  </si>
  <si>
    <t>LF per Range</t>
  </si>
  <si>
    <t>SY per Range</t>
  </si>
  <si>
    <t>Vehicle Battle Position 6 EA - Defilade (481 SF concrete x 12" thick with Rebar)</t>
  </si>
  <si>
    <t>Berm, 117 M x 2 M x 1 M = 279 CY; backfill &amp; compaction</t>
  </si>
  <si>
    <t>CY per Range</t>
  </si>
  <si>
    <t>Bank run gravel, Spread, 215 CY per range</t>
  </si>
  <si>
    <t>Tank Stationary Gunnery Range (TSGR)</t>
  </si>
  <si>
    <t>TSGR = 25 SATs / 4 MATs / 42 SITS / 7 MITS per Range</t>
  </si>
  <si>
    <t>SIT Emplacement (62 SF concrete x 8" thick w/Rebar); 42 per range</t>
  </si>
  <si>
    <t>SAT Emplacement (468 SF concrete x 12" thick w/Rebar), 25 per range</t>
  </si>
  <si>
    <t xml:space="preserve">MAT Emplacement 200 M (200 M x 1 M= 2,152 SF), 12" concrete wall </t>
  </si>
  <si>
    <t xml:space="preserve">MIT Emplacement 15 M (15 Mx 0.5 M = 80.7 SF), 12" concrete wall </t>
  </si>
  <si>
    <t>Trolleyway, 1 Ton, 656 FT / MAT;  49 FT / MIT</t>
  </si>
  <si>
    <t>Trolley, Motorized, 0.5 ton, 1 per MAT / MIT</t>
  </si>
  <si>
    <t>Outlet, Rigid Conduit, Average, with Ground Fault Interrupter (5 per SAT; 4 per MAT, MIT, SIT)</t>
  </si>
  <si>
    <t>Underground Wiring, 2", plastic duct, 5,105 FT Average Distance, plus excavation and backfill</t>
  </si>
  <si>
    <t>Trail Grading, Fine Grading for Roadways, Base Course 2,488 SY</t>
  </si>
  <si>
    <t>Vehicle Battle Position 2 EA - Defilade (481 SF concrete x 12" thick with Rebar)</t>
  </si>
  <si>
    <t>Vehicle Firing Point, 10 EA (128 SF concrete x 8" thick with Rebar)</t>
  </si>
  <si>
    <t>Berm, 1,400 M x 2 M x 1 M = 3,662 CY; backfill &amp; compaction</t>
  </si>
  <si>
    <t>Bank run gravel, Spread, 1,063 CY per range</t>
  </si>
  <si>
    <t>Scaled Indirect Fire Range</t>
  </si>
  <si>
    <t>Artillery Direct Firing Range (ADFR) = 6 Hasty Firing Positions per Range</t>
  </si>
  <si>
    <t>Scaled Gunnery Range (SGR)</t>
  </si>
  <si>
    <t>SGR =  16 SITS / 8 MITS per Range</t>
  </si>
  <si>
    <t>SIT Emplacement (62 SF concrete x 8" thick with Rebar), 16 per range</t>
  </si>
  <si>
    <t xml:space="preserve">MIT Emplacement 15 M (15 M x 0.5 M = 80.7 SF), 12" concrete wall </t>
  </si>
  <si>
    <t>Trolleyway, 1 Ton,  49 FT / MIT</t>
  </si>
  <si>
    <t>Underground Wiring, 2", plastic duct, 356 FT Average Distance, plus excavation and backfill</t>
  </si>
  <si>
    <t>Trail Grading, Fine Grading for Roadways, Base Course 478 SY</t>
  </si>
  <si>
    <t>Vehicle Battle Position, 2 EA - Defilade (481 SF concrete x 12" thick with rebar)</t>
  </si>
  <si>
    <t>Vehicle Firing Point, 2 EA (128 SF concrete x 8" thick with rebar)</t>
  </si>
  <si>
    <t>Berm, 220 M x 2 M x 1 M = 575 CY, backfill &amp; compaction</t>
  </si>
  <si>
    <t>Bank run gravel, Spread, 156 CY per Range</t>
  </si>
  <si>
    <t>Armor Vehicle Crew Training Range</t>
  </si>
  <si>
    <t xml:space="preserve">TC 25-8 Standard Size / Digital Multipurpose Training Range (DPMTR) </t>
  </si>
  <si>
    <t xml:space="preserve">DMPTR= 30 SATs / 6 MATs / 146 SITs / 4 MITs </t>
  </si>
  <si>
    <t xml:space="preserve">SIT Emplacement (62 SF concrete x 8" thick w/Rebar) 146 per LN </t>
  </si>
  <si>
    <t>SAT Emplacement (468 SF concrete x 12" thick w/Rebar) 30 per LN</t>
  </si>
  <si>
    <r>
      <t>MAT Emplacement 200 M</t>
    </r>
    <r>
      <rPr>
        <vertAlign val="superscript"/>
        <sz val="11"/>
        <rFont val="Calibri"/>
        <family val="2"/>
        <scheme val="minor"/>
      </rPr>
      <t>2</t>
    </r>
    <r>
      <rPr>
        <sz val="11"/>
        <rFont val="Calibri"/>
        <family val="2"/>
        <scheme val="minor"/>
      </rPr>
      <t xml:space="preserve"> (200 M x 1 M= 2,152 SF) 12" concrete wall </t>
    </r>
  </si>
  <si>
    <r>
      <t>MIT Emplacement 7.5 M</t>
    </r>
    <r>
      <rPr>
        <vertAlign val="superscript"/>
        <sz val="11"/>
        <rFont val="Calibri"/>
        <family val="2"/>
        <scheme val="minor"/>
      </rPr>
      <t>2</t>
    </r>
    <r>
      <rPr>
        <sz val="11"/>
        <rFont val="Calibri"/>
        <family val="2"/>
        <scheme val="minor"/>
      </rPr>
      <t xml:space="preserve"> (15 M x 0.5 M = 80.7 SF) 12" concrete wall </t>
    </r>
  </si>
  <si>
    <t>Trolleyway, 1 Ton, 656 FT / MAT,  49 FT /MIT</t>
  </si>
  <si>
    <t>Trail Grading, Fine Grading for Roadways, Base Course 2488 SY</t>
  </si>
  <si>
    <t>Vehicle Battle Position 8 EA - Defilade (481 SF concrete x 12" thick with Rebar)</t>
  </si>
  <si>
    <t>Total Berm, 2,184 M x 2 M x 1 M = 5,713 CY, backfill &amp; compaction</t>
  </si>
  <si>
    <t>Target Bunker (Catch Basin, 4 FT deep) x 2</t>
  </si>
  <si>
    <t>Bank run gravel, Spread, 7,850 CY per Range</t>
  </si>
  <si>
    <t>Urban Cluster / Bank Barn, 2 Story (20 FT x 20 FT), Class D, Low Cost, 7 EA Buildings (use Class C multiplier)</t>
  </si>
  <si>
    <t>Armor Vehicle Unit Training Range</t>
  </si>
  <si>
    <t xml:space="preserve">DMPRC= 80 SATs / 12 MATs / 294 SITs / 45 MITs </t>
  </si>
  <si>
    <t>SIT Emplacement (62 SF concrete x 8" thick with Rebar) 294 per range</t>
  </si>
  <si>
    <t>SAT Emplacement (468 SF concrete x 12" thick with Rebar) 80 per Range</t>
  </si>
  <si>
    <t xml:space="preserve">MAT Emplacement 200 M (200 M x 1 M = 2,152 SF) 12" concrete wall, 12 per Range </t>
  </si>
  <si>
    <t>MIT Emplacement 15 M (15 M x 0.5 M = 80.7 SF) 12" concrete wall, 45 per Range</t>
  </si>
  <si>
    <t>Trolleyway, 1 Ton, 656 FT / MAT, 49 FT / MIT</t>
  </si>
  <si>
    <t>Underground Wiring, 2", plastic duct, 6.5 lanes of targetry, plus excavation and backfill</t>
  </si>
  <si>
    <t>Trail Grading, Fine Grading for Roadways, Base Course 7464 SY</t>
  </si>
  <si>
    <t>Vehicle Battle Position 30 EA - Defilade (481 SF concrete x 12" thick with Rebar)</t>
  </si>
  <si>
    <t>Total Berm, 6,552 M x 2 M x 1 M = 17,139 CY, Backfill &amp; compaction</t>
  </si>
  <si>
    <t>Machine gun bunker (144 SF concrete x 8" with rebar,) 4 per Range</t>
  </si>
  <si>
    <t>Bank run gravel, Spread, 44,650 CY per Range</t>
  </si>
  <si>
    <t>Urban Cluster / Bank Barn, 2 Story (20 FT x 20 FT), Class D, Low Cost, 12 EA Buildings (Use Class C multiplier)</t>
  </si>
  <si>
    <t xml:space="preserve">• Selection as found in PAX newsletter
• See “Range Business Rules” and “Marshall and Swift Selection Business Rules” for type of materials
</t>
  </si>
  <si>
    <t xml:space="preserve">• The unit of measure is EA, each.  
• Size is per design found in US Army TC 25-8. 
</t>
  </si>
  <si>
    <t xml:space="preserve">The USACE Engineering and Support Center, Huntsville (HNC) Range and Training Land Program (RTLP) “program Information” section states “fire detection and protection are not typically required in Standard Range Facilities by either the National Fire Protection Association (NFPA) 101, Life Safety Code; or Unified Facilities Criteria (UFC) 3-600-01, Design: Fire Protection Engineering for Facilities … .”   </t>
  </si>
  <si>
    <t>Fire and Movement Range (FMR)</t>
  </si>
  <si>
    <t>TC 25-8 Standard Size / Fire and Movement Range (FMR)</t>
  </si>
  <si>
    <t>FMR= 6 SITs / LN; 4 lanes per FMR</t>
  </si>
  <si>
    <t>SIT Emplacement (62 SF concrete x 8" thick with Rebar) 6 per LN</t>
  </si>
  <si>
    <t>Outlet, Rigid Conduit, Average, with Ground Fault Interrupter (4 per SIT)</t>
  </si>
  <si>
    <t>Underground Wiring, 2", plastic duct, 346 FT Average Distance, plus excavation and backfill</t>
  </si>
  <si>
    <t>Berm, 150 M x 3M x 4M = 2,354 CY / Backfill &amp; compaction, 2 EA Berms / LN</t>
  </si>
  <si>
    <t>Bank run gravel, Spread, 39 CY per lane</t>
  </si>
  <si>
    <t>Squad Defense Range (SDR)</t>
  </si>
  <si>
    <t xml:space="preserve">TC 25-8 Standard Size / Squad Defense Range (SDR) </t>
  </si>
  <si>
    <t xml:space="preserve">SDR= 31 SITs  </t>
  </si>
  <si>
    <t>SIT Emplacement (62 sf concrete x 8" thick w/Rebar), 31 per range</t>
  </si>
  <si>
    <t>2-person fighting position (104 SF concrete x 8" with rebar), 5 per range</t>
  </si>
  <si>
    <t>Berm, 300 M x 2 M x 1 M = 785 CY / Backfill &amp; compaction</t>
  </si>
  <si>
    <t>Bank run gravel, Spread, 353 CY per berm</t>
  </si>
  <si>
    <t>Infantry Battle Course</t>
  </si>
  <si>
    <t>TC 25-8 Standard Size / Infantry Squad Battle Course (ISBC)</t>
  </si>
  <si>
    <t xml:space="preserve">ISBC= 6 SATs / 1 MATs / 20 SITs / 6 MITs </t>
  </si>
  <si>
    <t>SIT Emplacement (62 SF concrete x 8" thick with Rebar) 20 per range</t>
  </si>
  <si>
    <t>SAT Emplacement (468 SF concrete x 12" thick with Rebar) 6 per Range</t>
  </si>
  <si>
    <t xml:space="preserve">MAT Emplacement 200M (200 M x 1 M = 2,152 SF) 12" concrete wall </t>
  </si>
  <si>
    <t xml:space="preserve">MIT Emplacement 15M (15 M x 0.5 M = 80.7 SF 12" concrete wall </t>
  </si>
  <si>
    <t>Trolleyway, 1 Ton, 656 ft / MAT  49 LF /MIT</t>
  </si>
  <si>
    <t>Trail Grading, Fine Grading for Roadways, Base Course 2,392 SY</t>
  </si>
  <si>
    <t>Bank run gravel, Spread, 9,225 CY per Range</t>
  </si>
  <si>
    <t>Machine gun bunker (144 SF concrete x 8" with rebar), 5 per range</t>
  </si>
  <si>
    <t>Urban Combat Training Range</t>
  </si>
  <si>
    <t>TC 25-8 Standard Size / Urban Assault Course (UAC)</t>
  </si>
  <si>
    <t>SIT Emplacement (62 SF concrete x 8" thick, with Rebar), 26 per range</t>
  </si>
  <si>
    <t>Underground Wiring, 2", plastic duct, 8,150 LF, plus excavation and backfill</t>
  </si>
  <si>
    <t>8" Thick Reinforced Concrete Roadway, 897 SY per Range</t>
  </si>
  <si>
    <t xml:space="preserve">Road, Asphalt, 3" thick </t>
  </si>
  <si>
    <t>Shoothouse, Reinforced concrete (Armory, CDS) 12 EA, 600 SF</t>
  </si>
  <si>
    <t>Total Berm, 500 M x 2 M x 3 M = 3923 CY / Backfill &amp; compaction</t>
  </si>
  <si>
    <t>Machine gun bunker (144 SF concrete x 8" with rebar), 4 per Range</t>
  </si>
  <si>
    <t>Bank run gravel, Spread, 4622 cubic yards per UAC</t>
  </si>
  <si>
    <t>Urban Cluster / Bank Barn, 2 Story (20' x 20') , Class D, Low Cost,  3 EA  Buildings (Use Class C Multiplier)</t>
  </si>
  <si>
    <t xml:space="preserve">Convoy Live Fire Range (CLFR) </t>
  </si>
  <si>
    <t>TC 25-8 Standard Size / Convoy Live Fire Range</t>
  </si>
  <si>
    <t xml:space="preserve">FP for CLFR= 2 SATs / 2 MATs / 9 SITs / 1 MITs </t>
  </si>
  <si>
    <t>SIT Emplacement (62 SF concrete x 8" thick with Rebar),  9 per FP</t>
  </si>
  <si>
    <t xml:space="preserve">MAT Emplacement 200 M (200 M x 1 M = 2,152 SF), 12" concrete wall </t>
  </si>
  <si>
    <t>Trolleyway, 1 Ton, 656 LF / MAT,  49 LF / MIT</t>
  </si>
  <si>
    <t>Trail Grading, Fine Grading for Roadways, Base Course 1435 SY</t>
  </si>
  <si>
    <t>SY per FP</t>
  </si>
  <si>
    <t>Total Berm, 6,552 M x 2M x 1 M = 17,139 CY / Backfill &amp; compaction</t>
  </si>
  <si>
    <t>Bank run gravel, Spread, 431 CY per Range</t>
  </si>
  <si>
    <t>Urban Cluster / Bank Barn, 2 Story (20' x 20'), Class D Low Cost x 2 EA Buildings (Use Class C cost multiplier)</t>
  </si>
  <si>
    <t>Live Hand Grenade Range</t>
  </si>
  <si>
    <t>TC 25-8 Standard Size / Live Hand Grenade Familiarization Range</t>
  </si>
  <si>
    <t>Bank run gravel, Spread, 205 CY per FP</t>
  </si>
  <si>
    <t>Throwing Bay (160 SF concrete x 8" with Rebar)</t>
  </si>
  <si>
    <t xml:space="preserve">Blast Wall 50M (50 M x 3 M= 1,614 SF), 12" concrete wall </t>
  </si>
  <si>
    <t>Total Berm, 60 M x 3 M x 1 M = 235 CY yds / Backfill &amp; compaction</t>
  </si>
  <si>
    <t>Engineer Qualification Range (EQR)</t>
  </si>
  <si>
    <t>RPCS Standard Size</t>
  </si>
  <si>
    <t xml:space="preserve">FP for EQR= 2 SATs / 9 SITs </t>
  </si>
  <si>
    <t>SIT Emplacement (62 SF concrete x 8" thick with Rebar), 9 per FP</t>
  </si>
  <si>
    <t>SAT Emplacement (468 SF concrete x 12" thick with Rebar), 2 Per FP</t>
  </si>
  <si>
    <t>Urban Cluster / Bank Barn, 2 Story (20' x 20'), Class D, Low Cost x 2 Buildings (Use Class C multiplier)</t>
  </si>
  <si>
    <t>Machine gun bunker (144 SF concrete x 8" with rebar), 4 per FP</t>
  </si>
  <si>
    <r>
      <t>Blast Wall 100 M</t>
    </r>
    <r>
      <rPr>
        <vertAlign val="superscript"/>
        <sz val="11"/>
        <rFont val="Calibri"/>
        <family val="2"/>
        <scheme val="minor"/>
      </rPr>
      <t>2</t>
    </r>
    <r>
      <rPr>
        <sz val="11"/>
        <rFont val="Calibri"/>
        <family val="2"/>
        <scheme val="minor"/>
      </rPr>
      <t xml:space="preserve"> (50 M x 2 M x 2 EA = 2152.8 SF), 12" concrete wall </t>
    </r>
  </si>
  <si>
    <t>Light Demolition and Flame Training Range</t>
  </si>
  <si>
    <t>TC 25-8 Standard Size / Light Demolition Range</t>
  </si>
  <si>
    <t>Missile Proof Shelter (2,896 SF concrete x 8" with rebar)</t>
  </si>
  <si>
    <t xml:space="preserve">Blast Wall 50 M (100 M x 3 M = 3,229 SF), 12" concrete wall </t>
  </si>
  <si>
    <t xml:space="preserve">Steel / Timber Cutting Chamber x 2 EA (40 LF x 40 LF x 5 LF), 12" concrete  </t>
  </si>
  <si>
    <t>Total Berm, 260 M x 3 M x 2 M  / Backfill &amp; compaction</t>
  </si>
  <si>
    <t>Miscellaneous Training Facility</t>
  </si>
  <si>
    <t>Miscellaneous Training Facility = 6 SITs and 2 SATs</t>
  </si>
  <si>
    <t>SIT Emplacement (62 SF concrete x 8" thick with Rebar), 6 per range</t>
  </si>
  <si>
    <t>SAT Emplacement (468 SF concrete x 12" thick, with Rebar), 2 per Range</t>
  </si>
  <si>
    <t>Outlet, Rigid Conduit, Average, with Ground Fault Interrupter (5 per SAT; 4 per SIT)</t>
  </si>
  <si>
    <t>Trail Grading, Fine Grading for Roadways, Base Course 1,913 SY</t>
  </si>
  <si>
    <t>Total Berm, 400 M x 2 M x 1 M = 1,046 CY, Backfill &amp; compaction</t>
  </si>
  <si>
    <t>Bank run gravel, Spread, 628 CY per Range</t>
  </si>
  <si>
    <t>Machine gun bunker (144 SF concrete x 8" with rebar), 2 per Range</t>
  </si>
  <si>
    <t>Aircraft Weapons Calibration Range</t>
  </si>
  <si>
    <t>TC 25-8 Standard Size / Boresight, Screening and Harmonization Range (BSHR)</t>
  </si>
  <si>
    <t xml:space="preserve">BSHR = 8 SATs / 8 SITs </t>
  </si>
  <si>
    <t>SIT Emplacement (62 SF concrete x 8" thick with Rebar,  8 per range</t>
  </si>
  <si>
    <t>SAT Emplacement (468 SF concrete x 12" thick with Rebar) 8 per Range</t>
  </si>
  <si>
    <t>Trail Grading, Fine Grading for Roadways, Base Course 1913 SY</t>
  </si>
  <si>
    <t xml:space="preserve">Concrete Pad, 40 FT x 40 FT,  8" reinforced </t>
  </si>
  <si>
    <t>Attack Helicopter Weapons Range</t>
  </si>
  <si>
    <t>TC 25-8 Standard Size / Aerial Gunnery Range  (AGR)</t>
  </si>
  <si>
    <t xml:space="preserve">AGR = 50 SATs / 8 MATs / 246 SITs / 35 MITs </t>
  </si>
  <si>
    <t>SIT Emplacement (62 SF concrete x 8" thick with Rebar), 246 per range</t>
  </si>
  <si>
    <t>Service Switchgear, 100 Amps, Light Commercial (SITs)</t>
  </si>
  <si>
    <t>Circuit Breaker, 240-480 Volts, 20-60 Amps (SITs)</t>
  </si>
  <si>
    <t>SAT Emplacement (468 SF concrete x 12" thick w/Rebar) 50 per range</t>
  </si>
  <si>
    <t>Service Switchgear, 200 Amps, Light Commercial (SATs, MATs, &amp; MITs)</t>
  </si>
  <si>
    <t>Trolleyway, 1 Ton, 656 LF / MAT  49 FT /MIT</t>
  </si>
  <si>
    <t>Trail Grading, Fine Grading for Roadways, Base Course 10,525 SY</t>
  </si>
  <si>
    <t>Total Berm, 2540 M x 2 M x 1 M = 6644 CY; Backfill &amp; compaction</t>
  </si>
  <si>
    <t>Bank run gravel, Spread, 1569 CY per Range</t>
  </si>
  <si>
    <t>Urban Cluster / Bank Barn, 2 Story (20' x 20'), Class D, Low Cost x 13 Buildings (Use Class C multiplier)</t>
  </si>
  <si>
    <t>Air Defense Range</t>
  </si>
  <si>
    <t>TC 25-8 Standard Size / Air Defense Firing Range</t>
  </si>
  <si>
    <t>Vehicle Battle Position - Defilade (481 SF concrete x 12" thick with Rebar)</t>
  </si>
  <si>
    <t>Berm, 90 M x 2 M x 3 M = 706 CY, Backfill &amp; compaction</t>
  </si>
  <si>
    <t>15/29</t>
  </si>
  <si>
    <t>CF to EA</t>
  </si>
  <si>
    <t xml:space="preserve">66/11 </t>
  </si>
  <si>
    <t>Polyethylene chamber water detention system, complete, 5,000 GA</t>
  </si>
  <si>
    <t>GA to EA</t>
  </si>
  <si>
    <t>Stormwater drainage pond, 1/8 AC</t>
  </si>
  <si>
    <t xml:space="preserve">Unified Facilities Criteria (UFC) UFC 4-179-01, "Design Navy Firefighting Schools;" and, National Fire Protection Association (NFPA) 1402, "Guide to Building Fire Service Training Centers," provide general guidance for Fire and Rescue Training Facilities. </t>
  </si>
  <si>
    <t xml:space="preserve">Neither NFPA 1402 nor UFC 4-179-01 limit the choice of materials, masonry (brick, cast-in-place, tilt-up concrete) with steel structural members are described.  </t>
  </si>
  <si>
    <t xml:space="preserve">NFPA 1402 recommends no sprinkler system as repetitive use of extinguishing chemicals, recycled water used in the training process and smoke particulates will render the sprinklers unserviceable .
</t>
  </si>
  <si>
    <t xml:space="preserve">No UFC requirement exists for the incorporation of a loading dock.
UFC 4-179-01 and NFPA 1402 describe the need for recovery, holding, and separation of water runoff prior to discharge to the local wastewater treatment process .  A detention/settlement chamber system and pond has been added to the unit cost.
</t>
  </si>
  <si>
    <t xml:space="preserve">No UFC requirement exists for the incorporation of overhead cranes.
</t>
  </si>
  <si>
    <t xml:space="preserve">No UFC criteria exist for component material. </t>
  </si>
  <si>
    <t>• M&amp;S Selection Business Rule
• Fire Sprinkler Business Rule
• Overhead Crane Business Rule
• MILCON Cost Premium Business Rule</t>
  </si>
  <si>
    <t>Urban Combat Training Area, Non-Fire</t>
  </si>
  <si>
    <t>Urban Cluster (Bank Barn, 2-Story - Special Purpose), 30 FT x 30 FT), Class D, Low Cost x 4 Buildings</t>
  </si>
  <si>
    <t>Structure, Reinforced concrete (Armory, Class CDS) 12 EA, 1800 SF</t>
  </si>
  <si>
    <t>EA per SF</t>
  </si>
  <si>
    <t>Underground Wiring, 2", plastic duct, plus excavation and backfill, 2,400 LF total</t>
  </si>
  <si>
    <t>LF per SF</t>
  </si>
  <si>
    <t>8" Thick Reinforced Concrete Roadway, 2,200 SY</t>
  </si>
  <si>
    <t>SY per SF</t>
  </si>
  <si>
    <t>Road, Asphalt, 3" thick, 1500 SY</t>
  </si>
  <si>
    <t>Utility tunnel, 3"-5" wall, medium soil, 5 FT x 7 FT cross-section, 504 LF</t>
  </si>
  <si>
    <t>CF to SF</t>
  </si>
  <si>
    <t>Machine gun bunker (144 SF concrete x 8" w/rebar), 4 EA</t>
  </si>
  <si>
    <t>Bank run gravel, Spread, 4,622 CY per Range</t>
  </si>
  <si>
    <t>CY per SF</t>
  </si>
  <si>
    <t>Backfill &amp; compaction, 2,020 CY</t>
  </si>
  <si>
    <t xml:space="preserve">FAC 1796 design criteria is found in the United States Army Training Circular (TC) 25-8.    
</t>
  </si>
  <si>
    <t xml:space="preserve">• Selection of material per PAX newsletter
• See “Range Business Rules” and “Marshall and Swift Selection Business Rules” for type of materials.
</t>
  </si>
  <si>
    <t xml:space="preserve">The USACE Engineering and Support Center, Huntsville (HNC) Range and Training Land Program (RTLP) “Program Information” section states “fire detection and protection are not typically required in Standard Range Facilities by either National Fire Protection Association (NFPA) 101, Life Safety Code; or UFC 3-600-01, "Fire Protection Engineering for Facilities."
</t>
  </si>
  <si>
    <t xml:space="preserve">No specific requirement exists for the incorporation of a loading dock; while there is no criteria, an engineering analysis would be performed during the design phase, based upon the topography of the surrounding access streets, expected delivery methods, throughput, ordnance equipment size.  
</t>
  </si>
  <si>
    <t xml:space="preserve">No specific requirement exists for the incorporation of an overhead crane; while there is no criteria, an engineering analysis would be performed during the design phase, based upon the topography of the surrounding access streets, expected delivery methods, throughput, ordnance equipment size.  
</t>
  </si>
  <si>
    <t>Limited established standards exist, as explained above, with a situation- and site-specific design required.</t>
  </si>
  <si>
    <t>• M&amp;S Selection Business Rule
• Elevator Business Rule
• Fire Sprinkler Business Rule
• Overhead Crane Business Rule
• MILCON Cost Premium Business Rule
• Range Business Rules</t>
  </si>
  <si>
    <t>Hand Grenade Range, Non-Firing</t>
  </si>
  <si>
    <t>TC 25-8 Standard Size / Hand Grenade Qualification Course</t>
  </si>
  <si>
    <t>Machine gun bunker (144 SF concrete x 8" with Rebar), 2 per FP</t>
  </si>
  <si>
    <t>Target Berm, 1 M x 1 M x 2 M (2.6 CY), 4 targets/lane, Backfill &amp; Compaction, 12" Layers</t>
  </si>
  <si>
    <t>Berm, 40 M x 1 M x 2 M = 104 CY, Backfill &amp; Compaction, 12" Layers</t>
  </si>
  <si>
    <t>Bank Run Gravel, Spread, 104 CY per berm</t>
  </si>
  <si>
    <t>Infiltration Course, Live Fire</t>
  </si>
  <si>
    <t>TC 25-8 Standard Size / Infiltration Course</t>
  </si>
  <si>
    <t xml:space="preserve">Blast Wall 360 M (360 M x 2 M = 7,750 SF), 12" concrete wall </t>
  </si>
  <si>
    <t>Machine gun bunker (144 SF concrete x 8" with rebar), 3 per Range</t>
  </si>
  <si>
    <t>Total Berm, 360 M x 2 M x 2 M = 1,883 CY / Backfill &amp; compaction</t>
  </si>
  <si>
    <t>Bank run gravel, Spread, 205 CY per Range</t>
  </si>
  <si>
    <t>Confidence/Obstacle Course</t>
  </si>
  <si>
    <t>Source:</t>
  </si>
  <si>
    <t>Component</t>
  </si>
  <si>
    <t>Cost</t>
  </si>
  <si>
    <t xml:space="preserve">CY </t>
  </si>
  <si>
    <t>SY to SF</t>
  </si>
  <si>
    <t>Stabilize running track, geotextile fabric</t>
  </si>
  <si>
    <t>Mulch, running track</t>
  </si>
  <si>
    <t>51/7</t>
  </si>
  <si>
    <t>18 stations, wood pole frames, 12"- 14", average of 4 EA, 20 FT = 1,440 LF each station</t>
  </si>
  <si>
    <t>18 stations, wood beams and columns, 4"x4", average of 14 each, 10 FT, 2,520 LF each station</t>
  </si>
  <si>
    <t>Aircraft Maintenance Hangar</t>
  </si>
  <si>
    <t>Maintenance Hangars: General Purpose, Low-Mid Bay, Up to 40 FT  High</t>
  </si>
  <si>
    <t>Aircraft Maintenance Shop</t>
  </si>
  <si>
    <t>14/14</t>
  </si>
  <si>
    <t>14/16</t>
  </si>
  <si>
    <t>14/29</t>
  </si>
  <si>
    <t>Average of three Building types</t>
  </si>
  <si>
    <t>53/12</t>
  </si>
  <si>
    <t>Air foam fire extinguishing system, high expansion, 15,000 CFM</t>
  </si>
  <si>
    <t>EA to SF</t>
  </si>
  <si>
    <t xml:space="preserve">Bridge crane, 10 ton, 50 FT span </t>
  </si>
  <si>
    <t>Sprinkler Early Suppression Fast Response system and pump</t>
  </si>
  <si>
    <t>Sprinkler, 10,000 SF, Wet System, Excellent</t>
  </si>
  <si>
    <t xml:space="preserve">Unified Facilities Criteria (UFC) 4-211-01, Aircraft Maintenance Hangars": Type I, Type II and Type III </t>
  </si>
  <si>
    <t xml:space="preserve">UFC 4-211-01N provides design guidance for materials. 
The Marshall and Swift Maintenance Hangar is consistent with the UFC material criteria.
Applying the Marshall and Swift Selection Business Rule, this FAC is Marshall &amp; Swift Class B, Excellent Quality.
</t>
  </si>
  <si>
    <t xml:space="preserve">International Building Code Group B
UFC 4-211-01 directs use of both a high level wet sprinkler as well as a low level foam system. 
</t>
  </si>
  <si>
    <t xml:space="preserve">No UFC requirement exists for the incorporation of a loading dock.
The average number of floors is 1.3, yielding no elevators for the number of occupants, applying the Elevator Business Rule.  
</t>
  </si>
  <si>
    <t>Criteria for components and materials are included in UFC 4-211-01.</t>
  </si>
  <si>
    <t>• M&amp;S Selection Business Rule
• Elevator Business Rule
• Fire Sprinkler Business Rule
• Overhead Crane Business Rule
• MILCON Cost Premium Business Rule</t>
  </si>
  <si>
    <t>Aircraft Corrosion Control Hangar</t>
  </si>
  <si>
    <t>Aircraft Engine Test Building</t>
  </si>
  <si>
    <t>Aircraft Engine Test facility</t>
  </si>
  <si>
    <t>Aircraft Maintenance Hangar, Depot</t>
  </si>
  <si>
    <t>Aircraft Maintenance Shop, Depot</t>
  </si>
  <si>
    <t>USACE PAX Newsletter 3.2.2, 24 July 2014</t>
  </si>
  <si>
    <t>Aircraft Component Repair Shop (Machine Shop)</t>
  </si>
  <si>
    <t>Aircraft Engine Test Facility</t>
  </si>
  <si>
    <t>USACE PAX Newsletter 3.2.2, 4 January 2011</t>
  </si>
  <si>
    <t>Missile Maintenance &amp; Assembly Building</t>
  </si>
  <si>
    <t>Extended Cost</t>
  </si>
  <si>
    <t>Add 15% for Hazard occupancy sprinkler</t>
  </si>
  <si>
    <t>Add Early Suppression Fast Response (ESFR) sprinkler and pump</t>
  </si>
  <si>
    <t>Bridge Crane, 10 ton, span = 75 ft</t>
  </si>
  <si>
    <t>per UM</t>
  </si>
  <si>
    <t>Overhead door, rollup, 2 doors, 9' X 9' door (81 SF)</t>
  </si>
  <si>
    <t>SF / door</t>
  </si>
  <si>
    <t>for 2 doors</t>
  </si>
  <si>
    <t>Door electric operation, 2 doors</t>
  </si>
  <si>
    <t>per door</t>
  </si>
  <si>
    <t xml:space="preserve">Dock bumpers, 10 LF </t>
  </si>
  <si>
    <t>Dock seal, 10" projection</t>
  </si>
  <si>
    <t xml:space="preserve">No UFC criteria exist for component. material.  
Applying the Marshall and Swift  Selection Business Rule, the FAC is  Marshall &amp; Swift Class A, Average Quality.
</t>
  </si>
  <si>
    <t xml:space="preserve">International Building Code Group H
A fire sprinkler has been incorporated, applying the Fire Sprinkler Business Rule.
</t>
  </si>
  <si>
    <t xml:space="preserve">An overhead crane is provided, applying the Overhead Crane Business Rule.  </t>
  </si>
  <si>
    <t>Missile Launcher Maintenance Support Facility</t>
  </si>
  <si>
    <t>SF door</t>
  </si>
  <si>
    <t>Dock bumpers, 10 LF / door</t>
  </si>
  <si>
    <t>per LF per UM</t>
  </si>
  <si>
    <t>Dock leveler, hydraulic, 2 EA</t>
  </si>
  <si>
    <t>Dock seal, 10" projection, 2 EA</t>
  </si>
  <si>
    <t>Dock shelter, 2 EA</t>
  </si>
  <si>
    <t xml:space="preserve">Unified Facilities Criteria (UFC) for Multi-Disciplinary and Facility Specific Design (UFC 3-101-01, Architecture; and, UFC 4-200, Maintenance and Production Facilities) do not provide guidance for this FAC.   
</t>
  </si>
  <si>
    <t xml:space="preserve">No UFC criteria exist for component material.  
Applying the Marshall and Swift Selection Business Rule, the FAC is Marshall &amp; Swift Class A, Average Quality.
</t>
  </si>
  <si>
    <t xml:space="preserve">International Building Code Group H
A fire sprinkler has been incorporated, applying the Fire Sprinkler Business Rule.
</t>
  </si>
  <si>
    <t xml:space="preserve">No specific requirement for a loading dock is found in a UFC.  A reasonable assumption is to include a loading dock based upon the function of this FAC.
The number of truck docks is calculated by a consideration of number of trucks arriving and loading/unloading time for the specific design.  As general guidance,  the Commercial Real Estate Development Association (NAIOP) provides an estimate of the average number of loading docks per square foot of industrial or warehouse averaging 1 dock per 7,500 SF of floor space.  For this FAC, 2  loading dock assemblies are provided.   
The guide specification for design of a loading dock is contained in the Unified Facilities Guide Specification (UFGS). 
The average number of floors is 1.1 yielding 0 elevators for the maximum number of occupants applying  the Elevator Business Rule.  
</t>
  </si>
  <si>
    <t>Missile Test Tower</t>
  </si>
  <si>
    <t>Design Footprint</t>
  </si>
  <si>
    <t>100' Tower, Self Supporting, High Cost</t>
  </si>
  <si>
    <t xml:space="preserve">Concrete, 12", bar reinforced </t>
  </si>
  <si>
    <t>Trolleyway, 7.5 Tons, High Cost; Assume 100' track</t>
  </si>
  <si>
    <t xml:space="preserve">Trolley, Geared, 7.5 Tons, High Cost </t>
  </si>
  <si>
    <t>Missile Maintenance/Assembly Building, Depot</t>
  </si>
  <si>
    <t>Sprinkler, 30,000 SF, Dry System, Average</t>
  </si>
  <si>
    <t>Bridge Crane, 10 ton, span = 75 ft, 2 EA</t>
  </si>
  <si>
    <t>Overhead door, rollup, 4 doors, 9' X 9' door (81 SF)</t>
  </si>
  <si>
    <t>Door electric operation, 4 doors</t>
  </si>
  <si>
    <t>Dock bumpers, 10 LF/door</t>
  </si>
  <si>
    <t>for 4 doors</t>
  </si>
  <si>
    <t>Dock leveler, hydraulic, 4 EA</t>
  </si>
  <si>
    <t>Dock seal, 10" projection, 4 EA</t>
  </si>
  <si>
    <t>Dock shelter, 4 EA</t>
  </si>
  <si>
    <t>Overhead door, rollup, 4 doors, 9' X 9' door</t>
  </si>
  <si>
    <t>Dock bumpers, Horizontal, 10 LF, 4 EA</t>
  </si>
  <si>
    <t xml:space="preserve">Unified Facilities Criteria (UFC) for Multi-Disciplinary and Facility Specific Design (UFC 3-101-01, "Architecture;" and, UFC 4-200, "Maintenance and Production Facilities") do not provide guidance for this FAC.   </t>
  </si>
  <si>
    <t xml:space="preserve">No UFC criteria exist for component. material.  
Applying the M&amp;S Selection Business Rule, the FAC is Marshall &amp; Swift Class A, Average Quality.
</t>
  </si>
  <si>
    <t xml:space="preserve">International Building Code (IBC) Group H.
A fire sprinkler has been incorporated, applying the Fire Sprinkler Business Rule.
</t>
  </si>
  <si>
    <t>An overhead crane is provided, applying the Overhead Crane Business Rule.  A craneway is included in the building's unit cost.</t>
  </si>
  <si>
    <t>Marine Maintenance Shop</t>
  </si>
  <si>
    <t>Maintenance Shops: Installation Maintenance, General Purpose</t>
  </si>
  <si>
    <t>Marine Maintenance Support Facility</t>
  </si>
  <si>
    <t>Industrial, Heavy (Process) Manufacturing, Class B, Average, including craneways, elevator &amp; HVAC system</t>
  </si>
  <si>
    <t>Sprinkler, 15,000 SF, Dry System, Average</t>
  </si>
  <si>
    <t>Bridge Crane, 10 Ton, Span = 75 FT</t>
  </si>
  <si>
    <t>14/27</t>
  </si>
  <si>
    <t xml:space="preserve">Unified Facilities Criteria (UFC) for Multi-Disciplinary and Facility Specific Design (UFC 3-101-01, Architecture; and UFC 4-200, Maintenance and Production Facilities) do not provide guidance for this FAC.   </t>
  </si>
  <si>
    <t xml:space="preserve">No UFC criteria exist for component material.
Applying the Marshall and Swift Selection Business Rule, the FAC is Marshall &amp; Swift Class B, Average Quality.
</t>
  </si>
  <si>
    <t xml:space="preserve">International Building Code Group F
A fire sprinkler has been incorporated, applying the Fire Sprinkler Business Rule.
</t>
  </si>
  <si>
    <t xml:space="preserve">• MILCON Cost Premium Business rule
• Fire Sprinkler Business Rule
• M&amp;S Selection Business Rule
• Overhead Crane Business Rule
• Elevator Business Rule
</t>
  </si>
  <si>
    <t>Landing Craft Wash Facility</t>
  </si>
  <si>
    <t>Vehicle Maintenance Shop</t>
  </si>
  <si>
    <t>Vehicle Maintenance Shop, Depot</t>
  </si>
  <si>
    <t>Vehicle Maintenance Shop, National Guard</t>
  </si>
  <si>
    <t>Vehicle Maintenance Shop, Reserve</t>
  </si>
  <si>
    <t>Vehicle Maintenance Facility</t>
  </si>
  <si>
    <t>Vehicle Maintenance Shed</t>
  </si>
  <si>
    <t>POL Storage Bldg. - Tactical Equipment Maintenance Facility (TEMF)</t>
  </si>
  <si>
    <t>Weapon Maintenance Shop</t>
  </si>
  <si>
    <t>Weapon Maintenance Shop, Depot</t>
  </si>
  <si>
    <t>Section/ Page</t>
  </si>
  <si>
    <t>Structure or Feature</t>
  </si>
  <si>
    <t>Valuation</t>
  </si>
  <si>
    <t>Conversion (As Needed)</t>
  </si>
  <si>
    <t>Extended Value</t>
  </si>
  <si>
    <t>Bridge Crane, 75 FT span, 10 Ton capacity</t>
  </si>
  <si>
    <t>Overhead door, rollup, 9 FT x 9 FT (81 SF)</t>
  </si>
  <si>
    <t>Door electric operation</t>
  </si>
  <si>
    <t>Dock bumpers, horizontal, 10 LF, 2 sets</t>
  </si>
  <si>
    <t>Dock Seal, 10" projection, 2 EA</t>
  </si>
  <si>
    <t xml:space="preserve">OSD Design Criteria Unified Facilities Criteria (UFC) 2-000-05N provides planning criteria for category code 200-series weapons maintenance facilities.
This criteria provides space planning guidance for armories (category code 21510) serving only the activity (installation) at which it is located, and small arms are limited to those personnel physically stationed at that activity. For the remaining category codes in this FAC, the UFC states there is no criteria, and that an engineering analysis based on throughput, ordnance equipment size, maintenance staffing and support space should determine the space requirements.
</t>
  </si>
  <si>
    <t>UFC 3-340-02, Chapter 3, “Principles of Dynamic Analysis” provides design criteria to limit the impact of accidental detonations in ordnance production and maintenance facilities.  Generally this this criteria requires the use of concrete structural.  “However, this does not imply that concrete and steel are the only useful materials for protective construction. Tests to establish the response of wood and plastics, as well as the blast attenuating and mass effects of soil are contemplated. The results of these tests may require, at a later date, the supplementation of these design methods for these and other materials.    
Because reinforced concrete is the primary material used in the dynamic analysis of detonations in this UFC, a Class A, “Average” structure was selected as this includes:
• Heavy structural frame and masonry or concrete walls
• Excellent lighting and plumbing
• Extra heavy floors, partitions and included craneway</t>
  </si>
  <si>
    <t xml:space="preserve">UFC 3-600-01, "Fire Protection Engineering for Facilities," states “Complete automatic sprinkler protection is required for Ordnance Facilities used  for manufacturing, maintaining, demilitarizing, handling, processing, testing, servicing, and inspecting of ammunition, explosives, pyrotechnics, propellants, and oxidizers or related devices containing these materials, unless such a system will aggravate the hazard. 
International Building Code (IBC) classification group H, Hazard.
</t>
  </si>
  <si>
    <t xml:space="preserve">No specific requirement for a loading dock is found in a UFC.  A reasonable assumption is to include a loading dock based upon the function of this FAC. The number of truck docks is calculated by a consideration of number of trucks arriving and loading/unloading time for the specific design.  As general guidance, the Commercial Real Estate Development Association (NAIOP) provides an estimate of the average number of loading docks per square foot of industrial or warehouse averaging 1 dock per 7,500 sf of floor space.  For this FAC, 2 loading dock assemblies are provided.  The guide specification for design of a loading dock is contained in the Unified Facilities Guide Specification (UFGS). 
</t>
  </si>
  <si>
    <t xml:space="preserve"> A bridge crane is provided in the calculation of replacement unit cost in consonance with the overhead crane business rule.  A craneway is included in the building's unit cost.</t>
  </si>
  <si>
    <t>• MILCON Cost Premium Business Rule
• M&amp;S Selection Business Rule
• Overhead Crane Business Rule
• Elevator Business Rule</t>
  </si>
  <si>
    <t>Weapon Maintenance Facility Depot</t>
  </si>
  <si>
    <t>Bridge Crane, 50' span, 10 Ton capacity, 1 EA</t>
  </si>
  <si>
    <t>SF Conversion</t>
  </si>
  <si>
    <t>Sprinkler, 10,000 SF, Wet System, Good</t>
  </si>
  <si>
    <t>Ammunition Maintenance Shop</t>
  </si>
  <si>
    <t>Bridge Crane, 50' span, 5 Ton capacity, 1 EA</t>
  </si>
  <si>
    <t>1 EA</t>
  </si>
  <si>
    <t>SF of dock</t>
  </si>
  <si>
    <t>SF dock per SF FAC</t>
  </si>
  <si>
    <t>Sprinkler, 5,000 SF, Wet System, Average</t>
  </si>
  <si>
    <t xml:space="preserve">Hazard occupancy sprinkler (Add 15% of system unit cost) </t>
  </si>
  <si>
    <t>Ammunition Maintenance Shop, Depot</t>
  </si>
  <si>
    <t xml:space="preserve">Unified Facilities Criteria (UFC) for Multi-Disciplinary and Facility Specific Design (3-101-01, Architecture, and 4-200 Maintenance and Production Facilities, do not provide guidance for this FAC.   </t>
  </si>
  <si>
    <t xml:space="preserve">• Military Construction Cost Premium
• Fire Sprinkler Business Rule
• M&amp;S Selection Business Rule
• Overhead Crane Business Rule
• Elevator Business Rule
</t>
  </si>
  <si>
    <t>Ammunition Maintenance Facility,  Depot</t>
  </si>
  <si>
    <t>Electronic and Communication Maintenance Shop</t>
  </si>
  <si>
    <t>Electronics Maintenance Shop - Depot Level</t>
  </si>
  <si>
    <t>Electronic and Communication Maintenance Shop, Depot</t>
  </si>
  <si>
    <t>Electronic and Communication Maintenance Facility</t>
  </si>
  <si>
    <t>Installation Support Vehicle Maintenance Shop</t>
  </si>
  <si>
    <t>Installation Support Equipment Maintenance Shop</t>
  </si>
  <si>
    <t>Railroad Equipment Shop</t>
  </si>
  <si>
    <t>Parachute And Dinghy Maintenance Shop</t>
  </si>
  <si>
    <t>Table 2, UFC 3-701-1, Change 5, October 2012</t>
  </si>
  <si>
    <t xml:space="preserve">Maintenance Shops: Parachute And Dinghy Maintenance </t>
  </si>
  <si>
    <t>Installation Support Equipment Maintenance Shed</t>
  </si>
  <si>
    <t>Organizational Storage Building</t>
  </si>
  <si>
    <t>Facility Engineer Maintenance Shop</t>
  </si>
  <si>
    <t>Bridge crane, 10 Ton, 50' span</t>
  </si>
  <si>
    <t>Craneway, 10 Ton, 100 LF</t>
  </si>
  <si>
    <t>Craneway electrical assembly</t>
  </si>
  <si>
    <t xml:space="preserve">There are no criteria for facilities engineer maintenance shops contained in the Unified Facilities Criteria (UFC), and in particular the 4-200, Maintenance and Production Facilities, series.  
</t>
  </si>
  <si>
    <t xml:space="preserve">The type of building selected using the Marshall &amp; Swift Business Rule is Marshall &amp; Swift Industrial, Light Manufacturing, Class B, Average Quality.  
</t>
  </si>
  <si>
    <t xml:space="preserve">International Building Code (IBC) Group F.
DoD facilities are designed in compliance with National Fire Protection Association (NFPA) 13  and UFC 3-600-01, "Fire Protection Engineering for Facilities."  UFC 3-600-01 refers the designer to the IBC.  The Fire Sprinkler Business Rule incorporates the requirements of NFPA, UFC 3-600-01 and the IBC, and requires a sprinkler only when the fire area exceeds 12,000 SF for Group F Occupancies.  
</t>
  </si>
  <si>
    <t xml:space="preserve">UFC 4-440-01 sets a requirement for loading docks.  Although the number of truck docks is calculated by a consideration of number of trucks arriving and loading/unloading time, the Commercial Real Estate Development Association (NAIOP)  provides an estimate of the average number of loading docks per square foot of manufacturing or warehouse averages 1:7,500.   With an average less than the threshold for a loading dock, no loading dock assembly is provided.   
An elevator is not provided as the average number of floors is 1.09; applying the Elevator Business Rule, no elevator is incorporated. 
</t>
  </si>
  <si>
    <t xml:space="preserve">Applying the Overhead Crane Business Rule, a bridge crane is provided in the estimate.   A craneway is included in the building's unit cost.
</t>
  </si>
  <si>
    <t xml:space="preserve">No UFC criteria exists for components or materials.
</t>
  </si>
  <si>
    <t xml:space="preserve">• Military Construction Cost Premium
• Fire Sprinkler Business Rule
• M&amp;S Selection Business Rule
• Overhead Crane Business Rule
</t>
  </si>
  <si>
    <t>Facility Engineer Maintenance Facility</t>
  </si>
  <si>
    <t>Aircraft Production Plant</t>
  </si>
  <si>
    <t>Industrial, Heavy (Process) Manufacturing, Class A, Average, including HVAC, elevator, and craneway</t>
  </si>
  <si>
    <t>Bridge Crane, 10 ton, span = 100 ft, 2 EA</t>
  </si>
  <si>
    <t>Overhead door, roll-up, 81 SF/door, 12 EA</t>
  </si>
  <si>
    <t>Overhead door, electrical operator, 12 EA</t>
  </si>
  <si>
    <t>Dock bumpers, Horizontal, 10 LF</t>
  </si>
  <si>
    <t>LF per UM</t>
  </si>
  <si>
    <t xml:space="preserve">Unified Facilities Criteria (UFC) for Multi-Disciplinary and Facility Specific Design (UFC 3-101-01, Architecture, and UFC 4-200, Maintenance and Production Facilities) do not provide guidance for this FAC.   
</t>
  </si>
  <si>
    <t xml:space="preserve">No UFC criteria exist for component material.  
Applying the Marshall and Swift  Selection Business Rule, the FAC is Marshall &amp; Swift Industrial Building Manufacturing (495), Class A, Average Quality.  It should be noted this differs from an aircraft hangar, as it is primarily a plant to produce aircraft assemblies, parts and therefore includes heavy industrial machinery.
</t>
  </si>
  <si>
    <t xml:space="preserve">International Building Code (IBC) Group F.
A fire sprinkler has been incorporated, applying the Fire Sprinkler Business Rule.
</t>
  </si>
  <si>
    <t xml:space="preserve">• M&amp;S Selection Business Rule
• Elevator Business Rule
• Fire Sprinkler Business Rule
• Overhead Crane Business Rule
• MILCON Cost Premium Business Rule
</t>
  </si>
  <si>
    <t>Missile Production Plant</t>
  </si>
  <si>
    <t>Bridge Crane, 10 Ton, 1 EA, Span = 75 ft</t>
  </si>
  <si>
    <t>Ship Production Plant</t>
  </si>
  <si>
    <t>Bridge Crane, 10 Ton, 2 EA, Span = 100 ft</t>
  </si>
  <si>
    <t>2 EA</t>
  </si>
  <si>
    <t>Tank/Automotive Production Plant</t>
  </si>
  <si>
    <t xml:space="preserve">Industrials, Heavy (Process) Manufacturing, Class C Mill, Average </t>
  </si>
  <si>
    <t>Sprinkler, Wet System, 2,500 SF, Average</t>
  </si>
  <si>
    <t>Craneway electrical conductor assembly</t>
  </si>
  <si>
    <t>LF Conversion</t>
  </si>
  <si>
    <t>Sprinkler, Dry System, 50,000 SF, average</t>
  </si>
  <si>
    <t>Ammunition Production Plant</t>
  </si>
  <si>
    <t>Bridge Crane, 10 Ton capacity, 1 EA, Span = 50 ft</t>
  </si>
  <si>
    <t>Ammunition Demilitarization Plant</t>
  </si>
  <si>
    <t>USACE PAX Newsletter 3.2.2, 20 Mar 2009</t>
  </si>
  <si>
    <t>Ammunition Demilitarization Facility</t>
  </si>
  <si>
    <t>Borrow, Common Fill, Spread, no Compaction</t>
  </si>
  <si>
    <t>Fine Grading for Small Irregular Areas &lt; 15,000 SY</t>
  </si>
  <si>
    <t>Bank Run Gravel, Spread, no Compaction, 8" lift</t>
  </si>
  <si>
    <t>Electronic and Communication Production Plant</t>
  </si>
  <si>
    <t>Sprinkler, Dry System, 60,000 SF, Average</t>
  </si>
  <si>
    <t>Miscellaneous Support Production Plant</t>
  </si>
  <si>
    <t>Craneway, 144 LF x 2 = 288 LF</t>
  </si>
  <si>
    <t>Sprinkler, Dry System, 10,000 SF, Average</t>
  </si>
  <si>
    <t>14/41</t>
  </si>
  <si>
    <t>RDT&amp;E Laboratory</t>
  </si>
  <si>
    <t>Sprinkler, Dry System, 15,000 SF, Average</t>
  </si>
  <si>
    <t xml:space="preserve">Unified Facilities Criteria (UFC) for Multi-Disciplinary and Facility Specific Design (4 Series) is not provided for this type of facility.  The only UFC in the 4-300 Series for RDT&amp;E facilities is UFC 4-390-01, O&amp;M: Unmanned Pressure Test Facilities Safety Certification Manual.
</t>
  </si>
  <si>
    <t xml:space="preserve">No UFC criteria exist for component material.  The reference to Marshall and Swift commercial and public utility/governmental utility buildings includes metal and masonry construction.
Selection of materials incorporated into the design must be consistent with the building use category of UFC 1-200-01, "DoD Building Code;" UFC 3-600-01, "Fire Protection Engineering for Facilities;" and the International Building Code (IBC).  
</t>
  </si>
  <si>
    <t xml:space="preserve">UFC 1-200-01 and UFC 3-600-01 require compliance with the IBC.  
IBC Group B
Fire suppression has been included in this Replacement Unit Cost, consistent with the Fire Sprinkler Business Rule.
</t>
  </si>
  <si>
    <t xml:space="preserve">No UFC requirement exists for the incorporation of a loading dock
One (1) elevator is provided in consonance with the Elevator Business Rules.
</t>
  </si>
  <si>
    <t xml:space="preserve">No UFC criteria exist for component material, other than those consistent with fire safety noted above in building construction material.  The reference to Marshall and Swift commercial and governmental utility buildings includes metal and masonry construction. </t>
  </si>
  <si>
    <t>Medical Research Laboratory</t>
  </si>
  <si>
    <t>Fume hood air &amp; ventilation</t>
  </si>
  <si>
    <t>No UFC criteria exist for component material.  The reference to Marshall and Swift commercial and public utility/governmental utility buildings includes metal and masonry construction.
Selection of materials incorporated into the design must be consistent with the building use category  of UFC 1-200-01, "DoD Building Code;" UFC 3-600-01, "Fire Protection Engineering for Facilities;" and the International Building Code (IBC).</t>
  </si>
  <si>
    <t xml:space="preserve">• UFC 1-200-01 and UFC 3-600-01 require compliance with the IBC.  
• IBC Group B
• Fire suppression has been included in this Replacement Unit Cost, consistent with the Fire Sprinkler Business Rule.
</t>
  </si>
  <si>
    <t xml:space="preserve">No UFC requirement exists for the incorporation of a loading dock
One (1) elevator is provided in consonance with the Elevator Business Rules.  Elevators are included in the Marshall and Swift basic valuation for a laboratory building, Class B, average, representing this FAC.
</t>
  </si>
  <si>
    <t xml:space="preserve">No UFC criteria exist for component material, other than those consistent with fire safety noted above in building construction material.
</t>
  </si>
  <si>
    <t>Biosafety Level 3 Laboratory</t>
  </si>
  <si>
    <t xml:space="preserve">Fume Hood air &amp; ventilation </t>
  </si>
  <si>
    <t>52/6</t>
  </si>
  <si>
    <t>Biosafety Level 4 Laboratory</t>
  </si>
  <si>
    <t>Sprinkler, Dry System, 2500 SF, Average</t>
  </si>
  <si>
    <t>Aircraft RDT&amp;E Facility</t>
  </si>
  <si>
    <t>USACE PAX Newsletter 3.2.2,                                                           Various Publications</t>
  </si>
  <si>
    <t>Chemistry Lab (USACE PAX Newsletter, 20 March 2009)</t>
  </si>
  <si>
    <t>Aircraft Component Repair Shop (USACE PAX Newsletter, 24 July 2014)</t>
  </si>
  <si>
    <t>Aircraft Engine Test Facility (USACE PAX Newsletter, 04 January 2011)</t>
  </si>
  <si>
    <t>Missile and Space RDT&amp;E Facility</t>
  </si>
  <si>
    <t>Missile Maintenance Facility (USACE PAX Newsletter, 20 March 2009)</t>
  </si>
  <si>
    <t>Ship and Marine RDT&amp;E Facility</t>
  </si>
  <si>
    <t>Industrial, Engineering (Research &amp; Development) Building, Class B, Average, including elevator</t>
  </si>
  <si>
    <t>Overhead door electric operator</t>
  </si>
  <si>
    <t>Dock bumpers, 10 LF, 3 EA</t>
  </si>
  <si>
    <t>Dock leveler, hydraulic, 3 EA</t>
  </si>
  <si>
    <t>Dock shelter, 3 EA</t>
  </si>
  <si>
    <t xml:space="preserve">Unified Facilities Criteria (UFC) for Multi-Disciplinary and Facility Specific Design (3-101-01 Architecture; and 4-300 RDT&amp;E Facilities  do not provide guidance for this FAC.   
</t>
  </si>
  <si>
    <t xml:space="preserve">International Building Code Group B
A fire sprinkler has been incorporated, applying the Fire Sprinkler Business Rule.
</t>
  </si>
  <si>
    <t>An overhead crane is provided, applying the Overhead Crane Business Rule.  A craneway is not included in the building's unit cost.</t>
  </si>
  <si>
    <t>Tank and Automotive RDT&amp;E Facility</t>
  </si>
  <si>
    <t>Overhead door, roll-up, 9 FT x 9 FT door, 81 SF/door</t>
  </si>
  <si>
    <t>Weapons RDT&amp;E Facility</t>
  </si>
  <si>
    <t>Extended Price</t>
  </si>
  <si>
    <t>LF to UM</t>
  </si>
  <si>
    <t>Overhead door, roll-up</t>
  </si>
  <si>
    <t>per SF door</t>
  </si>
  <si>
    <t>SF per door</t>
  </si>
  <si>
    <t>Dock bumpers</t>
  </si>
  <si>
    <t>Dock leveler</t>
  </si>
  <si>
    <t>Hazard occupancy sprinkler (add 15% of sprinkler cost)</t>
  </si>
  <si>
    <t xml:space="preserve">Unified Facilities Criteria (UFC) for Multi-Disciplinary and Facility Specific Design (4 Series) is not provided for this type of facility.  The only UFC in the 4-300 Series for RDT&amp;E facilities is UFC 4-390-01, “O&amp;M: Unmanned Pressure Test Facilities Safety Certification Manual.”
</t>
  </si>
  <si>
    <t xml:space="preserve">No UFC criteria exist for component material.  The reference to Marshall and Swift commercial and public utility/governmental utility buildings includes metal and masonry construction.
Selection of materials incorporated into the design must be consistent with the building use category  of UFC 1-200-01, “DoD Building Code (General Building Requirements),” 20 June 2016, with Change 1, 01 February 2018, "DoD Building Code;" UFC 3-600-01, "Fire Protection Engineering for Facilities;" and the International Building Code (IBC).  The building use category is H, Hazardous.
</t>
  </si>
  <si>
    <t xml:space="preserve">UFC 1-200-01 and UFC 3-600-01 require compliance with the IBC.  
IBC Group H
Fire suppression has been included in this Replacement Unit Cost, consistent with the Fire Sprinkler Business Rule.
</t>
  </si>
  <si>
    <t>A bridge crane has been incorporated into the replacement unit cost in consonance with the Overhead Crane Business Rule.   A craneway is not included in the building's unit cost.</t>
  </si>
  <si>
    <t>Ammunition, Explosive and Toxic RDT&amp;E Facility</t>
  </si>
  <si>
    <t>EA/SF Conversion</t>
  </si>
  <si>
    <t>Craneway, 10 Ton, 2 x 75 FT = 150 LF</t>
  </si>
  <si>
    <t>x LF Conversion</t>
  </si>
  <si>
    <t>Sprinkler, Dry System, 5,000 SF, average</t>
  </si>
  <si>
    <t>Hazard occupancy sprinkler</t>
  </si>
  <si>
    <t xml:space="preserve">Unified Facilities Criteria (UFC) for Multi-Disciplinary and Facility Specific Design (4 Series) is not provided for this type of facility.  The only UFC in the 4-300 Series for RDT&amp;E facilities is 4-390-01, “O&amp;M: Unmanned Pressure Test Facilities Safety Certification Manual” which does not apply.
</t>
  </si>
  <si>
    <t>No UFC criteria exist for component material.  The reference to Marshall and Swift commercial and public utility/governmental utility buildings includes metal and masonry construction.
Selection of materials incorporated into the design must be consistent with the building use category of UFC 1-200-01, "DoD Building Code;" UFC 3-600-01, "Fire Protection Engineering for Facilities;" and the International Building Code (IBC).</t>
  </si>
  <si>
    <t xml:space="preserve">UFC 1-200-01 and UFC 3-600-01 require compliance with the IBC.  
IBC Group H, Hazard
Fire suppression has been included in this Replacement Unit Cost, consistent with the Fire Sprinkler Business Rule.
</t>
  </si>
  <si>
    <t xml:space="preserve">No UFC requirement exists for the incorporation of a loading dock
No elevator is provided in consonance with the Elevator Business Rules.
</t>
  </si>
  <si>
    <t>An overhead crane is provided in consonance with the Overhead Crane Business Rule.  A craneway is not included in the building's unit cost.</t>
  </si>
  <si>
    <t xml:space="preserve">No  UFC criteria exist for component material, other than those consistent with fire safety noted above in building construction material.  The reference to Marshall and Swift commercial and governmental utility buildings includes metal and masonry construction. </t>
  </si>
  <si>
    <t>Electronic and Communication RDT&amp;E Facility</t>
  </si>
  <si>
    <t>Overhead door, roll-up, 81 SF/door</t>
  </si>
  <si>
    <t xml:space="preserve">Unified Facilities Criteria (UFC) for Multi-Disciplinary and Facility Specific Design (3-101-01 Architecture; and 4-300 (series) RDT&amp;E Facilities  do not provide guidance for this FAC.   
</t>
  </si>
  <si>
    <t xml:space="preserve">No UFC criteria exist for component material.  
Applying the Marshall and Swift Selection Business Rule, the FAC is  Marshall &amp; Swift RDT&amp;E Building. Class B, Average Quality.
</t>
  </si>
  <si>
    <t xml:space="preserve">International Building Code (IBC) Group B
A fire sprinkler has been incorporated, applying the Fire Sprinkler Business Rule.
</t>
  </si>
  <si>
    <t xml:space="preserve">No UFC criteria exist for component material </t>
  </si>
  <si>
    <t>Propulsion RDT&amp;E Facility</t>
  </si>
  <si>
    <t>Bridge Crane, 10 Ton, 1 ea., Span = 50 ft</t>
  </si>
  <si>
    <t xml:space="preserve">LF to UM </t>
  </si>
  <si>
    <t>Dock seal, 10 " projection</t>
  </si>
  <si>
    <t>Sprinkler, Wet System, 10,000 SF, Average</t>
  </si>
  <si>
    <t>Hazard occupancy sprinkler (add 15% to sprinkler cost)</t>
  </si>
  <si>
    <t>Note: "Section" refers to the A2257:L2265Marshall &amp; Swift (M&amp;S) Marshall Valuation Guide (MVG) section and page which contains a profile of the facility used for this FAC as well as additional information on the features included in the MVG facility.  The "Area Adjustment" is the "local multiplier"  (Section 99, Pages 5 thru 10), which reflects local cost conditions and is designed to adjust the basic costs to each locality.   "Current Cost Multiplier" (Section 99, Page 3) are the multipliers to update costs.  Costs in each section are updated on a three-year cycle.  The current cost multiplier is republished monthly and is based upon nationally recognized building cost indices.  To obtain the current replacement value the cost shown in each section ("refined" by additions such as sprinklers, elevators, etc.) is multiplied by the current cost multiplier and the local multiplier; that is: Unit Cost x Current Cost Multiplier x Local Multiplier = Final Replacement Cost.</t>
  </si>
  <si>
    <t xml:space="preserve">No UFC criteria exist for component material.  The reference to Marshall and Swift commercial and public utility/governmental utility buildings includes metal and masonry construction.  Selection of materials incorporated into the design must be consistent with the building use category  of UFC 1-200-01 , UFC 3-600-01  and the International Building Code (IBC).  The building use category is H, Hazardous.
</t>
  </si>
  <si>
    <t xml:space="preserve">UFC 1-200-01, and UFC 3-600-01 require compliance with the IBC.  
IBC Group H.
Fire suppression has been included in this Replacement Unit Cost, consistent with the Fire Sprinkler Business Rule.
</t>
  </si>
  <si>
    <t>No specific requirement for a loading dock is found in a Unified Facilities Criteria.  A reasonable assumption is to include a loading dock based upon the function of this FAC.
The number of truck docks is calculated by a consideration of number of trucks arriving and loading/unloading time for the specific design.  As general guidance,  the Commercial Real Estate Development Association (NAIOP) provides an estimate of the average number of loading docks per square foot of industrial or warehouse averaging 1 dock per 7,500 sf of floor space.  For this FAC, 1 loading dock assemblies is provided.   
The guide specification for design of a loading dock is contained in the Unified Facilities Guide Specification . 
No elevator has been is provided in consonance with the Elevator Business Rules.</t>
  </si>
  <si>
    <t>Miscellaneous Item and Equipment RDT&amp;E Facility</t>
  </si>
  <si>
    <t>Bridge crane, 10 Ton, 50 FT span</t>
  </si>
  <si>
    <t xml:space="preserve">Unified Facilities Criteria (UFC) for Multi-Disciplinary and Facility Specific Design (UFC 3-101-01, Architecture; and UFC 4-300 (series), RDT&amp;E Facilities)  do not provide guidance for this FAC.   
</t>
  </si>
  <si>
    <t xml:space="preserve">No UFC criteria exist for component. material.  
Applying the Marshall and Swift  Selection Business Rule, the FAC is  Marshall &amp; Swift RDT&amp;E Building. Class B, Average Quality.
</t>
  </si>
  <si>
    <t xml:space="preserve">International Building Code Group B.
A fire sprinkler has been incorporated.
</t>
  </si>
  <si>
    <t xml:space="preserve">No UFC requirement exists for the incorporation of a loading dock.  As general guidance,  the Commercial Real Estate Development Association (NAIOP) provides an estimate of the average number of loading docks per square foot of industrial or warehouse averaging 1 dock per 7,500 sf of floor space .    For this FAC, 1 loading dock assemblies are provided.   
The guide specification for design of a loading dock is contained in the Unified Facilities Guide Specification. 
The average number of floors is 1.3 yielding 0 elevators for the maximum number of occupants, applying the Elevator Business Rule.  
</t>
  </si>
  <si>
    <t>One overhead crane is provided, applying the Overhead Crane Business Rule.  A craneway is not included in the building's unit cost.</t>
  </si>
  <si>
    <t>Dock leveler, hydraulic, 1 EA</t>
  </si>
  <si>
    <t>Dock seal, 10" projection, 1 EA</t>
  </si>
  <si>
    <t>Dock shelter, 1 EA</t>
  </si>
  <si>
    <t xml:space="preserve">Unified Facilities Criteria (UFC) for Multi-Disciplinary and Facility Specific Design (UFC 3-101-01, Architecture; and UFC 4-300 (series), Research, Development, Test, &amp; Evaluation (RDT&amp;E Facilities)), do not provide guidance for this FAC.   
</t>
  </si>
  <si>
    <t xml:space="preserve">No UFC criteria exist for component material.  
Applying the Marshall and Swift Selection Business Rule, the FAC is MVG RDT&amp;E Building. Class B, Average Quality.
</t>
  </si>
  <si>
    <t xml:space="preserve">International Building Code Group B.  A  fire sprinkler has been incorporated.
</t>
  </si>
  <si>
    <t>RDT&amp;E Range Building</t>
  </si>
  <si>
    <t>USACE PAX Newsletters 3.2.2</t>
  </si>
  <si>
    <t>After Action Review (AAR) Bldg. - Small (USACE PAX Newsletter 3.2.2, 06 April 2017)</t>
  </si>
  <si>
    <t>RDT&amp;E Range Facility</t>
  </si>
  <si>
    <t>Underground Administrative Facility (USACE PAX Newsletter, 20 March 2009)</t>
  </si>
  <si>
    <t>FAC 1321</t>
  </si>
  <si>
    <t>RDT&amp;E Range Complex</t>
  </si>
  <si>
    <t>Combined ROC/AAR-Digital Range (USACE PAX Newsletter, 04 January 2011)</t>
  </si>
  <si>
    <t>Propulsion Engine Test Cell</t>
  </si>
  <si>
    <t>MILCON</t>
  </si>
  <si>
    <t>Engine Test Cell</t>
  </si>
  <si>
    <t>Military Cost Premium not multiplied as cost derived from MILCON</t>
  </si>
  <si>
    <t>Small Bulk Storage</t>
  </si>
  <si>
    <t>61/6</t>
  </si>
  <si>
    <t>EA to GA</t>
  </si>
  <si>
    <t xml:space="preserve">Horizontal Bulk Storage, 1,500 GA </t>
  </si>
  <si>
    <t>Backfill and Compaction, confined area , medium earth</t>
  </si>
  <si>
    <t>CY to GA</t>
  </si>
  <si>
    <t>FT to GA</t>
  </si>
  <si>
    <t xml:space="preserve">Geotextile Fabric </t>
  </si>
  <si>
    <t>SY to GA</t>
  </si>
  <si>
    <t>Containment berm assume 60' x 6' x 8' = 2,880 CF = 106.7 CY; for Geotextile fabric area:  1,320 SF = 146.7 SY</t>
  </si>
  <si>
    <t>Bulk Liquid Storage, Other Than Fuel</t>
  </si>
  <si>
    <t>USACE PAX Newsletter 3.2.2, 04 Jan 2011</t>
  </si>
  <si>
    <t>Liquid Fuel Storage Tank - Bulk AGST</t>
  </si>
  <si>
    <t>GA/BL</t>
  </si>
  <si>
    <t>PAX Unit Cost in Barrels (42 GA per BL)</t>
  </si>
  <si>
    <t>Ammunition Storage, Depot and Arsenal</t>
  </si>
  <si>
    <t>Hi Explosive Magazine w/Crane</t>
  </si>
  <si>
    <t>Ammunition Storage, Installation</t>
  </si>
  <si>
    <t>General Purpose Magazine w/o Crane</t>
  </si>
  <si>
    <t>Ammunition Storage Shed, Installation</t>
  </si>
  <si>
    <t>Storage Shed (Covered, not Enclosed)</t>
  </si>
  <si>
    <t>Liquid Propellant Storage, Ammunition Related</t>
  </si>
  <si>
    <t>Battery Storage, Weapon Related</t>
  </si>
  <si>
    <t>USACE PAX Newsletter 3.2.2, 20 March 2009</t>
  </si>
  <si>
    <t>Battery Shop</t>
  </si>
  <si>
    <t>Cold Storage Warehouse, w/o Processing</t>
  </si>
  <si>
    <t>Open Ammunition Storage</t>
  </si>
  <si>
    <t>Aggregate (rock) Base, 4", per SF</t>
  </si>
  <si>
    <t>SF / SY</t>
  </si>
  <si>
    <t>Paving, 4" Asphaltic Concrete, per SF</t>
  </si>
  <si>
    <t>Paving, 6" Concrete, per SF</t>
  </si>
  <si>
    <t>Average Asphalt and Concrete</t>
  </si>
  <si>
    <t xml:space="preserve">Unified Facilities Criteria (UFC) for Multi-Disciplinary and Facility Specific Design (3-500 Electrical, 4-200 Maintenance and Production Facilities, and 4-800 Utilities and Ground Improvements Series) is not provided for this type of facility.  
FAC 4251 aggregates 5 category codes – 1 Air Force, 1 Army and 3 Navy; Navy category codes include a container holding yard (empty) and a barricaded module.
</t>
  </si>
  <si>
    <t xml:space="preserve">No UFC criteria exist for component material.  The calculation using Marshall and Swift averages asphalt and concrete paved storage areas. </t>
  </si>
  <si>
    <t xml:space="preserve">UFC 3-600-01 states this type of facility must be located (“sited”) in accordance with DoD 6055.09-M, but that sprinklers and hydrant protection are not required for ammunition/explosive storage facilities.
</t>
  </si>
  <si>
    <t xml:space="preserve">No UFC requirement exists for the incorporation of a loading dock.
No elevator is provided in consonance with the Elevator Business Rules.
</t>
  </si>
  <si>
    <t>No UFC criteria exist for component material.  The reference to Marshall and Swift commercial and governmental utility buildings includes metal and masonry construction.</t>
  </si>
  <si>
    <t xml:space="preserve">• M&amp;S Selection Business Rule
• Overhead Crane Business Rule
• MILCON Cost Premium Business Rule
</t>
  </si>
  <si>
    <t>Cold Storage, Depot</t>
  </si>
  <si>
    <t>14/24</t>
  </si>
  <si>
    <t>Cold Storage Facility, Class A/B, Average</t>
  </si>
  <si>
    <t>Cold Storage, Installation</t>
  </si>
  <si>
    <t>Covered Storage Building, Depot</t>
  </si>
  <si>
    <t>Warehouse/Storage Facilities: Storage Building - Large (&gt; 15,000 SF), High Bay (Stack Height &gt; 16 FT)</t>
  </si>
  <si>
    <t>Covered Storage Shed, Depot</t>
  </si>
  <si>
    <t>Hazardous Materials Storage, Depot</t>
  </si>
  <si>
    <t>Controlled Humidity Storage, Depot</t>
  </si>
  <si>
    <t>Cold Storage Facility, Class A/B, Average, Complete HVAC</t>
  </si>
  <si>
    <t>Overhead door, roll-up, standard, 9'x9' doors @ 81 SF, 13 each</t>
  </si>
  <si>
    <t>SF total</t>
  </si>
  <si>
    <t>Dock bumper, horizontal, 10 FT length each door</t>
  </si>
  <si>
    <t>Dock seal, 10- inch projection</t>
  </si>
  <si>
    <t xml:space="preserve">Unified Facilities Criteria (UFC) 4-440-01, "Warehouse and Storage Facilities," provides general guidance for this FAC. 
</t>
  </si>
  <si>
    <t xml:space="preserve">UFC 4-440-01 states a controlled humidity warehouse is similar to a general purpose warehouse except that it is designed with enhanced features for humidity control. 
UFC 4-440-01 allows the use of insulated metal siding, brink or concrete masonry, or tilt-up precast or cast in place concrete panels.   
This is consistent with the type of building selected using the M&amp;S Business Rule, the FAC is MVG Class B, Average Quality.  
</t>
  </si>
  <si>
    <t xml:space="preserve">IBC Group B
UFC 4-440-01 requires compliance with the National Fire Protection Association (NFPA) 13  and UFC 3-600-01 .  UFC 3-600-01 refers the designer to the IBC.  The Fire Sprinkler Business Rule incorporates the requirements of NFPA, UFC 3-600-01 and the IBC.  Application of the Fire Sprinkler Business Rule requires a sprinkler system to be installed in this type of facility.
</t>
  </si>
  <si>
    <t xml:space="preserve">UFC 4-440-01 provides the criteria for component material.
</t>
  </si>
  <si>
    <t>Covered Storage Building, Installation</t>
  </si>
  <si>
    <t>Warehouse/Storage Facilities: General Purpose - Small (&lt; 15,000 SF), Low Bay (Stack Height &lt; 16 FT)</t>
  </si>
  <si>
    <t>Covered Storage Shed, Installation</t>
  </si>
  <si>
    <t>Storage Shed (Covered, not Enclosed), ORTC</t>
  </si>
  <si>
    <t>Hazardous Materials Storage, Installation</t>
  </si>
  <si>
    <t>Hazardous Material Storage Building - Tactical Equipment Maintenance Facility (TEMF)</t>
  </si>
  <si>
    <t>Per UM</t>
  </si>
  <si>
    <t>No. of Docks or SF door</t>
  </si>
  <si>
    <t>Overhead door, roll-up, standard 9 FT x 9 FT' door, 6 EA @ 81 SF</t>
  </si>
  <si>
    <t>per SF-door</t>
  </si>
  <si>
    <t>Overhead door, electric operator</t>
  </si>
  <si>
    <t>Dock seal, 10-inch projection</t>
  </si>
  <si>
    <t xml:space="preserve">Unified Facilities Criteria (UFC) 4-440-01, Warehouse and Storage Facilities , provides general guidance for this FAC. </t>
  </si>
  <si>
    <t xml:space="preserve">UFC 4-440-01 states a controlled humidity warehouse is similar to a general purpose warehouse except that it is designed with enhanced features for humidity control. 
UFC 4-440-01 allows the use of insulated metal siding, brink or concrete masonry, or tilt-up precast or cast in place concrete panels .   
This is consistent with the type of building selected using the Marshall &amp; Swift Business Rule, the FAC is MVG Class B, Average Quality.  
</t>
  </si>
  <si>
    <t xml:space="preserve">IBC Code Group B.
UFC 4-440-01 requires compliance with the NFPA 13  and UFC 3-600-01.  UFC 3-600-01 refers the designer to the IBC.  The Fire Sprinkler Business Rule incorporates the requirements of NFPA, UFC 3-600-01 and the IBC. Application of the Fire Sprinkler Business Rule requires a sprinkler system to be installed in this type of facility.
</t>
  </si>
  <si>
    <t>Vehicle Storage, Covered</t>
  </si>
  <si>
    <t>14/34</t>
  </si>
  <si>
    <t>Storage Garage, Class A-B, Average</t>
  </si>
  <si>
    <t>Class B Facility selected for M&amp;S current cost and local multipliers</t>
  </si>
  <si>
    <t>Storage Silo, Loose Material</t>
  </si>
  <si>
    <t>17/16</t>
  </si>
  <si>
    <t>Material Storage Building, Class S, Average</t>
  </si>
  <si>
    <t>Small Arms Storage, Installation</t>
  </si>
  <si>
    <t>Table 2, UFC 3-701-1 as of April 2017</t>
  </si>
  <si>
    <t>Armory / Weapons Storage Facility</t>
  </si>
  <si>
    <t>Storage and Customer Issue</t>
  </si>
  <si>
    <t>13/28</t>
  </si>
  <si>
    <t>Discount Store, Class A-B, Average</t>
  </si>
  <si>
    <t>13/40</t>
  </si>
  <si>
    <t>Sprinkler, Wet System, 15,000 SF, Average</t>
  </si>
  <si>
    <t>Open Storage, Depot</t>
  </si>
  <si>
    <t>Average Asphalt and Concrete Unit Costs</t>
  </si>
  <si>
    <t>Open Storage, Installation</t>
  </si>
  <si>
    <t>Hospital</t>
  </si>
  <si>
    <t>Inpatient Hospital/Medical Center</t>
  </si>
  <si>
    <t>Medical Laboratory</t>
  </si>
  <si>
    <t>Overhead door, roll-up, standard, 9'x9' doors @ 81 SF, 1 each</t>
  </si>
  <si>
    <t xml:space="preserve">Unified Facilities Criteria (UFC) for Multi-Disciplinary and Facility Specific Design (4 Series) is not provided for this type of facility.  The only UFC in the 4-300 Series for Research, Development, Test and Evaluation (RDT&amp;E) facilities is 4-390-01, “O&amp;M: Unmanned Pressure Test Facilities Safety Certification Manual.”
</t>
  </si>
  <si>
    <t xml:space="preserve">No UFC criteria exist for component material.  The reference to MVG commercial and public utility/governmental utility buildings includes metal and masonry construction.  Selection of materials incorporated into the design must be consistent with the building use category  of UFC 1-200-01 , UFC 3-600-01  and the International Building Code (IBC).  
</t>
  </si>
  <si>
    <t xml:space="preserve">No UFC requirement exists for the incorporation of a loading dock
An elevator is provided in consonance with the Elevator Business Rules.  The type of Marshall and Swift building selected, Laboratory Building, Class B Average, includes elevators as part of the basic building valuation.
</t>
  </si>
  <si>
    <t>No UFC requirement exists for the incorporation of overhead cranes.  A craneway is not included in the building's unit cost.</t>
  </si>
  <si>
    <t>Morgue</t>
  </si>
  <si>
    <t>11/32</t>
  </si>
  <si>
    <t>11/35</t>
  </si>
  <si>
    <t>Sprinkler, Wet System, 5,000 SF, Average</t>
  </si>
  <si>
    <t>Veterinary Facility</t>
  </si>
  <si>
    <t>15/28</t>
  </si>
  <si>
    <t>Medical Warehouse</t>
  </si>
  <si>
    <t>HVAC, for Controlled Atmosphere Buildings, Moderate Climate</t>
  </si>
  <si>
    <t>Sprinkler, Dry System, 20,000 SF, Average</t>
  </si>
  <si>
    <t>Ambulance Shelter</t>
  </si>
  <si>
    <t>Storage Garage, Class B, Average</t>
  </si>
  <si>
    <t>Dental Facility</t>
  </si>
  <si>
    <t>Dental Clinic</t>
  </si>
  <si>
    <t>Dispensary And Clinic</t>
  </si>
  <si>
    <t>Ambulatory Care Clinic</t>
  </si>
  <si>
    <t>General Administrative Building</t>
  </si>
  <si>
    <t>Administrative Facilities: Multi-Purpose Admin</t>
  </si>
  <si>
    <t>Small Unit Headquarters Building</t>
  </si>
  <si>
    <t>Headquarters/Operations Buildings: Company Level (Lowest Level)</t>
  </si>
  <si>
    <t>Large Unit Headquarters Building</t>
  </si>
  <si>
    <t>Printing And Reproduction Plant</t>
  </si>
  <si>
    <t>Industrial, Light Manufacturing, Class B, Average</t>
  </si>
  <si>
    <t>Automated Data Processing Center</t>
  </si>
  <si>
    <t>Table 2, UFC 3-701-1, Change 10, May 2016</t>
  </si>
  <si>
    <t>Remote Delivery Facility</t>
  </si>
  <si>
    <t>Underground Administrative Facility</t>
  </si>
  <si>
    <t>Alternate Joint Communications Center</t>
  </si>
  <si>
    <t>Administrative Structure, Other Than Buildings</t>
  </si>
  <si>
    <t>Flagpole, 50', Tapered Aluminum, Concrete Foundation</t>
  </si>
  <si>
    <t>66/5</t>
  </si>
  <si>
    <t>Family Housing Dwelling</t>
  </si>
  <si>
    <t>General Officer, Grade O7 - O8</t>
  </si>
  <si>
    <t>Colonel/Captain, Grade O6</t>
  </si>
  <si>
    <t xml:space="preserve">Lt Colonel &amp; Major, Grade O4 &amp; O5 / Warrant Officer, Grade W4 &amp; W5, 4 Bedrooms </t>
  </si>
  <si>
    <t>CO Grade, Officer, O1-O3; Warrant Officer, Grade W1 - W3, 4 Bedrooms</t>
  </si>
  <si>
    <t>Junior NCO/Enlisted, Grade E1 - E6, 4 Bedrooms</t>
  </si>
  <si>
    <t>Family Housing Individual Trailer Site</t>
  </si>
  <si>
    <t>63/3</t>
  </si>
  <si>
    <t>Manufactured Housing Park, Average, including utilities, grading, engineering</t>
  </si>
  <si>
    <t>EA to SY</t>
  </si>
  <si>
    <t>M&amp;S Design size for a Manufactured Housing Park site = 3,200 SF = 356 SY</t>
  </si>
  <si>
    <t>Family Housing Garage</t>
  </si>
  <si>
    <t>12/35</t>
  </si>
  <si>
    <t>Residential Garage, Detached, 600 SF, Class C, Average</t>
  </si>
  <si>
    <t>Family Housing Storage Facility</t>
  </si>
  <si>
    <t>63/10</t>
  </si>
  <si>
    <t>Storage Shed Building, Aluminum</t>
  </si>
  <si>
    <t xml:space="preserve"> </t>
  </si>
  <si>
    <t>Miscellaneous Family Housing Support Facility</t>
  </si>
  <si>
    <t>17/12</t>
  </si>
  <si>
    <t>Light Commercial Utility Building, Class C, Average</t>
  </si>
  <si>
    <t>Sprinkler, 2500 SF, Wet System, Average</t>
  </si>
  <si>
    <t>Trailer Court Support Facility</t>
  </si>
  <si>
    <t>15/17</t>
  </si>
  <si>
    <t>Office Building, Class C, Average</t>
  </si>
  <si>
    <t>Family Housing Carport</t>
  </si>
  <si>
    <t>Carport, Steel</t>
  </si>
  <si>
    <t>Concrete Slab foundation, 200 SF</t>
  </si>
  <si>
    <t>Enlisted Unaccompanied Personnel Housing</t>
  </si>
  <si>
    <t>Unaccompanied Personnel Housing: Barracks/Dormitory (does not include kitchenette equipment)</t>
  </si>
  <si>
    <t>Enlisted Unaccompanied Personnel Housing, Transient</t>
  </si>
  <si>
    <t>Student Barracks</t>
  </si>
  <si>
    <t xml:space="preserve">Unaccompanied Personnel Housing: Barracks - Student Dorms, Advance Training </t>
  </si>
  <si>
    <t>Annual Training/Mobilization Barracks</t>
  </si>
  <si>
    <t>Unaccompanied Housing for Wounded Warriors</t>
  </si>
  <si>
    <t>15/26</t>
  </si>
  <si>
    <t>Overhead door electrical operator</t>
  </si>
  <si>
    <t>Dock leveler, hydraulic ram, single post</t>
  </si>
  <si>
    <t xml:space="preserve">Unified Facilities Criteria (UFC) for Multi-Disciplinary and Facility Specific Design (4 Series) is not provided for this type of facility.  
UFC 4-510-01, "Design: Military Medical Facilities," does not include guidance for Wounded Warrior housing.
</t>
  </si>
  <si>
    <t xml:space="preserve">No UFC criteria exist for component material.  
</t>
  </si>
  <si>
    <t xml:space="preserve">UFC 3-600-01 requires compliance with National Fire Protection Association (NFPA) 101 for institutional occupancies.  NFPA 101  requires new I-1  (Institutional occupancies), in which the FAC 7215 is categorized, to be fully sprinklered throughout.   This same requirement exists in the IBC, Section 903.2.6  governing Occupancy Group I (institutional).   
</t>
  </si>
  <si>
    <t xml:space="preserve">No UFC criteria exist for component material.   </t>
  </si>
  <si>
    <t>Recruit/Trainee Barracks</t>
  </si>
  <si>
    <t>Dining Facility</t>
  </si>
  <si>
    <t>Miscellaneous UPH Support Building</t>
  </si>
  <si>
    <t>13/25</t>
  </si>
  <si>
    <t>Laundromat, Class C, Average</t>
  </si>
  <si>
    <t>11/14</t>
  </si>
  <si>
    <t>Average Unit cost</t>
  </si>
  <si>
    <t>Sprinkler, Wet System, Average, 3,000 SF</t>
  </si>
  <si>
    <t xml:space="preserve">FAC 7231 aggregates four (4) category codes for detached laundry and recreational/entertainment purposes (such as a dayroom/lounge).
Unified Facilities Criteria (UFC) 4-720-01 “Lodging Facilities," provides limited design criteria for guest laundry design features located within Table 5-23 of the UFC.
</t>
  </si>
  <si>
    <t xml:space="preserve">UFC 4-720-01 calls for epoxy painted gypsum board interior walls with tile floors and moisture resistant, acoustic ceiling tile.  
</t>
  </si>
  <si>
    <t xml:space="preserve">UFC 4-720-01 requires fire protection in the guest laundry of lodging facilities. </t>
  </si>
  <si>
    <t>No UFC requirement exists for the incorporation of a loading dock
No elevator is provided in consonance with the Elevator Business Rules.</t>
  </si>
  <si>
    <t xml:space="preserve">No UFC requirement exists for the incorporation of overhead cranes.
</t>
  </si>
  <si>
    <t xml:space="preserve">No UFC criteria exist for component material.  The reference to Marshall and Swift laundromats includes brick, block (CMU), or tilt-up concrete panel construction.
</t>
  </si>
  <si>
    <t xml:space="preserve">UFC 4-720-01,"Lodging Facilities," 13 February 2012.
</t>
  </si>
  <si>
    <t>Unaccompanied Personnel Housing Garage</t>
  </si>
  <si>
    <t>Dining Support Facility</t>
  </si>
  <si>
    <t>13/15</t>
  </si>
  <si>
    <t>Restaurants/Cafeterias, Class C, Average</t>
  </si>
  <si>
    <t>Latrine/Shower Facility</t>
  </si>
  <si>
    <t>Shower Room Building, Class C, Average</t>
  </si>
  <si>
    <t>Sprinkler, 3,000 SF, Wet System, Average</t>
  </si>
  <si>
    <t>Miscellaneous UPH Support Facility</t>
  </si>
  <si>
    <t>64/4</t>
  </si>
  <si>
    <t>Car Wash Canopy, Class CDS, Average</t>
  </si>
  <si>
    <t>Officer Unaccompanied Personnel Housing</t>
  </si>
  <si>
    <t>Officer UPH, Transient</t>
  </si>
  <si>
    <t>Service Academy Unaccompanied Personnel Housing</t>
  </si>
  <si>
    <t>Dormitory, Class C, Good - includes elevators</t>
  </si>
  <si>
    <t>Sprinkler, Wet System, 75,000 SF, Good</t>
  </si>
  <si>
    <t>Emergency Unaccompanied Personnel Housing</t>
  </si>
  <si>
    <t>12/16</t>
  </si>
  <si>
    <t>Multiple Residence, Class C, Average</t>
  </si>
  <si>
    <t>12/39</t>
  </si>
  <si>
    <t>Sprinkler, 1,500 SF, Wet System, Average</t>
  </si>
  <si>
    <t>Rough Grading, Dumped Material Spread by Dozer, No Compaction</t>
  </si>
  <si>
    <t>SF/SY</t>
  </si>
  <si>
    <t>Fine Grading, Granular Subbase for Paving, Compaction, 3 Passes with Doze, 6" Lifts</t>
  </si>
  <si>
    <t>1-1/2" Crushed Stone Base to 6" Deep</t>
  </si>
  <si>
    <t>8" Thick, Unreinforced Concrete Pavement, 4,500 PSI</t>
  </si>
  <si>
    <t>Fire Station Facility</t>
  </si>
  <si>
    <t>Airfield Fire/Crash Rescue Station</t>
  </si>
  <si>
    <t>Prison/Confinement Facility</t>
  </si>
  <si>
    <t>Correctional Facility, Class C, Average; does not include elevator</t>
  </si>
  <si>
    <t>per SF</t>
  </si>
  <si>
    <t>Overhead door, Electric operation</t>
  </si>
  <si>
    <t>Dock bumper, Horizontal, per LF, 10 LF/door</t>
  </si>
  <si>
    <t>per LF</t>
  </si>
  <si>
    <t>Dock leveler, Hydraulic</t>
  </si>
  <si>
    <t xml:space="preserve">• Naval Corrections Manual requires compliance with American Corrections Association (ACA) "Planning and Design Guide for Secure and Adult and Juvenile Facilities."
• Army Regulation (AR) 190-47, “The Army Corrections System,” states design should strive to meet ACA standards.  
• Facilities Criteria (FC) 4-721-02F, “Air Force Level 1 Confinement Facility,” requires the superstructure to be concrete masonry units, fully grouted, with concrete roof. 
</t>
  </si>
  <si>
    <t xml:space="preserve">• ACA Planning and Design Guide states walls are typically either concrete or masonry.  Standard steel reinforcing used with pre-cast or cast in place concrete is sufficient .
• FC 4-721-02F requires the superstructure to be concrete masonry units, fully grouted, with concrete roof. 
</t>
  </si>
  <si>
    <t xml:space="preserve">Unified Facilities Criteria (UFC) 3-600-01, Fire Protection Engineering for Facilities, requires compliance with National Fire Protection Association (NFPA) 101 for institutional (Group I-3) occupancies.  NFPA 101 requires new I-3 facilities, in which this FAC is categorized, to be have sprinklers throughout.   This same requirement exists in the IBC, Section 907.2.6  governing Occupancy Group I-3 (Institutional).   
</t>
  </si>
  <si>
    <t xml:space="preserve">The ACA Design Guide provides broad guidance for exterior and interior materials .   </t>
  </si>
  <si>
    <t>Police Station</t>
  </si>
  <si>
    <t>Police Station, Class C, Average, without elevator</t>
  </si>
  <si>
    <t xml:space="preserve">International Building Code (IBC) Occupancy Group I, Institutional.
A fire sprinkler has been incorporated, applying the Fire Sprinkler Business Rule.
</t>
  </si>
  <si>
    <t xml:space="preserve">No overhead crane is provided, applying the Overhead Crane Business Rule
</t>
  </si>
  <si>
    <t>IBC, 2018 Edition</t>
  </si>
  <si>
    <t>Drug and Alcohol Abuse Center</t>
  </si>
  <si>
    <t>15/22</t>
  </si>
  <si>
    <t>Medical Office Building, Class C, Average</t>
  </si>
  <si>
    <t>Bread/Pastry Kitchen</t>
  </si>
  <si>
    <t>14/40</t>
  </si>
  <si>
    <t>14/25</t>
  </si>
  <si>
    <t>Creameries, Class C, Average</t>
  </si>
  <si>
    <t>Chiller/Freezer, Moderate Climate, per SF</t>
  </si>
  <si>
    <t>Sprinkler, 2,500 SF, Wet System, Average</t>
  </si>
  <si>
    <t>Greenhouse</t>
  </si>
  <si>
    <t>17/22</t>
  </si>
  <si>
    <t>Greenhouse, Straight-Wall Structure, Class S, Average</t>
  </si>
  <si>
    <t>17/23</t>
  </si>
  <si>
    <t>Humidifier, per EA, 1 EA</t>
  </si>
  <si>
    <t>Automatic vent and/or environmental controls, per unit</t>
  </si>
  <si>
    <t>Exchange Eating Facility</t>
  </si>
  <si>
    <t>13/17</t>
  </si>
  <si>
    <t>Restaurants - Fast Food, Class C, Average</t>
  </si>
  <si>
    <t>65/8</t>
  </si>
  <si>
    <t>Restaurant Hood and Duct, Dry chemical system fire extinguisher, per nozzle, Average, 2 nozzles per 4 EA range hoods</t>
  </si>
  <si>
    <t xml:space="preserve">OSD-based design criteria does not apply to Exchange (Army-Air Force, Navy or Marine Corps) facilities because they are non-appropriated fund activities. 
Applicable national, state, local codes apply.
Typical codes include:  International Building Code (IBC), National Fire Protection Association (NFPA) Codes (including the National Electrical Code), International Mechanical Code, International Plumbing Code. 
</t>
  </si>
  <si>
    <t xml:space="preserve">Any type of construction (Type I, II, or III) is allowable, given the design analysis/trade-off of material and fire safety.  The international Building Code provides guidance. 
</t>
  </si>
  <si>
    <t xml:space="preserve">No Unified Facilities Criteria (UFC) requirement exists for the incorporation of a loading dock
No elevator is provided in consonance with the Elevator Business Rules.
</t>
  </si>
  <si>
    <t xml:space="preserve">No UFC criteria exist for component material.  Any suitable material is permitted by the IBC.
</t>
  </si>
  <si>
    <t xml:space="preserve">IBC, International Code Council, 2018;  Chapter 3, "Occupancy Classification."
IBC, Chapter 6, “Types of Construction.”
IBC, paragraph 903.2.1.2, "Group A-2 Automatic Sprinkler System."
</t>
  </si>
  <si>
    <t>Open Mess and Club Facility</t>
  </si>
  <si>
    <t>13/14</t>
  </si>
  <si>
    <t>Range hood, Complete, per LF, 10 LF, 2 EA</t>
  </si>
  <si>
    <t>Restaurant Hood and Duct, Dry Chemical Fire Protection System , 4 nozzles, per nozzle, Average</t>
  </si>
  <si>
    <t>13/39</t>
  </si>
  <si>
    <t>Overhead door, Rollup, 81 SF/door</t>
  </si>
  <si>
    <t>Dock bumper, Horizontal, per LF, 10 LF</t>
  </si>
  <si>
    <t xml:space="preserve">OSD based design criteria does not apply to Open Mess and Club Facilities as they are Category “C” Morale Welfare and Recreation Facilities (MWR), and therefore funded through sales without Appropriated Funds.   
Applicable national, state, local codes apply.
Typical codes include:  International Building Code (IBC), National Fire Protection Association (NFPA) Codes (including the National Electrical Code), International Mechanical Code, International Plumbing Code. 
</t>
  </si>
  <si>
    <t xml:space="preserve">Any type of construction (Type I, II, or III) is allowable, given the design analysis/trade-off of material and fire safety.  The IBC provides guidance. 
</t>
  </si>
  <si>
    <t xml:space="preserve">The IBC requires an automatic sprinkler when the occupant load exceeds 100, or the fire area exceeds 5,000 SF, or if the fire area is not located on the level of exit discharge.  Because the average size of this FAC exceeds 5,000 SF, a sprinkler system is included in the cost. </t>
  </si>
  <si>
    <t xml:space="preserve">No Unified Facilities Criteria (UFC) requirement exists for the incorporation of overhead cranes.
</t>
  </si>
  <si>
    <t>Thrift Shop</t>
  </si>
  <si>
    <t>13/26</t>
  </si>
  <si>
    <t>Retail Store, Class C, Average</t>
  </si>
  <si>
    <t>Bus Station</t>
  </si>
  <si>
    <t>14/20</t>
  </si>
  <si>
    <t>Passenger Terminal, Class C, Average</t>
  </si>
  <si>
    <t>Laundry/Dry Cleaning Facility</t>
  </si>
  <si>
    <t>Sprinkler, 5,000 SF, Wet system, Average</t>
  </si>
  <si>
    <t>Postal Facility</t>
  </si>
  <si>
    <t>14/21</t>
  </si>
  <si>
    <t>Main Post Office, Class C, Average</t>
  </si>
  <si>
    <t>Exchange Automobile Facility</t>
  </si>
  <si>
    <t>64/1</t>
  </si>
  <si>
    <t>Service Station with Service Bays, Class S-C, Average</t>
  </si>
  <si>
    <t>Exchange Sales Facility</t>
  </si>
  <si>
    <t>Retail store, Class C, Average</t>
  </si>
  <si>
    <t>Overhead door, rollup, 81 SF/door, 2 EA</t>
  </si>
  <si>
    <t>Overhead door, electric operator, 2 EA</t>
  </si>
  <si>
    <t>Dock bumper, Horizontal, 10 LF/door, 20 LF total</t>
  </si>
  <si>
    <t xml:space="preserve">Use classification M (Mercantile).
The IBC requires an automatic sprinkler when the fire area exceeds 12,000 SF.  Therefore a sprinkler was provided for this facility. 
</t>
  </si>
  <si>
    <t xml:space="preserve">No UFC criteria exist for component material.  Any suitable material is permitted by the International Building Code.
</t>
  </si>
  <si>
    <t xml:space="preserve">IBC, Chapter 6, “Types of Construction,” International Code Council, 2018 edition.
NFPA Codes
</t>
  </si>
  <si>
    <t>Bank and Credit Union</t>
  </si>
  <si>
    <t>15/21</t>
  </si>
  <si>
    <t>Car Wash Facility</t>
  </si>
  <si>
    <t>RPAD Ave Size</t>
  </si>
  <si>
    <t>64/5</t>
  </si>
  <si>
    <t>Self-Serve Car Wash, C, Average</t>
  </si>
  <si>
    <t>Commissary</t>
  </si>
  <si>
    <t>13/20</t>
  </si>
  <si>
    <t>Supermarket, Class C, Average</t>
  </si>
  <si>
    <t>Overhead door, roll-up, 81 SF/door, 8 EA</t>
  </si>
  <si>
    <t>Overhead door electrical operator, 8 EA</t>
  </si>
  <si>
    <t>Dock bumper, Horizontal, per LF, 10 LF/door, 8 EA</t>
  </si>
  <si>
    <t>Sprinkler, Wet System, Average, 50,000 SF</t>
  </si>
  <si>
    <t xml:space="preserve">OSD-based design criteria does not directly address the design of commissary facilities; design is the responsibility if the Defense Commissary Agency, which makes use of internal design standards and national, state, local codes apply.
Typical codes include: International Building Code IBC), National Fire Protection Association (NFPA) Codes (including the National Electrical Code [NEC]), International Mechanical Code (IMC), and the International Plumbing Code (IPC). 
</t>
  </si>
  <si>
    <t>Education Center</t>
  </si>
  <si>
    <t>Current Cost Adjustment</t>
  </si>
  <si>
    <t>18/14</t>
  </si>
  <si>
    <t>Classroom, Class C, Average</t>
  </si>
  <si>
    <t>Sprinkler, Wet System, Average, 10,000 SF</t>
  </si>
  <si>
    <t>% &gt; 12,000 SF</t>
  </si>
  <si>
    <t>18/35</t>
  </si>
  <si>
    <t>$/SF</t>
  </si>
  <si>
    <t>Note: "Section" refers to the Marshall &amp; Swift Valuation Guide section and page which contains a profile of the facility used for this FAC as well as additional information on the features included in the Marshall and Swift facility.  The "Area Adjustment" is the "local multiplier"  (Section 99, Pages 5 thru 10) which reflects local cost conditions and is designed to adjust the basic costs to each locality.   "Current Cost Multiplier" (Section 99, Page 3) are the multipliers to update costs.  Costs in each section are updated on a three-year cycle.  The current cost multiplier is republished monthly and is based upon nationally recognized building cost indices.  As stated in Section 1 page 11 of the Marshall and Swift Valuation guide " to obtain the current replacement value the cost shown in each section ("refined" by additions such as sprinklers, elevators, etc.) is multiplied by the current cost multiplier and the local multiplier; that is: Unit Cost x Current Cost Multiplier x Local Multiplier = Final Replacement Cost.</t>
  </si>
  <si>
    <t xml:space="preserve">Unified Facilities Criteria (UFC) for Multi-Disciplinary and Facility Specific Design (4 Series) is not provided for this type of facility.  
</t>
  </si>
  <si>
    <t xml:space="preserve">UFC criteria do not exist for component material.  
</t>
  </si>
  <si>
    <t>Weighted Unit Cost</t>
  </si>
  <si>
    <t>Dependent School Support Facility</t>
  </si>
  <si>
    <t>66/9</t>
  </si>
  <si>
    <t>67/3</t>
  </si>
  <si>
    <t>Chapel Facility</t>
  </si>
  <si>
    <t>Chapel, including Pew Seating</t>
  </si>
  <si>
    <t>Religious Education Facility</t>
  </si>
  <si>
    <t>Sprinkler, Wet System, Average, 5000 SF</t>
  </si>
  <si>
    <t xml:space="preserve">Unified Facilities Criteria (UFC) for Multi-Disciplinary and Facility Specific Design (4 Series) are not provided for this type of facility.  
</t>
  </si>
  <si>
    <t xml:space="preserve">No UFCs exist for component material.  
</t>
  </si>
  <si>
    <t>No elevator has been included in consonance with the Elevator Business Rule.</t>
  </si>
  <si>
    <t xml:space="preserve">No UFCs exist for component material.   </t>
  </si>
  <si>
    <t>Nursery and Child Care Facility</t>
  </si>
  <si>
    <t>Family Service Center</t>
  </si>
  <si>
    <t>15/31</t>
  </si>
  <si>
    <t>Community Service Building, Class C, Average</t>
  </si>
  <si>
    <t>Sprinkler, Wet System, Average, 5,000 SF</t>
  </si>
  <si>
    <t>Forestry Guard Station</t>
  </si>
  <si>
    <t>17/15</t>
  </si>
  <si>
    <t>Guard House, Class C, Average</t>
  </si>
  <si>
    <t>Locker Room</t>
  </si>
  <si>
    <t xml:space="preserve">Sprinkler, Wet System, Average, 5,000 SF </t>
  </si>
  <si>
    <t>Air Raid/Fallout/Storm Shelter</t>
  </si>
  <si>
    <t>Miscellaneous Personnel Shelter</t>
  </si>
  <si>
    <t>Picnic shelter</t>
  </si>
  <si>
    <t>Lighting Fixtures for Picnic Shelter, 2 Each</t>
  </si>
  <si>
    <t>Passenger Terminal, Class D, Low Cost</t>
  </si>
  <si>
    <t xml:space="preserve">Average Facility Cost </t>
  </si>
  <si>
    <t>Public Restroom/Shower</t>
  </si>
  <si>
    <t>18/21</t>
  </si>
  <si>
    <t>Restroom Building, Class C, Average</t>
  </si>
  <si>
    <t xml:space="preserve">Sprinkler, Wet System, Average, 3,000 SF </t>
  </si>
  <si>
    <t>Ceremonial Hall</t>
  </si>
  <si>
    <t>Fieldhouse, Class C, Good</t>
  </si>
  <si>
    <t>Exchange Support Facility</t>
  </si>
  <si>
    <t>Distribution Warehouse, Class C, Average</t>
  </si>
  <si>
    <t>14/32</t>
  </si>
  <si>
    <t>Service (Repair) Garage, Class C, Average</t>
  </si>
  <si>
    <t xml:space="preserve">Average of four building types </t>
  </si>
  <si>
    <t>Exchange Warehouse</t>
  </si>
  <si>
    <t>Private Vehicle Inspection Facility</t>
  </si>
  <si>
    <t>Hobby And Craft Center</t>
  </si>
  <si>
    <t xml:space="preserve">Sprinkler, Wet System, Average, 10,000 SF </t>
  </si>
  <si>
    <t>Automobile Craft Center</t>
  </si>
  <si>
    <t>Golf Club House and Sales</t>
  </si>
  <si>
    <t>11/30</t>
  </si>
  <si>
    <t>Clubhouse, Class C, Average</t>
  </si>
  <si>
    <t>Club and Organization Building</t>
  </si>
  <si>
    <t>Bowling Center</t>
  </si>
  <si>
    <t>16/22</t>
  </si>
  <si>
    <t>Bowling Center, C, Good</t>
  </si>
  <si>
    <t>16/25</t>
  </si>
  <si>
    <t xml:space="preserve">Sprinkler, Wet System, Average, 20,000 SF </t>
  </si>
  <si>
    <t>Library, General Use</t>
  </si>
  <si>
    <t>15/32</t>
  </si>
  <si>
    <t>Library, Class C, Average</t>
  </si>
  <si>
    <t>Recreation Center</t>
  </si>
  <si>
    <t>16/18</t>
  </si>
  <si>
    <t>Community Recreation Center, Class C, Average</t>
  </si>
  <si>
    <t>% &gt; 12K SF</t>
  </si>
  <si>
    <t xml:space="preserve"> UFC 3-600-01, "Fire Protection Engineering for Facilities," 08 August 2016 with Change 2, 25 March 2018
 NFPA Publication 101, Life Safety Code, 2015 edition 
 IBC, Section 903.2.1.3, 2018 edition
</t>
  </si>
  <si>
    <t>Indoor Skating Rink</t>
  </si>
  <si>
    <t>16/20</t>
  </si>
  <si>
    <t>Ice Skating Rink, Class C, Average</t>
  </si>
  <si>
    <t>Indoor Physical Fitness Facility</t>
  </si>
  <si>
    <t>Indoor Swimming Pool</t>
  </si>
  <si>
    <t>Natatorium, Class C, Average</t>
  </si>
  <si>
    <t>Auditorium and Theater Facility</t>
  </si>
  <si>
    <t>16/13</t>
  </si>
  <si>
    <t>Theater, Cinema, Class C, Average</t>
  </si>
  <si>
    <t>Community Activities / Conference Center</t>
  </si>
  <si>
    <t>Community Recreation Center, Class C, Good</t>
  </si>
  <si>
    <t>Transient  Lodging</t>
  </si>
  <si>
    <t>Recreational Lodging</t>
  </si>
  <si>
    <t>12/9</t>
  </si>
  <si>
    <t>Motel, Class C, Average</t>
  </si>
  <si>
    <t>Transient And Recreational Lodging Support Facility</t>
  </si>
  <si>
    <t>Stable</t>
  </si>
  <si>
    <t>17/36</t>
  </si>
  <si>
    <t xml:space="preserve">Stable, Class C, Average </t>
  </si>
  <si>
    <t>Boathouse</t>
  </si>
  <si>
    <t>MWR Sales and Rental Building</t>
  </si>
  <si>
    <t>MWR Storage Building</t>
  </si>
  <si>
    <t xml:space="preserve">Storage Building, Unheated </t>
  </si>
  <si>
    <t>General Purpose (GP) Warehouse, Installation, Low-Bay, Up to 16 FT Stack Height, &lt; 15,000 SF</t>
  </si>
  <si>
    <t>Recreational Support Building</t>
  </si>
  <si>
    <t>Extra Hazard</t>
  </si>
  <si>
    <t>Retail Kennel</t>
  </si>
  <si>
    <t>15/27</t>
  </si>
  <si>
    <t>Kennel, Class C,  Good</t>
  </si>
  <si>
    <t>Sprinkler, Wet, 3,000 SF, Average</t>
  </si>
  <si>
    <t>66/4</t>
  </si>
  <si>
    <t>Gate, Kennel Run, 4 Each</t>
  </si>
  <si>
    <t>Playground</t>
  </si>
  <si>
    <t>Unit Cost (SF)</t>
  </si>
  <si>
    <t>Playground for Preschool Children, Small</t>
  </si>
  <si>
    <t>Playground for Preschool Children, Medium</t>
  </si>
  <si>
    <t>Playground for School Age Children, Small</t>
  </si>
  <si>
    <t>Playground for Youth Center</t>
  </si>
  <si>
    <t>Outdoor Swimming Pool</t>
  </si>
  <si>
    <t>66/7</t>
  </si>
  <si>
    <t xml:space="preserve">Poured Concrete Pool, 13,455 SF </t>
  </si>
  <si>
    <t>Add for mesh reinforcing for deck</t>
  </si>
  <si>
    <t>LF/EA</t>
  </si>
  <si>
    <t>Golf Course</t>
  </si>
  <si>
    <t>Average of</t>
  </si>
  <si>
    <t>67/1</t>
  </si>
  <si>
    <t>Class III, Typical Private Club, 18 holes, per hole</t>
  </si>
  <si>
    <t>Hole</t>
  </si>
  <si>
    <t>Holes/EA</t>
  </si>
  <si>
    <t>Class III, Typical Private Club, 9 holes, per hole</t>
  </si>
  <si>
    <t>Golf Driving Range</t>
  </si>
  <si>
    <t>67/2</t>
  </si>
  <si>
    <t>Station</t>
  </si>
  <si>
    <t>Stations/EA</t>
  </si>
  <si>
    <t>Golf Pitch and Putt Course</t>
  </si>
  <si>
    <t>Recreational Pier</t>
  </si>
  <si>
    <t>Assumed size 8 FT wide, 30 FT' long</t>
  </si>
  <si>
    <t>Ship and boat dock, Light construction, 2" floating deck, light posts</t>
  </si>
  <si>
    <t>Marina</t>
  </si>
  <si>
    <t>Assumed # slips = 90 (from review of military websites)</t>
  </si>
  <si>
    <t>Small Boat Marina, Average cost</t>
  </si>
  <si>
    <t>Slips/EA</t>
  </si>
  <si>
    <t>Outdoor Playing Court</t>
  </si>
  <si>
    <t>Average of 1 Tennis Court and 2  Basketball courts</t>
  </si>
  <si>
    <t>67/7</t>
  </si>
  <si>
    <t>Lighting (Assume 50% lighting)</t>
  </si>
  <si>
    <t>Fencing</t>
  </si>
  <si>
    <t>Subtotal</t>
  </si>
  <si>
    <t>Basketball Backstop, with pole</t>
  </si>
  <si>
    <t>per court</t>
  </si>
  <si>
    <t>Assume 2 basketball courts / 5% deduction for multiple courts</t>
  </si>
  <si>
    <t>Athletic Field</t>
  </si>
  <si>
    <t xml:space="preserve">Design Size </t>
  </si>
  <si>
    <t>Multipurpose Athletics Field (360' x 160')</t>
  </si>
  <si>
    <t>Stadium</t>
  </si>
  <si>
    <t>Assume 10,000 seats, priced per seat</t>
  </si>
  <si>
    <t>67/4</t>
  </si>
  <si>
    <t>Grandstand bleachers, open steel frame, school/fairground</t>
  </si>
  <si>
    <t>Seat</t>
  </si>
  <si>
    <t>Seats/EA</t>
  </si>
  <si>
    <t>Concrete/steel bleachers, no interior construction, stadium type, closed deck</t>
  </si>
  <si>
    <t>Pavilion</t>
  </si>
  <si>
    <t>16/23</t>
  </si>
  <si>
    <t>Pavilion, Class C, Average</t>
  </si>
  <si>
    <t>Outdoor Theater</t>
  </si>
  <si>
    <t>67/5</t>
  </si>
  <si>
    <t>Assume 75 Cars</t>
  </si>
  <si>
    <t>Recreational Camp and Trailer Park</t>
  </si>
  <si>
    <t>63/2</t>
  </si>
  <si>
    <t>Trailer and Recreational Vehicle Parks, Low Cost, per space; Assume 40 Spaces; includes paving, utilities, and associated site facilities</t>
  </si>
  <si>
    <t>Space</t>
  </si>
  <si>
    <t>Spaces/EA</t>
  </si>
  <si>
    <t>Miscellaneous Outdoor Recreation Facility</t>
  </si>
  <si>
    <t>Record Size</t>
  </si>
  <si>
    <t>Tennis Court, 7200 SF, lighting, fenced, resilient cushioned layer</t>
  </si>
  <si>
    <t>Miniature Golf Course, 18 Holes, Average Course</t>
  </si>
  <si>
    <t>Hole to EA</t>
  </si>
  <si>
    <t>Baseball, 3.5 acres</t>
  </si>
  <si>
    <t>Soil preparation, per SF, fine grading, 3.5 acres, Average</t>
  </si>
  <si>
    <t>AC to SF</t>
  </si>
  <si>
    <t>Lawn seeding, per SF, 3.5 acres, Average</t>
  </si>
  <si>
    <t>Batting cage</t>
  </si>
  <si>
    <t>Baseball backstop, with hood</t>
  </si>
  <si>
    <t>Chain-link fence, # 9 wire, 8 FT height (dugouts and bleachers)</t>
  </si>
  <si>
    <t>Permanent bleachers, wood frame, benches</t>
  </si>
  <si>
    <t>Seat to EA</t>
  </si>
  <si>
    <t>Total for Baseball Field</t>
  </si>
  <si>
    <t>Football</t>
  </si>
  <si>
    <t>Lawn seeding</t>
  </si>
  <si>
    <t>Soccer</t>
  </si>
  <si>
    <t>Jogging Trail</t>
  </si>
  <si>
    <t>Soil preparation, fine grading</t>
  </si>
  <si>
    <t>Mulching</t>
  </si>
  <si>
    <t>Edging, redwood (2 edges per trail)</t>
  </si>
  <si>
    <t>Total for Jogging Trail</t>
  </si>
  <si>
    <t>Subtotal, all facilities</t>
  </si>
  <si>
    <t>Note: see footnotes for sizing of fields</t>
  </si>
  <si>
    <t>Average facility cost</t>
  </si>
  <si>
    <t>Unified Facilities Criteria (UFC) 4-750-02N  provides design criteria for outdoor sports and recreation facilities; UFC 4-750-16  provides design criteria  for military recreation centers.</t>
  </si>
  <si>
    <t xml:space="preserve">No fire suppression system is specified for outdoor recreation facilities.  
</t>
  </si>
  <si>
    <t xml:space="preserve">No UFC requirement exists for the incorporation of a loading dock as this is not a facility with anticipated deliveries.
No elevator is provided in consonance with the Elevator Business Rules.
</t>
  </si>
  <si>
    <t xml:space="preserve">No UFC requirement exists for the incorporation of overhead cranes.  
</t>
  </si>
  <si>
    <t xml:space="preserve">Standards, in the form of guide specifications, are cited above. </t>
  </si>
  <si>
    <t>Museum</t>
  </si>
  <si>
    <t>16/19</t>
  </si>
  <si>
    <t>Museum, C, Good</t>
  </si>
  <si>
    <t>Columbarium</t>
  </si>
  <si>
    <t>Mausoleum, Niche, Average</t>
  </si>
  <si>
    <t>Niche</t>
  </si>
  <si>
    <t>Pentagon Memorial</t>
  </si>
  <si>
    <t>Project Cost Line Item for 184 Memorials</t>
  </si>
  <si>
    <t>Memorials</t>
  </si>
  <si>
    <t>Cost per Memorial Unit</t>
  </si>
  <si>
    <t>Electrical Power Source</t>
  </si>
  <si>
    <t>Standby power, complete with controls, 1000 KW, Diesel Drive</t>
  </si>
  <si>
    <t>Stand-By/Emergency Power</t>
  </si>
  <si>
    <t>Unit Cost (EA)</t>
  </si>
  <si>
    <t>Reference Size (KW)</t>
  </si>
  <si>
    <t>Standby Generator, Diesel, 3 Phase / 4 Wire, 75 KW</t>
  </si>
  <si>
    <t>KW/EA</t>
  </si>
  <si>
    <t>Standby Generator, Diesel, 3 Phase / 4 Wire, 125 KW</t>
  </si>
  <si>
    <t>Standby Generator, Diesel, 3 Phase / 4 Wire, 200 KW</t>
  </si>
  <si>
    <t>Standby Generator, Diesel, 3 Phase / 4 Wire, 300 KW</t>
  </si>
  <si>
    <t>Standby Generator, Diesel, 3 Phase / 4 Wire, 400 KW</t>
  </si>
  <si>
    <t>Standby Generator, Diesel, 3 Phase / 4 Wire, 500 KW</t>
  </si>
  <si>
    <t>Electrical Power Source, Hydroelectric</t>
  </si>
  <si>
    <t>Generating Plant, Hydropower</t>
  </si>
  <si>
    <t>KW to MW</t>
  </si>
  <si>
    <t>Electrical Power Source, Wind Generated</t>
  </si>
  <si>
    <t>Wind power turbine</t>
  </si>
  <si>
    <t>Electrical Power Source, Photovoltaic</t>
  </si>
  <si>
    <t>54/5</t>
  </si>
  <si>
    <t>Watts</t>
  </si>
  <si>
    <t>KW per system</t>
  </si>
  <si>
    <t>Amp</t>
  </si>
  <si>
    <t>Volt</t>
  </si>
  <si>
    <t>Designed as a 300 KW System</t>
  </si>
  <si>
    <t>Electrical Power Distribution Line, Overhead</t>
  </si>
  <si>
    <t>Unit Cost                (1000 LF)</t>
  </si>
  <si>
    <t>to LF</t>
  </si>
  <si>
    <t>Exterior Lighting, Pole</t>
  </si>
  <si>
    <t>Electrical Power Distribution Line, Underground</t>
  </si>
  <si>
    <t>Unit Cost (LF)</t>
  </si>
  <si>
    <t>Underground Ductbanks, 1-Way, 4" Diameter PVC, including Excavation, Cast-in-Place Concrete, Backfill</t>
  </si>
  <si>
    <t>Underground Ductbanks, 2-Way, 4" Diameter PVC, including Excavation, Cast-in-Place Concrete, Backfill</t>
  </si>
  <si>
    <t>Underground Ductbanks, 4-Way, 4" Diameter PVC, including Excavation, Cast-in-Place Concrete, Backfill</t>
  </si>
  <si>
    <t>Underground Ductbanks, 6-Way, 6" Diameter PVC, including Excavation, Cast-in-Place Concrete, Backfill</t>
  </si>
  <si>
    <t>Electrical Power Transformers</t>
  </si>
  <si>
    <t>EA/KV</t>
  </si>
  <si>
    <t>Lightning Protection System, Standalone</t>
  </si>
  <si>
    <t>Utility Pole, 40' High</t>
  </si>
  <si>
    <t>Grounding Rod, Complete, Good</t>
  </si>
  <si>
    <t>FT/EA</t>
  </si>
  <si>
    <t xml:space="preserve">54/2 </t>
  </si>
  <si>
    <t>Heat Source</t>
  </si>
  <si>
    <t>Feature</t>
  </si>
  <si>
    <t>1 Boiler Horsepower (BHP) = 33,475 BH</t>
  </si>
  <si>
    <t>BH/BHP</t>
  </si>
  <si>
    <t>BHP = average size</t>
  </si>
  <si>
    <t>62/1</t>
  </si>
  <si>
    <t>Large high capacity package boiler proportional cost</t>
  </si>
  <si>
    <t>Cost per BH = ($/BHP)*BHP/BH</t>
  </si>
  <si>
    <t>/BH</t>
  </si>
  <si>
    <t>per BH</t>
  </si>
  <si>
    <t>62/5</t>
  </si>
  <si>
    <t>UM changed for FY17 at direction of RPCP</t>
  </si>
  <si>
    <t xml:space="preserve">UFCs cited above direct the user to the ASME code for construction (fabrication) of a heat source. </t>
  </si>
  <si>
    <t xml:space="preserve">No fire suppression system is specified for this device.  The utility plant building in which this FAC is typically located is governed by 
UFC 3-600-01, "Fire Protection Engineering for Facilities," requires compliance with NFPA 850 in power generating plants.   NFPA 850  requires the use of an appropriate fire suppression system.
</t>
  </si>
  <si>
    <t xml:space="preserve">No UFC requirement exists for the incorporation of a loading dock as this is not a facility nor building
No elevator is provided in consonance with the Elevator Business Rules.
</t>
  </si>
  <si>
    <t xml:space="preserve">No Unified Facilities Criteria UFC requirement exists for the incorporation of overhead cranes.  
</t>
  </si>
  <si>
    <t xml:space="preserve">ASME BPVC establishes standard for boiler components and materials. 
</t>
  </si>
  <si>
    <t>Heat Distribution Line</t>
  </si>
  <si>
    <t>Heat Gas Production Plant</t>
  </si>
  <si>
    <t>64/3</t>
  </si>
  <si>
    <t>Compressor, 20 HP</t>
  </si>
  <si>
    <t>EA to BH</t>
  </si>
  <si>
    <t>Welded Steel Pressure Tank, 45,000 GA</t>
  </si>
  <si>
    <t>Heat Gas Storage</t>
  </si>
  <si>
    <t>Welded Steel Pressure Tank, complete installation, 12,000 gal</t>
  </si>
  <si>
    <t>Heat Gas Distribution Line</t>
  </si>
  <si>
    <t>Gas Main, 4" plastic</t>
  </si>
  <si>
    <t>Gas Main, 3" Steel</t>
  </si>
  <si>
    <t>Refrigeration and Air Conditioning Source</t>
  </si>
  <si>
    <t>53/5</t>
  </si>
  <si>
    <t>Engineered System, installation, power,
connections, and all ancillary item, 200 TR</t>
  </si>
  <si>
    <t>Engineered System, installation, power,
connections, and all ancillary items, 300 TR</t>
  </si>
  <si>
    <t>Note: "Section" refers to the Marshall &amp; Swift Valuation Guide section and page which contains a profile of the facility used for this FAC as well as additional information on the features included in the Marshall and Swift facility.  The "Area Adjustment" is the "local multiplier"  (Section 99, Pages 5 thru 10) which reflects local cost conditions and is designed to adjust the basic costs to each locality.   "Current Cost Multiplier" (Section 99, Page 3) are the multipliers to update costs.  Costs in each section are updated on a three-year cycle.  The current cost multiplier is republished monthly and is based upon nationally recognized building cost indices.  As stated in Section 1 page 11 of the Marshall and Swift Valuation guide, "to obtain the current replacement value, the cost shown in each section ("refined" by additions such as sprinklers, elevators, etc.) is multiplied by the current cost multiplier and the local multiplier; that is: Unit Cost x Current Cost Multiplier x Local Multiplier = Final Replacement Cost.</t>
  </si>
  <si>
    <t xml:space="preserve">Unified Facilities Guide Specifications (UFGS), listed below, provide guidance for the selection of materials.
</t>
  </si>
  <si>
    <t xml:space="preserve">No fire suppression system is specified for this device.  The utility plant building in which this FAC is typically located is governed by 
UFC 3-600-01, "Fire Protection Engineering for Facilities" requires compliance with National Fire Protection Association (NFPA) 850 in power generating plants, which requires the use of an appropriate fire suppression system.
</t>
  </si>
  <si>
    <t>• M&amp;S Selection Business Rule
• Fire Sprinkler Business Rule
• MILCON Cost Premium Business Rule</t>
  </si>
  <si>
    <t>Chilled Water and Refrigerant Distribution Line</t>
  </si>
  <si>
    <t>62/3</t>
  </si>
  <si>
    <t>Return Line, Same as above</t>
  </si>
  <si>
    <t>62/2</t>
  </si>
  <si>
    <t>Sewage Treatment</t>
  </si>
  <si>
    <t xml:space="preserve">Unified Facilities Criteria (UFC) 3-240-02, "Domestic Wastewater Treatment," provides design criteria for this FAC
</t>
  </si>
  <si>
    <t xml:space="preserve">Unified Facilities Guide Specifications (UFGS) provide guidance for the selection of materials.  These include the following UFGS sections:
46 20 20,"Sewage Bar Screen and Mechanical Shredder" 
46 30 13, "Advanced Oxidation Processes (AOP)"
46 43 21," Circular Clarifier Equipment"
46 61 00, "Filtration Equipment" 
46 73 00.35, "Sludge-Digester Gas, Heating, and Mixing System"
46 73 10, "Floating Cover for Sludge-Digestion Tanks"
</t>
  </si>
  <si>
    <t xml:space="preserve">No fire suppression system is specified for sewage treatment.  
</t>
  </si>
  <si>
    <t xml:space="preserve">• M&amp;S Selection Business Rule
• Fire Sprinkler Business Rule
• Overhead Crane Business Rule
• MILCON Cost Premium Business Rule
</t>
  </si>
  <si>
    <t>Industrial Waste Treatment</t>
  </si>
  <si>
    <t>Sewage Treatment Plant, Large, Municipal, 1M to 5M GPD</t>
  </si>
  <si>
    <t>GA to KG</t>
  </si>
  <si>
    <t>Water Separation Facility</t>
  </si>
  <si>
    <t>17/39</t>
  </si>
  <si>
    <t>EA to KG</t>
  </si>
  <si>
    <t>Septic Tank and Drain Field</t>
  </si>
  <si>
    <t>Septic tank, installed, connected, 10,000 GA</t>
  </si>
  <si>
    <t>Grinder pump system</t>
  </si>
  <si>
    <t>Septic Lagoon and Settlement Ponds</t>
  </si>
  <si>
    <t>17/43</t>
  </si>
  <si>
    <t>Lagoon, Open pit, Concrete</t>
  </si>
  <si>
    <t>Sewage Lift Stations</t>
  </si>
  <si>
    <t>Sewer and Industrial Waste Line</t>
  </si>
  <si>
    <t>Average of main and lateral</t>
  </si>
  <si>
    <t xml:space="preserve">Unified Facilities Criteria (UFC) 3-240-01 and American Society of Civil Engineers (ASCE) Manual of Practice (MOP) 60 provide design criteria for this FAC.
</t>
  </si>
  <si>
    <t xml:space="preserve">Unified Facilities Guide Specification (UFGS) 33 30 00  provides guidance for the selection of materials.  
</t>
  </si>
  <si>
    <t xml:space="preserve">No fire suppression system is specified for underground sewage/industrial waste lines.  
</t>
  </si>
  <si>
    <t xml:space="preserve">Standards, in the form of guide specifications, Manual of Practice and a Unified Facilities Criteria, are cited above. </t>
  </si>
  <si>
    <t>Incinerator</t>
  </si>
  <si>
    <t>62/6</t>
  </si>
  <si>
    <t>Feeder</t>
  </si>
  <si>
    <t>EA to TH</t>
  </si>
  <si>
    <t>Chimney, 12" round, per foot, assume 50 ft</t>
  </si>
  <si>
    <t>Service entrance, 3 Ph, 400 A</t>
  </si>
  <si>
    <t>Safety switch, 400 A</t>
  </si>
  <si>
    <t>Switchgear, 400 A, Commercial</t>
  </si>
  <si>
    <t>Circuit breakers, 400-600 A, 2 EA,240-480v</t>
  </si>
  <si>
    <t>Sanitary Landfill</t>
  </si>
  <si>
    <t>Landfill</t>
  </si>
  <si>
    <t>Hazardous Waste Landfill</t>
  </si>
  <si>
    <t>Water Treatment Facility</t>
  </si>
  <si>
    <t>Water Treatment Plant, Medium, 750K - 1M GPD</t>
  </si>
  <si>
    <t>GPD</t>
  </si>
  <si>
    <t xml:space="preserve">Unified Facilities Criteria (UFC) 3-230-03  provides design criteria for this FAC.
</t>
  </si>
  <si>
    <t xml:space="preserve">UFC 3-230-03  and Unified Facilities Guide Specification (UFGS) 02 51 13  provide guidance for the selection of materials.  
</t>
  </si>
  <si>
    <t xml:space="preserve">No fire suppression system is specified for water treatment facilities.  
</t>
  </si>
  <si>
    <t xml:space="preserve">Standards, in the form of guide specifications, Manual of Practice and a UFC, are cited above. </t>
  </si>
  <si>
    <t>Water Storage, Potable</t>
  </si>
  <si>
    <t>Reservoir, Potable Water, Steel Storage Tank, Ground Level, 250,000 GA</t>
  </si>
  <si>
    <t>Reservoir, Potable Water, Steel Storage Tank, Ground Level, 500,000 GA</t>
  </si>
  <si>
    <t>17/57</t>
  </si>
  <si>
    <t>Water Distribution Line, Potable</t>
  </si>
  <si>
    <t xml:space="preserve">Unified Facilities Guide (UFC) 3-230-01  provides design criteria for this FAC.
</t>
  </si>
  <si>
    <t xml:space="preserve">Unified Facilities Guide Specification (UFGS) 33 11 00  provides guidance for the selection of materials.  
</t>
  </si>
  <si>
    <t xml:space="preserve">No fire suppression system is specified for potable water distribution lines.  
</t>
  </si>
  <si>
    <t>Water Pump Facility, Potable</t>
  </si>
  <si>
    <t>Reference Size (GPM)</t>
  </si>
  <si>
    <t>Water Pump, Non-Potable, 1,000 GPM, 4" Diesel Pump</t>
  </si>
  <si>
    <t>Water Pump, Non-Potable, 2,000 GPM, 6" Diesel Pump</t>
  </si>
  <si>
    <t>Water Pump, 1,000 GPM, 5" Electric Pump</t>
  </si>
  <si>
    <t>Water Source, Fire Protection</t>
  </si>
  <si>
    <t>Water Distribution Line, Fire Protection</t>
  </si>
  <si>
    <t>Assume 100% of system has hydrants</t>
  </si>
  <si>
    <t>Water Pump Facility, Fire Protection</t>
  </si>
  <si>
    <t>GPM to KG</t>
  </si>
  <si>
    <t>Pump, vertical turbine, 600 GPM, 10 HP</t>
  </si>
  <si>
    <t>Water Storage, Non Potable</t>
  </si>
  <si>
    <t>61/3</t>
  </si>
  <si>
    <t>Tank, Elevated, High Stress, 1,000,000 GA, 75 FT height</t>
  </si>
  <si>
    <t>Water Pump Facility, Non-Potable</t>
  </si>
  <si>
    <t>Road, Surfaced</t>
  </si>
  <si>
    <t>Asphalt Road</t>
  </si>
  <si>
    <t>Linear CY</t>
  </si>
  <si>
    <t>CY to SY</t>
  </si>
  <si>
    <t>Backfill &amp; Compaction with Vibrating Roller (Asphalt Road, 18" compacted base course)</t>
  </si>
  <si>
    <t>ECY</t>
  </si>
  <si>
    <t>ECY to SY</t>
  </si>
  <si>
    <t>1-1/2" Crushed Stone Base, 6" Deep, Compacted, without Earthwork</t>
  </si>
  <si>
    <t>Surface Treatment, Tack Coat Emulsion. 15 GA/SY</t>
  </si>
  <si>
    <t>Plant Mix Asphalt, 3" Thick, Asphalt Concrete Surface Paving Wearing Course</t>
  </si>
  <si>
    <t>Concrete Road</t>
  </si>
  <si>
    <t>Backfill &amp; Compaction with Vibrating Roller (Concrete Road, 12" compacted base course)</t>
  </si>
  <si>
    <t>1-1/2" Crushed Stone Base, 4" Deep, Compacted, without Earthwork</t>
  </si>
  <si>
    <t>6" Thick, Reinforced Concrete Pavement, 4500 PSI, Fixed Form, 12' Pass, Including Joints, Finishings, Curing; no Earthwork</t>
  </si>
  <si>
    <t>Cast-in-Place Concrete Curb and Gutter, 6" High, 6" Thick, 24"wide (24' non-divided Roadway)</t>
  </si>
  <si>
    <t>LF to SY</t>
  </si>
  <si>
    <t>Pavement Markings, Acrylic Waterborne, 4" wide White or Yellow</t>
  </si>
  <si>
    <t>Road, Unsurfaced</t>
  </si>
  <si>
    <t>Fine Grading, Granular Subbase for Paving, +/- 1" Compaction, 3 passes, 6" Lifts</t>
  </si>
  <si>
    <t>Road construction assumes 12" clearing and grubbing to reach inorganic base.</t>
  </si>
  <si>
    <t>Vehicle Bridge</t>
  </si>
  <si>
    <t xml:space="preserve">Unified Facilities Criteria (UFC) 3-201-01  provides design criteria for this FAC.  This UFC requires design compliance with American Association of State Highway and Transportation Officials (AASHTO) "Standard Specification for Highway Bridges," including both vehicular and pedestrian bridges.
</t>
  </si>
  <si>
    <t xml:space="preserve">Material guidance is provided in AASHTO Load and Resistance Factor Design (LRFD) Bridge Design Specifications.  
</t>
  </si>
  <si>
    <t xml:space="preserve">No fire suppression system is specified for vehicle bridges.  
</t>
  </si>
  <si>
    <t xml:space="preserve">No UFC requirement exists for the incorporation of a loading dock as this is neither a facility nor building.
No elevator is provided in consonance with the Elevator Business Rules.
</t>
  </si>
  <si>
    <t>Underground walkway, per SF including HVAC and lighting</t>
  </si>
  <si>
    <t>SF to LF</t>
  </si>
  <si>
    <t>Vehicle Parking, Surfaced</t>
  </si>
  <si>
    <t>Grading - rough and finished, average</t>
  </si>
  <si>
    <t>per parking space</t>
  </si>
  <si>
    <t>Space to SY</t>
  </si>
  <si>
    <t>Drainage, average</t>
  </si>
  <si>
    <t>Paving - spaces and drives, average</t>
  </si>
  <si>
    <t>Pavement marking, striping, bumpers, average</t>
  </si>
  <si>
    <t>Electrical – lighting and wiring, average</t>
  </si>
  <si>
    <t>Planning Factor = 315 SF per space = 35 SY</t>
  </si>
  <si>
    <t xml:space="preserve">Unified Facilities Criteria (UFC) 3-250-01  provides design criteria for this FAC.  Marking guidance is provided in Unified Facilities Guide Specification (UFGS) 32 17 23. 
</t>
  </si>
  <si>
    <t xml:space="preserve">Material guidance is provided in UFC 3-250-01 , UFC 3-250-09FA, and UFGS 32 13 13.06.
</t>
  </si>
  <si>
    <t xml:space="preserve">No fire suppression system is specified for surfaced vehicle parking.  
</t>
  </si>
  <si>
    <t xml:space="preserve">Standards, in the form of guide specifications, Manual of Practice, and a UFC, are cited above. </t>
  </si>
  <si>
    <t>Vehicle Parking and Staging Area, Unsurfaced</t>
  </si>
  <si>
    <t>Vehicle Staging Area, Surfaced</t>
  </si>
  <si>
    <t xml:space="preserve">The average quantity for this FAC is 7,999 SY (square yards).
This FAC does not represent a building and therefore has no International Building Code Occupancy Group.
</t>
  </si>
  <si>
    <t xml:space="preserve">No fire suppression system is specified for surfaced vehicle staging areas.  
</t>
  </si>
  <si>
    <t>Sidewalk and Walkway</t>
  </si>
  <si>
    <t xml:space="preserve">Unified Facilities Criteria (UFC) 3-201-01  provides design criteria for this FAC. 
</t>
  </si>
  <si>
    <t xml:space="preserve">Material guidance is provided in UFC 3-201-01 and Unified Facilities Guide Specification (UFGS) 32 16 13.
</t>
  </si>
  <si>
    <t>The average quantity for this FAC is 4,404 SY.  This FAC does not represent a building and therefore has no International Building Code Occupancy Group.</t>
  </si>
  <si>
    <t xml:space="preserve">No fire suppression system is specified for sidewalk and walkway. 
</t>
  </si>
  <si>
    <t xml:space="preserve">No UFC requirement exists for the incorporation of a loading dock and no elevator is provided as this is neither a facility nor building.  
</t>
  </si>
  <si>
    <t>Pedestrian Bridge</t>
  </si>
  <si>
    <t xml:space="preserve">Unified Facilities Criteria (UFC) 3-201-01  provides design criteria for this FAC.  This UFC requires design compliance with American Association of State Highway and Transportation Officials (AASHTO)  Standard Specification for Highway Bridges.   The AASHTO standard specification includes both vehicular and pedestrian bridges.
</t>
  </si>
  <si>
    <t xml:space="preserve">No fire suppression system is specified for pedestrian bridges.
</t>
  </si>
  <si>
    <t>Miscellaneous Paved Area</t>
  </si>
  <si>
    <t>space to SY</t>
  </si>
  <si>
    <t>Paving - spaces and drives</t>
  </si>
  <si>
    <t>Planning Factor, average = 315 SF per parking space</t>
  </si>
  <si>
    <t xml:space="preserve">Unified Facilities Criteria (UFC) 3-250-01  provides design criteria for this FAC.  Marking guidance is provided in Unified Facilities Guide Specification (UFGS) 32 17 23 .
</t>
  </si>
  <si>
    <t xml:space="preserve">Material guidance is provided in UFC 3-250-01 , UFC 3-250-09FA,  and UFGS 32 13 13.06.
</t>
  </si>
  <si>
    <t xml:space="preserve">No fire suppression system is specified for miscellaneous paved area. 
</t>
  </si>
  <si>
    <t xml:space="preserve">Standards, in the form of guide specifications, Manual of Practice and UFCs, are cited above. </t>
  </si>
  <si>
    <t>Parking Garage/Building</t>
  </si>
  <si>
    <t>Traffic Signals</t>
  </si>
  <si>
    <t>Private Sector Bid Prices</t>
  </si>
  <si>
    <t>Per Intersection</t>
  </si>
  <si>
    <t>--Loudoun County VA, 9/16</t>
  </si>
  <si>
    <t>--Weld County CO, Feb 16</t>
  </si>
  <si>
    <t xml:space="preserve">--Plymouth IN, May 2017 </t>
  </si>
  <si>
    <t>--Clovis CA bid, 11/16</t>
  </si>
  <si>
    <t>--Camarillo CA, 8/16</t>
  </si>
  <si>
    <t>--Corpus Christi TX, 5/15</t>
  </si>
  <si>
    <t>--Moore OK, 1/17</t>
  </si>
  <si>
    <t>--Union City OR, 8/15</t>
  </si>
  <si>
    <t>--Lawrence KS, 4/17</t>
  </si>
  <si>
    <t>--Olathe KS, 12/16</t>
  </si>
  <si>
    <t>Average Cost</t>
  </si>
  <si>
    <t>Railroad Track</t>
  </si>
  <si>
    <t>Railroad Spur, 115#/yard rail, per FT of track</t>
  </si>
  <si>
    <t>LF to Mile</t>
  </si>
  <si>
    <t>25% deduction for rail over 500 FT</t>
  </si>
  <si>
    <t>Miscellaneous Railroad Facility</t>
  </si>
  <si>
    <t>17/55</t>
  </si>
  <si>
    <t>Railroad Track Scales, 200 Ton capacity, reinforced concrete pit &amp; platform, steel scale mechanism</t>
  </si>
  <si>
    <t>Storm Drainage</t>
  </si>
  <si>
    <t>Average of:</t>
  </si>
  <si>
    <t>66/11</t>
  </si>
  <si>
    <t xml:space="preserve">Average Pipe Cost </t>
  </si>
  <si>
    <t>Retaining Structure</t>
  </si>
  <si>
    <t>Hillside retaining wall add 100%</t>
  </si>
  <si>
    <t>Levees and Dikes for Grounds Drainage</t>
  </si>
  <si>
    <t>Bulk Excavation, medium earth</t>
  </si>
  <si>
    <t>CY to LF</t>
  </si>
  <si>
    <t>Backfill and compaction, unconfined, hard earth</t>
  </si>
  <si>
    <t>Synthetic matting</t>
  </si>
  <si>
    <t>Riprap</t>
  </si>
  <si>
    <t>Gabions filled with stone, high cost</t>
  </si>
  <si>
    <t>Lawn, Hydroseeding only, average</t>
  </si>
  <si>
    <t xml:space="preserve">   </t>
  </si>
  <si>
    <t>Storm Water Ponds</t>
  </si>
  <si>
    <t>EA to MG</t>
  </si>
  <si>
    <t>,</t>
  </si>
  <si>
    <t>Boundary Fence and Wall</t>
  </si>
  <si>
    <t>Add for 3-strand barbed wire</t>
  </si>
  <si>
    <t>EA to LF</t>
  </si>
  <si>
    <t>Add stainless steel security gate, 1 per 1,000 LF, add 30% for electrically-operated gate</t>
  </si>
  <si>
    <t>Subtotal before deduction</t>
  </si>
  <si>
    <t>Total after deduction</t>
  </si>
  <si>
    <t xml:space="preserve">Unified Facilities Criteria (UFC) 4-022-01  provides design criteria for fences and walls; UFC 4-022-03  provides guidance for fences and gates.  American Society of Civil Engineers (ASCE) 7-10  provides design standards and material guidance for free standing walls.
</t>
  </si>
  <si>
    <t xml:space="preserve">Construction material guidance is provided in the UFCs cited above, as well as Unified Facilities Guide Specification (UFGS) 32 31 26  (material guidance for fences and gates), UFGS 32 31 13  (material guidance for chain line fences and gates), and UFGS 32 32 23 (guidance on walls).  
</t>
  </si>
  <si>
    <t xml:space="preserve">No fire suppression system is specified for boundary fences or walls.  
</t>
  </si>
  <si>
    <t xml:space="preserve">No UFC requirement exists for the incorporation of a loading dock and no elevator is provided as this is not a building.
</t>
  </si>
  <si>
    <t xml:space="preserve">Standards, in the form of UFGSs and UFCs, are cited above. </t>
  </si>
  <si>
    <t>Security Fence</t>
  </si>
  <si>
    <t>Add for barbed coils</t>
  </si>
  <si>
    <t>Add turn-style, stainless steel, 1 per 1,000 LF, plus 30% for electrically-operated gate</t>
  </si>
  <si>
    <t xml:space="preserve">Unified Facilities Criteria (UFC) 4-022-03  provides design criteria for this FAC.
</t>
  </si>
  <si>
    <t xml:space="preserve">Unified Facilities Guide Specification (UFGS) 32 31 13  provides guidance for the selection of materials.  
</t>
  </si>
  <si>
    <t xml:space="preserve">No fire suppression system is specified for security fences.  
</t>
  </si>
  <si>
    <t xml:space="preserve">Standards, in the form of guide specifications, and UFC, are cited above. </t>
  </si>
  <si>
    <t>Navigation Revetments</t>
  </si>
  <si>
    <t>No Records</t>
  </si>
  <si>
    <t>Soil Stabilization, lime</t>
  </si>
  <si>
    <t>Rip rap</t>
  </si>
  <si>
    <t>Assume SY = 1 LF x 9 FT from shore to water</t>
  </si>
  <si>
    <t>Utility Building</t>
  </si>
  <si>
    <t>Sprinkler, Dry System, Average, 2,500 SF</t>
  </si>
  <si>
    <t>Unified Facilities Criteria (UFC) for Multi-Disciplinary and Facility Specific Design (UFC 3-501, "Electrical Engineering;" UFC 4-200, "Maintenance and Production Facilities;" and, UFC 4-800, "Utilities and Ground Improvements Series") are not provided for this type of facility.  
FAC 8910 aggregates 70 category codes for a variety of utility types encompassing all Services and WHS.</t>
  </si>
  <si>
    <t xml:space="preserve">No UFC criteria exist for component material.  The reference to Marshall and Swift commercial and public utility/governmental utility buildings includes metal and masonry construction. </t>
  </si>
  <si>
    <t xml:space="preserve">UFC 3-600-01, "Fire Protection Engineering for Facilities," requires compliance with National Fire Protection Association (NFPA) 850 in power generating plants.   National Fire Protection Association (NFPA) 850 requires the use of an appropriate fire suppression system.
International Building Code Group H.
</t>
  </si>
  <si>
    <t xml:space="preserve">No UFC requirement exists for the incorporation of overhead cranes.  Because of the small average size of the FAC and the expected light-weight construction (metal building), an overhead crane is structurally improbable. </t>
  </si>
  <si>
    <t xml:space="preserve">No UFC criteria exist for component material.  The reference to Marshall and Swift commercial and governmental utility buildings includes metal and masonry construction. </t>
  </si>
  <si>
    <t>Installation Gas Production Plant</t>
  </si>
  <si>
    <t>Armory, Class C, Average, (similar in construction to utility building)</t>
  </si>
  <si>
    <t>Loading Dock, steel piers, heavy slab, steel bumper (Assume 15 FT x 30 FT)</t>
  </si>
  <si>
    <t>Welded Steel Pressure Tank, 15,000 GA, 7 FT x 54 FT</t>
  </si>
  <si>
    <t>Installation Gas Storage</t>
  </si>
  <si>
    <t>Welded Steel Pressure Tank, 9,000 GA, 7 FT X 35 FT</t>
  </si>
  <si>
    <t>Vehicle Scales</t>
  </si>
  <si>
    <t>Miscellaneous Pump Station</t>
  </si>
  <si>
    <t>Hazardous Waste Storage Or Disposal Facility</t>
  </si>
  <si>
    <t>Main Storage Area</t>
  </si>
  <si>
    <t>14/26</t>
  </si>
  <si>
    <t xml:space="preserve">Warehouse, Class C, Average, 5,000 SF </t>
  </si>
  <si>
    <t xml:space="preserve">per drum </t>
  </si>
  <si>
    <t>Drum to EA</t>
  </si>
  <si>
    <t>Sprinkler, average, wet, high hazard, 5,000 SF</t>
  </si>
  <si>
    <t>15% extra hazard addition</t>
  </si>
  <si>
    <t>each</t>
  </si>
  <si>
    <t>Satellite Storage</t>
  </si>
  <si>
    <t>Waste collection system/secondary containment, double drum</t>
  </si>
  <si>
    <t xml:space="preserve">The Resource Conservation and Recovery Act (RCRA), as implemented by regulation, sets the standards for hazardous waste storage and disposal.  The Defense Logistics Agency (DLA) is the designated recipient hazardous waste for storage, transport and disposal.   
</t>
  </si>
  <si>
    <t xml:space="preserve">Unified Facilities Guide Specification (UFGS) 02 81 00  provides guidance for the selection of materials.  Public Works Technical Bulletin (PWTB) 200-1-76 describes materials and design to be used for storage of hazardous materials.
</t>
  </si>
  <si>
    <t xml:space="preserve">The average quantity for this FAC is 1 EA (each)
</t>
  </si>
  <si>
    <t xml:space="preserve">When stored in a warehouse, hazardous material requires the building be classified as an “H” occupancy within the International Building Code Occupancy Group and therefore requires a sprinkler system throughout.
</t>
  </si>
  <si>
    <t xml:space="preserve">No UFC requirement exists for the incorporation of a loading dock.  However, it is reasonable to assume that waste in drums will be delivered, and therefore a loading dock is incorporated. 
No elevator is provided in consonance with the Elevator Business Rules.
</t>
  </si>
  <si>
    <t xml:space="preserve">Standards, in the form of DoD Instructions, UFGSs, a Technical Bulletin and the Code of Federal Regulations (CFR) are cited above. </t>
  </si>
  <si>
    <t>Utility Vaults</t>
  </si>
  <si>
    <t>Loading Platform/Ramp</t>
  </si>
  <si>
    <t>Loading ramp, per SF, paved ramp, steel railing, for forklift</t>
  </si>
  <si>
    <t>Installation Gas Distribution Line</t>
  </si>
  <si>
    <t>Utility Tunnel</t>
  </si>
  <si>
    <t>CF to LF</t>
  </si>
  <si>
    <t>Assume larger Tunnel = 12% of inventory</t>
  </si>
  <si>
    <t>Scaled Average</t>
  </si>
  <si>
    <t>Utility Channels</t>
  </si>
  <si>
    <t>Note: "Section" refers to the Marshall &amp; Swift Valuation Guide section and page which contains a profile of the facility used for this FAC as well as additional information on the features included in the Marshall and Swift facility.  The "Area Adjustment" is the "local multiplier"  (Section 99, Pages 5 thru 10) which reflects local cost conditions and is designed to adjust the basic costs to each locality.   "Current Cost Multiplier" (Section 99, Page 3) are the multipliers to update costs.  Costs in each section are updated on a three-year cycle.  The current cost multiplier is republished monthly and is based upon nationally recognized building cost indices.  As stated in Section 1 page 11 of the Marshall and Swift Valuation guide, "to obtain the current replacement value, the cost shown in each section ("refined" by additions such as sprinklers, elevators, etc.) is multiplied by the current cost multiplier and the local multiplier; that is: Unit Cost x Current Cost Multiplier x Local Multiplier = Final Replacement Cost."</t>
  </si>
  <si>
    <t xml:space="preserve">Unified Facilities Criteria (UFC) 3-430-09  provides design criteria for this FAC.
</t>
  </si>
  <si>
    <t xml:space="preserve">Unified Facilities Guide Specification (UFGS) 33 63 13.19  provides guidance for the selection of materials.  
</t>
  </si>
  <si>
    <t xml:space="preserve">No fire suppression system is specified for utility channel.
</t>
  </si>
  <si>
    <t xml:space="preserve"> UFC 3-430-09, “Exterior Mechanical Utility Distribution,” 16 January 2004, with Change 1, 25 March 2009
 UFGS 33 63 13.19, “Concrete Trench Hydronic and Steam Energy Distribution,”  1 February 2016
</t>
  </si>
  <si>
    <t>Miscellaneous Storage Tank and Basin</t>
  </si>
  <si>
    <t>Prorate - % of RPAD Records</t>
  </si>
  <si>
    <t>Lagoon, Clay Lined</t>
  </si>
  <si>
    <t>CF to GA</t>
  </si>
  <si>
    <t>Concrete Water Tank, 20,000 GA</t>
  </si>
  <si>
    <t>Lagoon, Concrete</t>
  </si>
  <si>
    <t>Horizontal Bulk Storage Tank, Steel, 1,500 GA</t>
  </si>
  <si>
    <t>Liquid Manure Tank, Rectangular, Covered</t>
  </si>
  <si>
    <t xml:space="preserve">Horizontal Tank, Plastic, 2,500 GA  </t>
  </si>
  <si>
    <t>Liquid Manure Tank, Round, Covered</t>
  </si>
  <si>
    <t>Vertical Welded Tank, 30,000 GA</t>
  </si>
  <si>
    <t xml:space="preserve">Unified Facilities Criteria (UFC) 4-832-01N provides design criteria for industrial and oily wastewater basins and tanks.  UFC 3-240-02  provides design criteria for domestic wastewater basins and tanks.  UFC 3-460-01  provides guidance for waste oil storage tank.  UFC 3-240-0  provides general guidance and design criteria for the design of a broad spectrum of wastewater collection systems, including basins and tanks.  UFC 3-201-01  provides design guidance for the design of basins.  Public Works Technical Bulletin (PWTB) 200-1-38  provides guidelines for complying with oil pollution regulations.  PWTB 200-1-87  provides design and operation guidance for central vehicle wash runoff containing oily pollutants.  Code of Federal Regulations (CFR):  40 CFR 264  and 279  provide regulatory guidance and material selection for waste basins and tanks.
</t>
  </si>
  <si>
    <t xml:space="preserve">The UFCs and CFR Parts cited above provide guidance on material selection.   
</t>
  </si>
  <si>
    <t xml:space="preserve">No fire suppression system is specified for FAC.
</t>
  </si>
  <si>
    <t xml:space="preserve">Standards, in the form of guide specifications, Manual of Practice and Unified Facilities Criteria, are cited above. </t>
  </si>
  <si>
    <t>• M&amp;S Selection Business Rule
• MILCON Cost Premium Business Rule</t>
  </si>
  <si>
    <t>USACE PAX Military Construction (MILCON) Program Inflation Guide</t>
  </si>
  <si>
    <t xml:space="preserve"> Reference Date of Unit Cost</t>
  </si>
  <si>
    <t>FISCAL YEAR (FY)</t>
  </si>
  <si>
    <t>DoD SPI Index (Table 4-2, UFC 3-701-1)</t>
  </si>
  <si>
    <t>Budget Guidance for Future Inflation</t>
  </si>
  <si>
    <t>Law</t>
  </si>
  <si>
    <t>Federal Design Practices</t>
  </si>
  <si>
    <t>Regulation</t>
  </si>
  <si>
    <t>Guidance</t>
  </si>
  <si>
    <t>Sustainability / Energy Standards</t>
  </si>
  <si>
    <t>Davis Bacon Wage Factor</t>
  </si>
  <si>
    <t>Bonding  Insurance</t>
  </si>
  <si>
    <t>Structural Premium</t>
  </si>
  <si>
    <t>Closure Premium</t>
  </si>
  <si>
    <t>Roof Premium</t>
  </si>
  <si>
    <t>Interior Premium</t>
  </si>
  <si>
    <t>Plumbing Premium</t>
  </si>
  <si>
    <t>HVAC Premium</t>
  </si>
  <si>
    <t>Electrical Premium</t>
  </si>
  <si>
    <t>AT/FP</t>
  </si>
  <si>
    <t>Staffing Requirements</t>
  </si>
  <si>
    <t>Limited Procurement Options</t>
  </si>
  <si>
    <t>Total MCP Factor</t>
  </si>
  <si>
    <t>RPA Type</t>
  </si>
  <si>
    <t>S</t>
  </si>
  <si>
    <t>LS</t>
  </si>
  <si>
    <t>B</t>
  </si>
  <si>
    <t>ICBM PROCESSING FACILITY</t>
  </si>
  <si>
    <t>SHIP MAINTENANCE DRY DOCK</t>
  </si>
  <si>
    <t>MISCELLANEOUS PERSONNEL SHELTER</t>
  </si>
  <si>
    <t>COMMUNITY ACTIVIES / CONFERENCE CENTER</t>
  </si>
  <si>
    <t>MISCELLANEOUS MWR FACILITY</t>
  </si>
  <si>
    <t>RECREATIONAL SUPPORT BUILDING</t>
  </si>
  <si>
    <t>LIGHTNING PROTECTION SYSTEM, STAND-ALONE</t>
  </si>
  <si>
    <t>MB</t>
  </si>
  <si>
    <t>MISCELLANEOUS UTILITY FACILITY</t>
  </si>
  <si>
    <t>UTILIITY CHANNEL</t>
  </si>
  <si>
    <t>Notes:</t>
  </si>
  <si>
    <t>999X</t>
  </si>
  <si>
    <t>CLASS[1]</t>
  </si>
  <si>
    <t>FRAME</t>
  </si>
  <si>
    <t>FLOOR</t>
  </si>
  <si>
    <t>ROOF</t>
  </si>
  <si>
    <t>WALLS</t>
  </si>
  <si>
    <t>USE FOR[2]</t>
  </si>
  <si>
    <t>A</t>
  </si>
  <si>
    <t>Facilities designed for industrial, storage, or medical purposes, except those in Class A.  FACs in 1000, 2000, 3000, 4000, and 5000 series.</t>
  </si>
  <si>
    <t>C</t>
  </si>
  <si>
    <t>Brick, concrete block or tile masonry, tilt-up, formed concrete, nonbearing curtain walls.</t>
  </si>
  <si>
    <t>Facilities designed for light industrial and community support.  FACs in the 6000 and 7000 series.</t>
  </si>
  <si>
    <t>Metal bents, columns, girders, purlins and girts without fireproofing, incombustible construction.</t>
  </si>
  <si>
    <t>Steel or wood deck on steel joists.</t>
  </si>
  <si>
    <t>Metal skin or sandwich panels. Generally incombustible.</t>
  </si>
  <si>
    <r>
      <rPr>
        <b/>
        <sz val="11"/>
        <color theme="1"/>
        <rFont val="Calibri"/>
        <family val="2"/>
        <scheme val="minor"/>
      </rPr>
      <t>LOW QUALITY</t>
    </r>
    <r>
      <rPr>
        <sz val="11"/>
        <color theme="1"/>
        <rFont val="Calibri"/>
        <family val="2"/>
        <scheme val="minor"/>
      </rPr>
      <t xml:space="preserve">
Buildings in this category are generally constructed to minimum code requirements often with little regard for architectural appearance or other amenities. They are built with minimum investment in mind. Little ornamentation is used and interior partitioning and finish is minimal and/or of low quality.
In cities with strong building codes, few low-cost buildings of certain occupancy types are built because of code requirements and the fact that it often is not economical on high-priced land. In some rural communities, the Low Quality category may contain some of the more important buildings in town. The figures in the Calculator Costs are for the center of a range of costs of buildings in the same general category, and are not for the lowest-cost buildings which could be built. In general, Low-cost dwellings are houses built to conform to a minimum building code. Substandard single-family residences which were built without any building code control are given a special classification of Cheap quality. Cheap may also be used to describe a basic shell structure which is deficient in interior finishes typical of a particular occupancy.
</t>
    </r>
  </si>
  <si>
    <t>Not used.</t>
  </si>
  <si>
    <r>
      <rPr>
        <b/>
        <sz val="11"/>
        <color theme="1"/>
        <rFont val="Calibri"/>
        <family val="2"/>
        <scheme val="minor"/>
      </rPr>
      <t>AVERAGE QUALITY</t>
    </r>
    <r>
      <rPr>
        <sz val="11"/>
        <color theme="1"/>
        <rFont val="Calibri"/>
        <family val="2"/>
        <scheme val="minor"/>
      </rPr>
      <t xml:space="preserve">
Average-quality buildings constitute the largest group of buildings constructed, approximately fifty percent of all buildings. These are generally buildings designed for maximum economic potential without some of the pride of ownership or prestige amenities of higher-quality construction. They are of good standard code construction with simple ornamentation and finishes. The basic costs, which are listed, are national averages and in the case of any particular locality, may not represent the local average quality.In dwellings, the typical Average-quality dwelling changes through the years, with today’s dwelling generally having more electric outlets and services and more plumbing fixtures. At the same time,the quality of exterior and interior finishes has been lowered to compensate for the total cost of the house.
An Average, conventional frame dwelling should have joists and wall framing that will conform to all federal, state, and local building codes. Wall construction varies in different localities and modular homes may deviate in many respects. The Average Class D dwelling of the warmer portions of the United States may not have extensive sheathing or insulation between the studs and the exterior wall finish, while this would definitely be considered substandard in a colder climate. However, the warmer climate residence will generally have more fenestration. The Fair quality is the mid-range of the so-called “starter house”.
</t>
    </r>
  </si>
  <si>
    <t>Used for all FACs, except those listed in “Good” category</t>
  </si>
  <si>
    <r>
      <rPr>
        <b/>
        <sz val="11"/>
        <color theme="1"/>
        <rFont val="Calibri"/>
        <family val="2"/>
        <scheme val="minor"/>
      </rPr>
      <t>GOOD QUALITY</t>
    </r>
    <r>
      <rPr>
        <sz val="11"/>
        <color theme="1"/>
        <rFont val="Calibri"/>
        <family val="2"/>
        <scheme val="minor"/>
      </rPr>
      <t xml:space="preserve">
Buildings designed for good appearance, comfort and convenience, as well as an element of prestige, constitute the Good Quality category. Ornamental treatment is usually of higher quality and interiors are designed for upper-class rentals. The amenities of better lighting and mechanical work are primary items in their costs.
In dwellings, the good residence is generally built to cater to the young executive or move-up market. It will be much the same construction as the Average, with more detail and higher mechanical and electrical costs and may be the standard structure in the so-called move-up community.
</t>
    </r>
  </si>
  <si>
    <t xml:space="preserve">Used only for prestige facilities in FACs 
5100 – hospital
6102 – Large Unit Headquarters
6105 – Pentagon
7386 – Ceremonial Hall
7440 - Comm Act/Conf Cntr
7601 – Museum 
</t>
  </si>
  <si>
    <r>
      <rPr>
        <b/>
        <sz val="11"/>
        <color theme="1"/>
        <rFont val="Calibri"/>
        <family val="2"/>
        <scheme val="minor"/>
      </rPr>
      <t xml:space="preserve">EXCELLENT QUALITY </t>
    </r>
    <r>
      <rPr>
        <sz val="11"/>
        <color theme="1"/>
        <rFont val="Calibri"/>
        <family val="2"/>
        <scheme val="minor"/>
      </rPr>
      <t xml:space="preserve">
Excellent buildings are normally prestige buildings. On an economic basis, part of the cost must be written off to pride of ownership and some of the income intangibly derived from advertising.
Excellent dwellings are generally built for the established professional or those with higher
incomes and will have some expensive finishes and fixtures.
The High Value quality dwelling will normally have more ornamentation, special design, and top quality materials. However, the costs listed will not be high enough for the most luxurious types of dwellings, built without regard for cost, since each listed cost represents the center of the costs within that quality range.
</t>
    </r>
  </si>
  <si>
    <t>Calculation of the Number of Elevators in a Building using the International Building Code and Toshiba Elevator Company Elevator Estimator</t>
  </si>
  <si>
    <t>IBC Occupancy Type        (Note 2)</t>
  </si>
  <si>
    <t>I</t>
  </si>
  <si>
    <t>F</t>
  </si>
  <si>
    <t>W</t>
  </si>
  <si>
    <t>R</t>
  </si>
  <si>
    <t>M</t>
  </si>
  <si>
    <t>E</t>
  </si>
  <si>
    <t>IBC Occupancy Types from 2018 International Building Code, "Use and Occupancy Classification", Chapter 3</t>
  </si>
  <si>
    <t>Number of Persons per SF by occupancy from 2018 International Building Code Table 1004.1.2 "Maximum Floor Area Allowance Per Occupant"</t>
  </si>
  <si>
    <t>Number of Persons per elevator from the Toshiba Elevator Company "Elevator Traffic Planning"</t>
  </si>
  <si>
    <t>Number of elevators is based upon the FAC area &amp; the maximum occupancy allowed by the IBC; if the average number of floors exceeds 1.5, at least one elevator will be included</t>
  </si>
  <si>
    <t>Occupancy</t>
  </si>
  <si>
    <t>Requirement</t>
  </si>
  <si>
    <t>A (A-1,-3, -4)</t>
  </si>
  <si>
    <t>A-2</t>
  </si>
  <si>
    <t>Ambulatory Care</t>
  </si>
  <si>
    <r>
      <t>H</t>
    </r>
    <r>
      <rPr>
        <vertAlign val="superscript"/>
        <sz val="11"/>
        <color theme="1"/>
        <rFont val="Calibri"/>
        <family val="2"/>
        <scheme val="minor"/>
      </rPr>
      <t>2</t>
    </r>
  </si>
  <si>
    <t>Throughout</t>
  </si>
  <si>
    <t>U</t>
  </si>
  <si>
    <t>None</t>
  </si>
  <si>
    <r>
      <t>Occupancy Definitions (from International Building Code, Chapter 3)</t>
    </r>
    <r>
      <rPr>
        <vertAlign val="superscript"/>
        <sz val="11"/>
        <color theme="1"/>
        <rFont val="Calibri"/>
        <family val="2"/>
        <scheme val="minor"/>
      </rPr>
      <t>3</t>
    </r>
  </si>
  <si>
    <t>A: Assembly</t>
  </si>
  <si>
    <t>A1 – usually fixed seating for production and viewing performing arts and motion pictures</t>
  </si>
  <si>
    <t>A2 – intended for food, drink consumption e.g. nightclubs, restaurants, cafeterias</t>
  </si>
  <si>
    <t>A3 – intended for worship, recreation, amusement, e.g. bowling alleys, community halls, courtrooms, gymnasiums, indoor swimming pools, libraries, museums, places of worship</t>
  </si>
  <si>
    <t>A4 – intended for indoor sporting events with spectator seating</t>
  </si>
  <si>
    <t>A5 – intended for outdoor activities including bleachers, grandstands, stadiums</t>
  </si>
  <si>
    <t xml:space="preserve">B: Business  </t>
  </si>
  <si>
    <t>Intended for use as an office, professional or business use, including the storage of records. Examples include:</t>
  </si>
  <si>
    <t>E: Educational</t>
  </si>
  <si>
    <t>The use of a building or a portion thereof by six or more persons at any one time for educational purposes through the 12th grade</t>
  </si>
  <si>
    <t>F: Factory</t>
  </si>
  <si>
    <t>A building or structure or portion thereof use for assembling, disassembling, fabricating, finishing, manufacturing, packaging, repair or processing operations that are not classified as Group H Hazardous or Group S Storage</t>
  </si>
  <si>
    <t>H: High-Hazard</t>
  </si>
  <si>
    <t>Use of a building or portion thereof involving manufacturing, processing generation or storage of materials that constitute a physical or health hazard in quantities in excess of those allowed in control areas (Table 307.1(1))</t>
  </si>
  <si>
    <t>I: Institutional</t>
  </si>
  <si>
    <t>A building in which care or supervision is provided to persons who are not capable of self-preservation without physical assistance or in which persons are detained for penal or correctional purposes in which the liberty of occupants is restricted</t>
  </si>
  <si>
    <t>M: Mercantile</t>
  </si>
  <si>
    <t>Use for the display and sale of merchandise and involving stocks of goods, wares or merchandise and accessible to the public. Examples include:</t>
  </si>
  <si>
    <t>R: Residential</t>
  </si>
  <si>
    <t>Use of a building for sleeping purposes when not classified as Group I and not covered by the International Residential Code. Examples include:</t>
  </si>
  <si>
    <t>o Dormitories</t>
  </si>
  <si>
    <t>o Transient facilities</t>
  </si>
  <si>
    <t>o Hotels, motels</t>
  </si>
  <si>
    <t>S: Storage</t>
  </si>
  <si>
    <t>Use of a building for storage that is not classified as Group H Hazardous.</t>
  </si>
  <si>
    <t>U: Utility</t>
  </si>
  <si>
    <t>Buildings or structures of an accessory character and miscellaneous structures not classified in any other specific occupancy . Examples include:</t>
  </si>
  <si>
    <t>o Barns, fences, carports, greenhouses, private garages, sheds, retaining walls,stables, tanks, towers</t>
  </si>
  <si>
    <r>
      <t>Note that occupancy, design or materiel conditions may reduce or increase the requirement for a sprinkler or type of extinguishing system. Reference should be made to additional requirements in NFPA 101 Life Safety Code</t>
    </r>
    <r>
      <rPr>
        <vertAlign val="superscript"/>
        <sz val="11"/>
        <color theme="1"/>
        <rFont val="Calibri"/>
        <family val="2"/>
        <scheme val="minor"/>
      </rPr>
      <t>4</t>
    </r>
    <r>
      <rPr>
        <sz val="11"/>
        <color theme="1"/>
        <rFont val="Calibri"/>
        <family val="2"/>
        <scheme val="minor"/>
      </rPr>
      <t>, NFPA 13 Standard for the Installation of Sprinkler Systems</t>
    </r>
    <r>
      <rPr>
        <vertAlign val="superscript"/>
        <sz val="11"/>
        <color theme="1"/>
        <rFont val="Calibri"/>
        <family val="2"/>
        <scheme val="minor"/>
      </rPr>
      <t>5</t>
    </r>
    <r>
      <rPr>
        <sz val="11"/>
        <color theme="1"/>
        <rFont val="Calibri"/>
        <family val="2"/>
        <scheme val="minor"/>
      </rPr>
      <t xml:space="preserve"> or the International Building Code to determine the requirements for particular structures. In this business rule, a middle course for the selection of an extinguishing system is chosen, applicable to most buildings, most of the time.</t>
    </r>
  </si>
  <si>
    <t>Footnotes:</t>
  </si>
  <si>
    <t>2.  For H Occupancies, add extra hazard premium cost and early suppression system and early suppression pump</t>
  </si>
  <si>
    <t>Loading Dock Footnote</t>
  </si>
  <si>
    <r>
      <t>The guide specification for design of a loading dock is contained in the Unified Facilities Guide Specification</t>
    </r>
    <r>
      <rPr>
        <vertAlign val="superscript"/>
        <sz val="11"/>
        <color theme="1"/>
        <rFont val="Calibri"/>
        <family val="2"/>
        <scheme val="minor"/>
      </rPr>
      <t>2</t>
    </r>
    <r>
      <rPr>
        <sz val="11"/>
        <color theme="1"/>
        <rFont val="Calibri"/>
        <family val="2"/>
        <scheme val="minor"/>
      </rPr>
      <t>.</t>
    </r>
  </si>
  <si>
    <t> </t>
  </si>
  <si>
    <r>
      <rPr>
        <vertAlign val="superscript"/>
        <sz val="11"/>
        <color theme="1"/>
        <rFont val="Calibri"/>
        <family val="2"/>
        <scheme val="minor"/>
      </rPr>
      <t>1</t>
    </r>
    <r>
      <rPr>
        <sz val="11"/>
        <color theme="1"/>
        <rFont val="Calibri"/>
        <family val="2"/>
        <scheme val="minor"/>
      </rPr>
      <t xml:space="preserve"> Commercial Real Estate Development Association, NAIOP Research Foundation, “NAIOP Terms and Definitions: North American Office and Industrial Market, pg. 12.</t>
    </r>
  </si>
  <si>
    <r>
      <rPr>
        <vertAlign val="superscript"/>
        <sz val="11"/>
        <color theme="1"/>
        <rFont val="Calibri"/>
        <family val="2"/>
        <scheme val="minor"/>
      </rPr>
      <t>2</t>
    </r>
    <r>
      <rPr>
        <sz val="11"/>
        <color theme="1"/>
        <rFont val="Calibri"/>
        <family val="2"/>
        <scheme val="minor"/>
      </rPr>
      <t xml:space="preserve"> Unified Facility Guide Specification (UFGS)   UFGS-11 13 19.13 (August 2009)</t>
    </r>
  </si>
  <si>
    <t>Range Business Rules</t>
  </si>
  <si>
    <t>Design</t>
  </si>
  <si>
    <t>Adhere to range designs provided in TC 25-8; use FMs for specific weapons systems training/range use.</t>
  </si>
  <si>
    <t>Materials</t>
  </si>
  <si>
    <t>Select materials from current PAX Newsletter; if materials not found in PAX, use Marshall and Swift Valuation Service (see Marshall and Swift Business Rules for Class and Qualities of facilities)</t>
  </si>
  <si>
    <t>Horizontal Features</t>
  </si>
  <si>
    <t xml:space="preserve">1.       Use Concrete Reinforcing Steel Institute (CSRI) manual for rules of thumb on concrete thickness and reinforcing.
2.       Use US DOT Federal Highway Administration Gravel Roads Construction &amp; Maintenance Guide, August 2015.  </t>
  </si>
  <si>
    <t>Included facilities</t>
  </si>
  <si>
    <t>1.       Use only range design shown in TC 25-8 for facilities included.  Ancillary facilities shown on ”Standard Range Support Building Matrix” in TC 25-8 are assumed to be separately inventoried with individual property records.
2.       Supporting utilities to the range site will be excluded from the range RUC per USACE Engineering and Support Center Huntsville “Range and Training Land Program Information”, Utilities Services.</t>
  </si>
  <si>
    <t>Berm</t>
  </si>
  <si>
    <t>Utilities</t>
  </si>
  <si>
    <t>Water Launch Ramp</t>
  </si>
  <si>
    <t>Slab on Grade, 12", Reinforced</t>
  </si>
  <si>
    <t>Concrete Waterproofing, Silicone Spray, 2 coats</t>
  </si>
  <si>
    <t>GENERAL ADMIN BUILDING, HIGH-RISE</t>
  </si>
  <si>
    <t xml:space="preserve">No UFC criteria exist for component material.  The Marshall and Swift antenna valuation includes "concrete footings, erection, painting, guy wires, lighting, platforms, and designers’ fees."  </t>
  </si>
  <si>
    <t>Urban Cluster / Bank Barn, 2 Story (20' x 20'), Class D, Low Cost x 6 Buildings (Use Class C multiplier)</t>
  </si>
  <si>
    <t>Inflation Adjustment
by MILCON Index</t>
  </si>
  <si>
    <t>Sprinkler, Wet, 2,500 SF, Average</t>
  </si>
  <si>
    <t>Niche / CF</t>
  </si>
  <si>
    <t>Valves, Steel, Heavy Duty, 4", 4 EA</t>
  </si>
  <si>
    <t>Average Reference Size</t>
  </si>
  <si>
    <t>Space Modifier
(40 Spaces)</t>
  </si>
  <si>
    <t>Composite of Multiple FACs</t>
  </si>
  <si>
    <t>USACE PAX Newsletter 3.2.2, 4 January 2011;                                             Navy Military Construction Program</t>
  </si>
  <si>
    <t>WHS MILCON Project Cost</t>
  </si>
  <si>
    <t>Divided by 2019 DoD ACF for Arlington, VA</t>
  </si>
  <si>
    <t>Overhead door, Rollup, 8' X 10", 2 EA</t>
  </si>
  <si>
    <t xml:space="preserve">Berm, bulk excavation, medium earth, placed around each Quonset building (parabolic section (2/3 b*h) 60 FT long, 10 FT high, 8 EA = 3,216 CF) </t>
  </si>
  <si>
    <t xml:space="preserve">The USACE HNC RTLP Fact Sheet, September 2018.
The USACE HNC RTLP, Program Information, https://www.hnc.usace.army.mil/Missions/Installation-Support-and-Programs-Management/Range-and-Training-Land-Program/Range-Design-Guide/.                                                                                                                                                                                                                                                                                                                                                                                  U.S. Army TC 25-8, "Training Ranges," 22 July 2016  
</t>
  </si>
  <si>
    <t xml:space="preserve">UFC 4-179-01, "Design: Navy Firefighting School Facilities," 16 January 2004
NFPA 1402, "Guide to Building Fire Service Training Centers," 2019 Edition
UFC 4-179-01, Appendix A, "MIL-HDBK 1027/1B, Firefighting School Facilitates," 31 January 1998
UFC 4-179-01, Appendix A, para 2.2.5, "Wastewater;" and Section 5, "Protection of the Environment"
</t>
  </si>
  <si>
    <t>Soil preparation, Fine grading running track, Average</t>
  </si>
  <si>
    <t xml:space="preserve">Unified Facilities Criteria (UFC) for Multi-Disciplinary and Facility Specific Design (UFC 3-101-01, Architecture; and, the UFC 4-200 Maintenance and Production Facilities series) do not provide guidance for this FAC.   </t>
  </si>
  <si>
    <t>Table 2, UFC 3-701-1, Change 2, 28 May 2019</t>
  </si>
  <si>
    <t>Maintenance Hangar, Class C, Excellent (Class B not available), including craneway, no elevator</t>
  </si>
  <si>
    <t>USACE PAX Newsletter 3.2.2, 30 May 2019</t>
  </si>
  <si>
    <t>Dependent School - CONUS</t>
  </si>
  <si>
    <t>Varies</t>
  </si>
  <si>
    <t>Tactical Vehicle Wash Facility</t>
  </si>
  <si>
    <t>Monitoring Well</t>
  </si>
  <si>
    <t>Water Well, without pump, 130' deep, 5" casing,  Average</t>
  </si>
  <si>
    <t>MONITORING WELL</t>
  </si>
  <si>
    <t xml:space="preserve">USACE PAX Newsletter 3.2.2, 30 May 2019                                                         </t>
  </si>
  <si>
    <t>Structure, Reinforced concrete (Armory, Class CDS) 12 EA, 1,800 SF</t>
  </si>
  <si>
    <t xml:space="preserve">• The unit of measure is LN, lane.  
• Size is per design found in TC 25-8.  The design calls for a standard 2 LNs per range.  Although the average of the records is 3.2, there can be no ‘fractional’ lanes. 
• There are 32 FAC 1762 records, ranging in size from 1 to 10 lanes (LN).  </t>
  </si>
  <si>
    <t>H</t>
  </si>
  <si>
    <t>Col J/200 Passengers per car  =   #  of Elevators (Note 5)</t>
  </si>
  <si>
    <t xml:space="preserve">No UFC criteria exist for component material.  
Applying the Marshall and Swift Selection Business Rule, the FAC is  Marshall &amp; Swift Class B, Average Quality.
</t>
  </si>
  <si>
    <t xml:space="preserve"> BIOSAFTY LEVEL 3 LABORATORY</t>
  </si>
  <si>
    <t xml:space="preserve">EA </t>
  </si>
  <si>
    <t>65/10</t>
  </si>
  <si>
    <t xml:space="preserve">EA to SF </t>
  </si>
  <si>
    <t xml:space="preserve">Sprinkler, Wet System, Average, 15,000 SF </t>
  </si>
  <si>
    <t xml:space="preserve">No specific requirement for a loading dock is found in a UFC.  A reasonable assumption is to include a loading dock based upon the function of this FAC.
The number of truck docks is calculated by a consideration of number of trucks arriving and loading/unloading time for the specific design.  As general guidance,  the Commercial Real Estate Development Association (NAIOP) provides an estimate of the average number of loading docks per square foot of industrial or warehouse(1 dock per 7,500 SF of floor space.    For this FAC, 2 loading dock assemblies are provided.   The guide specification for design of a loading dock is contained in the Unified Facilities Guide Specification (UFGS). 
The average number of floors is 1.26 yielding  0 elevator for the maximum number of occupants applying  the Elevator Business Rule.  
Since the Marshall and Swift building selected for this FAC includes elevators as part of the unit price, the elevator must be deducted from the unit price.
</t>
  </si>
  <si>
    <t xml:space="preserve">No UFC requirement exists for the incorporation of a loading dock.  Because of the nature of maintenance and assembly work, 2 loading docks have been included.   As general guidance, the Commercial Real Estate Development Association (NAIOP) provides an estimate of the average number of loading docks per square foot of industrial or warehouse, averaging 1 dock per 7,500 sf of floor space.   
The guide specification for design of a loading dock is contained in the commercial “Dock Planning Standards." 
The average number of floors is 2.22 yielding 1 elevator for the maximum number of occupants applying  the Elevator Business Rule.  
The Marshall and Swift building selected for this FAC includes elevators as part of the unit price.
</t>
  </si>
  <si>
    <t>Reservoir, Cut and Fill, Concrete</t>
  </si>
  <si>
    <t>Note: crane aspect ratio = 1:2; building is approximately 75 LF x 150 LF</t>
  </si>
  <si>
    <t xml:space="preserve">No UFC requirement exists for the incorporation of a loading dock.  Because of the nature of maintenance and assembly work, a loading dock has been included.
The average number of floors is 1.03 yielding 0 elevators for the maximum number of occupants applying  the Elevator Business Rule.  
</t>
  </si>
  <si>
    <t>Bridge Crane, 75' span, 10 Ton capacity, 2 EA</t>
  </si>
  <si>
    <t>Industrial, Heavy (Process) Manufacturing, Class A, Average, including HVAC and craneway (Deduct $2.36 / SF for no included elevator)</t>
  </si>
  <si>
    <r>
      <t>Automatic Sprinkler Systems From International Building Code 2018 Section 903</t>
    </r>
    <r>
      <rPr>
        <b/>
        <vertAlign val="superscript"/>
        <sz val="14"/>
        <color theme="1"/>
        <rFont val="Calibri"/>
        <family val="2"/>
        <scheme val="minor"/>
      </rPr>
      <t xml:space="preserve">1 </t>
    </r>
    <r>
      <rPr>
        <b/>
        <sz val="14"/>
        <color theme="1"/>
        <rFont val="Calibri"/>
        <family val="2"/>
        <scheme val="minor"/>
      </rPr>
      <t xml:space="preserve"> </t>
    </r>
  </si>
  <si>
    <t>1.  International Building Code, Chapter 9, Section 903, International Code Council, 2018</t>
  </si>
  <si>
    <t>3.  International Building Code, Chapter 3, Sections 300 – 311, International Code Council, 2018. The definitions have been summarized and are used for setting requirements for multiple purposes with the Code (e.g. structural design, means of egress, plumbing, electrical, mechanical).</t>
  </si>
  <si>
    <t>4.  National Fire Protection Association (NFPA) Life Safety Code, NFPA 101, 2018, Chapters 6 -42</t>
  </si>
  <si>
    <t>5.  NFPA Standard for the Installation of Sprinkler Systems, NFPA 13, 2019, Chapters 3, 5, 7 and 22.</t>
  </si>
  <si>
    <t>&gt;12,000 SF</t>
  </si>
  <si>
    <t>&gt;5,000 SF</t>
  </si>
  <si>
    <t>&gt;5,000 SF or Occupant load &gt;100 or fire area on a floor other than level of discharge</t>
  </si>
  <si>
    <t>4 or more  patients incapable of self-preservation</t>
  </si>
  <si>
    <r>
      <t>The number of truck docks is calculated by a consideration of number of trucks arriving and loading/unloading time for the specific design.  As general guidance, the Commercial Real Estate Development Association (NAIOP) provides an estimate of the average number of loading docks per square foot of industrial or warehouse averaging 1 dock per 7,500 SFf floor space</t>
    </r>
    <r>
      <rPr>
        <vertAlign val="superscript"/>
        <sz val="11"/>
        <color theme="1"/>
        <rFont val="Calibri"/>
        <family val="2"/>
        <scheme val="minor"/>
      </rPr>
      <t>1</t>
    </r>
    <r>
      <rPr>
        <sz val="11"/>
        <color theme="1"/>
        <rFont val="Calibri"/>
        <family val="2"/>
        <scheme val="minor"/>
      </rPr>
      <t xml:space="preserve">.    For this FAC, 1 loading dock assembly is provided.  </t>
    </r>
  </si>
  <si>
    <t>A common feature of ranges is the berm(s) used to attenuate debris from explosives and protect personnel from ordnance, shrapnel, and other airborne debris.  Berms are assumed to be constructed by bulldozers, piling and compacting soils.  CATCODE 93410 of the current PAX Newsletter will be used to price a berm at an assumed size of 2 M x 1 M x length as shown in the typical design found in TC 25-8.</t>
  </si>
  <si>
    <t>Bridge Crane, 10 ton, span = 75 ft (2 EA)</t>
  </si>
  <si>
    <t>Two overhead cranes are provided, applying the Overhead Crane Business Rule; both cranes ride on one craneway.   A craneway is included in the building's unit cost.  Aspect ratio is 226 FT X 452 FT</t>
  </si>
  <si>
    <t>Note: crane bay dimension assumed aspect ratio 1:2: 115 FT x 230 FT</t>
  </si>
  <si>
    <t>Note: crane bay dimension assumed aspect ratio 179 FT x 359 FT; two crane beams assumed on one set of rails</t>
  </si>
  <si>
    <t>Note: crane bay dimension assumed aspect ratio 57 FT x 114 FT</t>
  </si>
  <si>
    <t>Bridge Crane, 10 Ton capacity, 50 FT span, 1 EA</t>
  </si>
  <si>
    <t>Inflation Adjustment - MILCON Index</t>
  </si>
  <si>
    <t>HVAC for Labs, Moderate Climate, Average</t>
  </si>
  <si>
    <t>Overhead door, roll-up, 9'x9' door, 81 SF/door, 3 EA</t>
  </si>
  <si>
    <t>Overhead door electric operator, 3 EA</t>
  </si>
  <si>
    <t>Dock bumpers, 10 lf, 3 EA</t>
  </si>
  <si>
    <t>Dock seal, 10" projection, 3 EA</t>
  </si>
  <si>
    <t>Bridge Crane, 10 ton, span = 75 LF</t>
  </si>
  <si>
    <t>Bridge Crane, 10 Ton, 1 EA, Span = 50 FT</t>
  </si>
  <si>
    <t>Bridge Crane, 10 Ton, Span = 30 FT</t>
  </si>
  <si>
    <t xml:space="preserve">No UFC requirement exists for the incorporation of a loading dock.  As general guidance,  the Commercial Real Estate Development Association (NAIOP) provides an estimate of the average number of loading docks per square foot of industrial or warehouse averaging 1 dock per 7,500 sf of floor space.   For this FAC, 2 loading dock assemblies are provided.   
The guide specification for design of a loading dock is contained in the Unified Facilities Guide Specification (UFGS). 
The average number of floors is 1.38, yielding 0 elevators for the maximum number of occupants applying  the Elevator Business Rule.  
</t>
  </si>
  <si>
    <t>Dock bumpers, 10 LF, 2 EA</t>
  </si>
  <si>
    <t>Dock bumpers, 10 LF, 1 set</t>
  </si>
  <si>
    <t>Dock bumpers, 10 lf, 1 EA</t>
  </si>
  <si>
    <t>Craneway, 10 Ton, 100 FT x 2 = 200 FT</t>
  </si>
  <si>
    <t>Above Ground Fuel Storage, 1,000 GA, double wall</t>
  </si>
  <si>
    <t>Sprinkler, dry, 10,000 SF, average</t>
  </si>
  <si>
    <t>(Use same unit cost as CATCODE 21470, Hazardous Waste Storage -  TEMF)</t>
  </si>
  <si>
    <t xml:space="preserve">UFC 4-440-01 sets a requirement for loading docks.   A reasonable assumption is to include a loading dock based upon the function of this FAC.  The number of truck docks is calculated by a consideration of number of trucks arriving and loading/unloading time for the specific design.  Although the number of truck docks is calculated by a consideration of number of trucks arriving and loading/unloading time, the Commercial Real Estate Development Association (NAIOP)  provides an estimate of the average number of loading docks per square foot of warehouse space: 1:10,000.  For this FAC, 6 loading dock assemblies are provided.  An elevator is not provided as the average number of floors is 1.04; applying the Elevator Business Rule, no elevator is incorporated. 
</t>
  </si>
  <si>
    <t>Sprinkler, Dry System, 20,000K SF, Average</t>
  </si>
  <si>
    <t>Senior NCO, Grade E7&amp;E8, 3 Bedrooms</t>
  </si>
  <si>
    <t>Sprinkler, Wet System, average, 75,000 SF</t>
  </si>
  <si>
    <t>Overhead door, roll-up, 81 SF/door (9' X 9'), 2 EA</t>
  </si>
  <si>
    <t xml:space="preserve">Inflation Adjustment by MILCON Index 
</t>
  </si>
  <si>
    <t>Overhead door, Rollup, Manual Operation, 81 SF/door</t>
  </si>
  <si>
    <t xml:space="preserve">No elevators have been included in consonance with the Elevator Business Rule.  The average number of stories for this FAC is 1.26.
The ACA Design Guide identifies the incorporation of a truck loading dock for use by the maintenance department, for supplies deliveries and sanitation (laundry) .
</t>
  </si>
  <si>
    <t xml:space="preserve">No UFC requirement exists for the incorporation of a loading dock.
The average number of floors is 1.23.   
No elevator has been included in the estimated cost in consonance with the Elevator Business Rule.
</t>
  </si>
  <si>
    <t>A reasonable assumption is to include a loading dock based upon the function of this FAC.  The number of truck docks is calculated by a consideration of number of trucks arriving and loading/unloading time for the specific design.  As general guidance, the Commercial Real Estate Development Association (NAIOP) provides an estimate of the average number of loading docks per square foot of warehouse space, used in this case to represent the storage and display of foodstuffs.  Using that average of 7,500 sf of floor space per truck dock, 8 truck docks have been included in the unit cost.      
The guide specification for design of a loading dock is contained in the Unified Facilities Guide Specification . 
One (1) elevator is provided in consonance with the Elevator Business Rules.  Average number of floors above ground is 1.23.</t>
  </si>
  <si>
    <t>Sprinkler, Wet System, Average, 15,000 SF</t>
  </si>
  <si>
    <t>Dependent School: Average CONUS and OCONUS</t>
  </si>
  <si>
    <t>Boat Storage Building, Class S (substitute for C), Average</t>
  </si>
  <si>
    <t>Decking, 11,238 SF, 4" concrete, unreinforced</t>
  </si>
  <si>
    <t># of Spaces Modifier (40 Spaces)</t>
  </si>
  <si>
    <t>Goal posts, per pair</t>
  </si>
  <si>
    <t>Total for football</t>
  </si>
  <si>
    <t xml:space="preserve">Material guidance is provided in the referenced UFC and in the following Unified Facilities Guide Specification (UFGS): UFGS 11 68 13, Playground Equipment; UFGS 32 18 16.13, Playground Protective Surfacing; UFGS 32 31 13, Chain Link Fences and Gates; UFGS 32 92 19, Seeding; and, UFGS 32 93 00, Exterior Plants.
</t>
  </si>
  <si>
    <t>Transformer, 500 kVA, OIL FILLED, 15 kV W/ TAPS, 480 V SECONDARY 3 PHASE</t>
  </si>
  <si>
    <t>Transformer, 1,000 kVA, OIL FILLED, 15 kV W/ TAPS, 480 V SECONDARY, 3 PHASE</t>
  </si>
  <si>
    <t>Transformer, 2,000 KVA, OIL FILLED, 15 kV W/ TAPS, 480 V SECONDARY, 3 PHASE</t>
  </si>
  <si>
    <t>By FAC definition, "EA" refers to 1 pole/support structure within a lightning protection system.  Assume Poles are 40' tall.</t>
  </si>
  <si>
    <t>Note: Cost per BHP scaled using Marshall and Swift sample cost for 1000 and 6000 HP boilers at Section 62/1</t>
  </si>
  <si>
    <t xml:space="preserve">Unified Facilities Criteria (UFC) 3-401-01, "Mechanical Engineering," provides general guidance for the application of mechanical engineering principles for the selection and design of refrigeration and air conditioning systems.
Unified Facilities Guide Specifications (UFGS) provide guidance for reciprocating, absorption, vapor compression, and centrifugal  chillers.  
UFC 4-826-10, "Design: Refrigeration Systems for Cold Storage," provides design guidance for cold storage refrigeration systems.  
</t>
  </si>
  <si>
    <t>UFC 3-240-02, “Domestic Wastewater Treatment”, 1 November 2012
UFGS 46 20 20, “Sewage Bar Screen and Mechanical Shredder," February 2011
UFGS 46 30 13, “Advanced Oxidation Processes (AOP),” February 2011 
UFGS 46 43 21, “Circular Clarifier Equipment," February 2011, with Change 2, February 2013
UFGS 46 61 00, “Filtration Equipment," February 2011, with Change 1, August 2014
UFGS  46 73 00.35, “Sludge-Digester Gas, Heating and Mixing System," February 2011, with Change 1, August 2014 (Archived - no replacement)
UFGS 46 73 10, “Floating Cover for Sludge-Digestion Tanks,” February 2011 (Archived - no replacement)</t>
  </si>
  <si>
    <t>Sewer main, 9 FT Average depth, 8 IN plastic pipe</t>
  </si>
  <si>
    <t>Sewer clean outs, 60 FT o.c., EA</t>
  </si>
  <si>
    <t>Sewer manholes, 400 FT o.c., EA</t>
  </si>
  <si>
    <t>60 FT o.c.</t>
  </si>
  <si>
    <t>400 FT o.c.</t>
  </si>
  <si>
    <t>Sewer lateral, 5 FT average depth, 6 IN vitrified clay</t>
  </si>
  <si>
    <t xml:space="preserve">UFC 3-240-01, “Wastewater Collection”, 1 November 2012, with Change 2, 1 January 2019.
UFGS 33 30 00 “Sanitary Sewerage,” May 2018.
ASCE MOP 60, "Gravity Sanitary Sewer Design and Construction," 2nd Edition, January 1, 2007.
</t>
  </si>
  <si>
    <t>Incinerator, 2000 LB/HR extrapolated</t>
  </si>
  <si>
    <t>FT to TH</t>
  </si>
  <si>
    <t>600 GPM = 864 KG assume service factor of 75% (conversion factor = 648)</t>
  </si>
  <si>
    <t>Water main, 6 IN ductile iron</t>
  </si>
  <si>
    <t>Water main, 6 IN plastic</t>
  </si>
  <si>
    <t>Water lateral, 1 IN</t>
  </si>
  <si>
    <t>KG/Day</t>
  </si>
  <si>
    <t>Fire hydrants, 300 FT on center, EA</t>
  </si>
  <si>
    <t>Tunnel</t>
  </si>
  <si>
    <t>Bridge, highway, steel median per SF</t>
  </si>
  <si>
    <t>UFC 3-250-01, “Pavement Design for Roads and Parking Areas,"  14 November 2016.
UFC 3-250-09FA, “Aggregate Surfaced Roads and Airfield Areas,” 16 January 2004.
UFGS 32 13 13.06 , “Portland Cement Concrete Pavement for Roads and Site Facilities,” November 2011 with Change 2, August 2017.
UFGS 32 17 23, “Pavement Markings," August 2016, with Change 5, November 2018.</t>
  </si>
  <si>
    <t>UFC 3-250-01, “Pavement Design for Roads and Parking Areas",  14 November 2016.
UFC 3-250-09FA, “Aggregate Surfaced Roads and Airfield Areas,” 16 January 2004.
UFGS 32 13 13.06 , “Portland Cement Concrete Pavement for Roads and Site Facilities,” November 2011 with Change 2, August 2017.
UFGS 32 17 23, “Pavement Markings," August 2016, with Change 5, November 2018.</t>
  </si>
  <si>
    <t>Storm Manhole, 400 FT o.c.</t>
  </si>
  <si>
    <t>Assume height = 8 FT</t>
  </si>
  <si>
    <t>Concrete Foundation Wall, 6 IN, reinforced, SF</t>
  </si>
  <si>
    <t>Assume dike is a trapezoid; 10 FT top, 15 FT sides, 34 FT base.  1 side exposed to water.  198 CF / LF</t>
  </si>
  <si>
    <t>Add 25 FT wide gate, 1 per 1000 LF</t>
  </si>
  <si>
    <t>Chain Link Fence,  #9 wire, 8 FT height, per LF, posts 2 IN" round,    10 FT on center</t>
  </si>
  <si>
    <t>Deduction for "large installation" between 4,500 LF and 6,000 LF = 15%</t>
  </si>
  <si>
    <t>Chain Link Fence, 2 IN mesh, #7 wire, 12 FT, per LF; posts (2 IN round or "H" posts) set in concrete, 10 FT on centers</t>
  </si>
  <si>
    <t>25 FT wide gate, 12 FT high, 1 per 1000 LF</t>
  </si>
  <si>
    <t>Industrial Pump, 8 IN suction x 6 IN discharge, 60 HP, 1,750 RPM</t>
  </si>
  <si>
    <t>Overhead door, roll-up, std. 9 FT x9 FT = 81 SF</t>
  </si>
  <si>
    <t>Dock bumper, 10 FT length</t>
  </si>
  <si>
    <t>Dock seal, 10 IN projection</t>
  </si>
  <si>
    <t>Hazardous Material Drum Storage System; 2,000 LBS pneumatic hoist, and drum lift, 78- to 156-drum capacity, 100 drums assumed</t>
  </si>
  <si>
    <t>Assumed Size: 9 FT high, 10 FT x 10 FT</t>
  </si>
  <si>
    <t>Assume Size for EA = 12 FT wide x 30 FT long = 360 SF</t>
  </si>
  <si>
    <t>Note:  Layout of obstacle course from FM 7-22, "Army Physical Readiness Training," October 2012, and AFI 36-2202, "Air Force Obstacle Course Program," 07 August 2007.</t>
  </si>
  <si>
    <t>USACE PAX Newsletter 3.2.2, 4 Jan 2011</t>
  </si>
  <si>
    <t>Inflation Adjustment  by MILCON Index</t>
  </si>
  <si>
    <t>Car Wash Structure</t>
  </si>
  <si>
    <t xml:space="preserve">UFC 3-250-01, “Pavement Design for Roads and Parking Areas,"  14 November 2016.
UFC 3-250-09FA, “Aggregate Surfaced Roads and Airfield Areas,” 16 January 2004.
UFGS 32 13 13.06 , “Portland Cement Concrete Pavement for Roads and Site Facilities,” November 2011 with Change 2, August 2017.
</t>
  </si>
  <si>
    <t xml:space="preserve">UFC 4-832-01N, “Design: Industrial and Oily Wastewater Control,” 16 January 2004.
UFC 3-240-02, “Domestic Wastewater Treatment,” 1 November 2012, with Change 1, 01 January 2019.
UFC 3-460-01, “Design: Petroleum Fuel Facilities,” 16 July 2019. 
UFC 3-240-01, “Wastewater Collection,”  1 November 2012, with Change 2, 01 January 2019.
UFC 3-201-01, “Civil Engineering,” 1 April 2018, with Change 2, 19 March 2019. 
PWTB 200-1-38, “Guidelines for Complying with the Oil Pollution Prevention Regulation,” 31 October 2006 .
PWTB 200-1-87, “Operation and Maintenance for Central Vehicle Wash Facilities,” 3 March 2011.
40 CFR Part 264, “Standard for Owners and Operators of Hazardous Waste Treatment, Storage and Disposal Facilities.”
40 CFR Part 279, “Standards for the Management of Used Oil.” </t>
  </si>
  <si>
    <t xml:space="preserve">No Unified Facilities Criteria (UFC) criteria exist for component material.  Marshall and Swift is used to calculate the unit cost and is based upon commercial and public utility/governmental antennas. </t>
  </si>
  <si>
    <t xml:space="preserve">IBC Group B
UFC 4-440-01 requires compliance with the NFPA 13  and UFC 3-600-01 .  UFC 3-600-01, "Fire Protection Engineering for Facilities," refers the designer to the IBC.  The Fire Sprinkler Business Rule incorporates the requirements of National Fire Protection Association (NFPA) Standard 13, UFC 3-600-01 and the IBC.  Application of the Fire Sprinkler Business Rule requires a sprinkler system to be installed in this type of facility.
</t>
  </si>
  <si>
    <t>Military Cost Premium is included in included in component FACs unit cost.</t>
  </si>
  <si>
    <r>
      <t>FAC 1772 design criteria is found in U.S. Army Technical Circular (TC) TC 25-8.  Area:  20,000,000 M</t>
    </r>
    <r>
      <rPr>
        <vertAlign val="superscript"/>
        <sz val="11"/>
        <rFont val="Calibri"/>
        <family val="2"/>
        <scheme val="minor"/>
      </rPr>
      <t xml:space="preserve">2 </t>
    </r>
    <r>
      <rPr>
        <sz val="11"/>
        <rFont val="Calibri"/>
        <family val="2"/>
        <scheme val="minor"/>
      </rPr>
      <t>/ 4,942 AC.</t>
    </r>
    <r>
      <rPr>
        <vertAlign val="superscript"/>
        <sz val="11"/>
        <rFont val="Calibri"/>
        <family val="2"/>
        <scheme val="minor"/>
      </rPr>
      <t xml:space="preserve">.  </t>
    </r>
    <r>
      <rPr>
        <sz val="11"/>
        <rFont val="Calibri"/>
        <family val="2"/>
        <scheme val="minor"/>
      </rPr>
      <t>Range Dimensions 2,500 M X 8,000 M (TC 25-8, Figure H-10.2).  1 Acre = 4,047 M</t>
    </r>
    <r>
      <rPr>
        <vertAlign val="superscript"/>
        <sz val="11"/>
        <rFont val="Calibri"/>
        <family val="2"/>
        <scheme val="minor"/>
      </rPr>
      <t>2</t>
    </r>
    <r>
      <rPr>
        <sz val="11"/>
        <rFont val="Calibri"/>
        <family val="2"/>
        <scheme val="minor"/>
      </rPr>
      <t xml:space="preserve">.
There are 52 FAC 1772 records, with an average size of 2 each.  
This FAC aggregates multiple (1 AF, 7 Army and 3 Navy/Marine Corps) category codes.  Category code 17860, </t>
    </r>
    <r>
      <rPr>
        <i/>
        <sz val="11"/>
        <rFont val="Calibri"/>
        <family val="2"/>
        <scheme val="minor"/>
      </rPr>
      <t>Digital Multipurpose Range Complex (DMPRC)</t>
    </r>
    <r>
      <rPr>
        <sz val="11"/>
        <rFont val="Calibri"/>
        <family val="2"/>
        <scheme val="minor"/>
      </rPr>
      <t xml:space="preserve">, was chosen from TC 25-8, Table 2-2, as a conservative representative design/cost estimate.  
</t>
    </r>
  </si>
  <si>
    <t>Fine Grading for Roadways, Base or Levelling Course, Large Areas &gt; 6,000 SY;  11,525 SY</t>
  </si>
  <si>
    <t>Laboratory  Building, Class A/B, Average, with complete HVAC, including elevator</t>
  </si>
  <si>
    <t xml:space="preserve">No UFC requirement exists for the incorporation of a loading dock.  As general guidance, the Commercial Real Estate Development Association (NAIOP) provides an estimate of the average number of loading docks per square foot of industrial or warehouse averaging 1 dock per 7,500 sf of floor space.   For this FAC, 3 loading dock assemblies are provided.   
The guide specification for design of a loading dock is contained in the Unified Facilities Guide Specification (UFGS) . 
The average number of floors above ground is 1.63 yielding 1 elevator for the maximum number of occupants applying  the Elevator Business Rule.  
The Marshall and Swift building selected for this FAC includes elevators as part of the unit price.
</t>
  </si>
  <si>
    <t xml:space="preserve">Laboratory  Building, Class A/B, Average, with complete HVAC, including elevator </t>
  </si>
  <si>
    <t xml:space="preserve">No UFC requirement exists for the incorporation of a loading.  As general guidance, the Commercial Real Estate Development Association (NAIOP) provides an estimate of the average number of loading docks per square foot of industrial or warehouse averaging 1 dock per 7,500 sf of floor space.   For this FAC, 1 loading dock assembly are provided.   
The guide specification for design of a loading dock is contained in the Unified Facilities Guide Specification (UFGS). 
Average number of floors above ground is 1.54, yielding 1 elevator in consonance with the Elevator Business Rules.
</t>
  </si>
  <si>
    <t>No overhead crane is provided, applying the Overhead Crane Business Rule.   A craneway is not included in the building's unit cost.</t>
  </si>
  <si>
    <t>A bridge crane has been incorporated into the replacement unit cost in consonance with the Overhead Crane Business Rule.  A craneway is not included in the building's unit cost.</t>
  </si>
  <si>
    <t>Overhead door, Electric operator, EA</t>
  </si>
  <si>
    <t xml:space="preserve">OSD-based design criteria does not apply to Exchange (Army-Air Force, Navy or Marine Corps) facilities because they are non-appropriated fund activities. 
Applicable national, state, local codes apply.  Typical codes include:  International Building Code (IBC), National Fire Protection Association (NFPA) Codes (including the National Electrical Code, International Mechanical Code, and International Plumbing Code. </t>
  </si>
  <si>
    <t>CDC-Preschool, 232 children, 0-6 yrs.</t>
  </si>
  <si>
    <t>Theater seats, neighborhood theater type, upholstered; assume 1,000 seats</t>
  </si>
  <si>
    <t>Niche's do not come in standard size; Niches at Arlington National Cemetery are 10"W x 14"H x 19"D, or 1.54 CF</t>
  </si>
  <si>
    <t xml:space="preserve">American Society of Mechanical Engineers (ASME) Boiler and Pressure Vessel Code (BPVC) Section IV (2015)  governs the construction of the boiler (heat source).
Heat source controls are governed by ASME CSD-1-2015.  
Unified Facilities Criteria (UFC) 3-410-01 provides general guidance for the heating system, including sizing and heat loss calculation guidance. 
UFC 3-430-02FA  provides guidance for steam boilers, referring the design professional to the ASME code for specific requirements and criteria. 
UFC 3-430-08N  provides guidance for a variety of central heating plants, referring the design professional to the ASME code for specific requirements and criteria. 
</t>
  </si>
  <si>
    <t xml:space="preserve">UFC  3-230-01, “Water Storage, Distribution, and Transmission," 01 September 2018, with Change 1, 01 October 2018.
UFGS 33 11 00, “Water Utility Distribution Piping,”  01 February 2018.
</t>
  </si>
  <si>
    <t xml:space="preserve">No UFC requirement exists for the incorporation of a loading dock and no elevator is provided as this is neither a facility nor building.
</t>
  </si>
  <si>
    <t xml:space="preserve">Title 42 United States Code, "The Public Health and Welfare."
40 CFR Parts 261, "Identification and Listing of Hazardous Waste;" 262, "Standards Applicable to Generators of Hazardous Waste;" and, 266, "Standards for the Management of Specific Hazardous Wastes and Specific Types of Hazardous Waste Management Facilities."
DoD Instruction (DoDI) 4715.06, “Environmental Compliance in the United States,” May 4, 2015, incorporating Change 1, 27 October 2017.                                                                                                                                                                                        UFGS 02 81 00, “Transportation and Disposal of Hazardous Materials,” 1 November 2018.
PWTB 200-1-76, “Universal Waste Management and Disposal,” 23 March 2010.
</t>
  </si>
  <si>
    <t xml:space="preserve">No UFC requirement exists for the incorporation of a loading dock and no elevator is provided as this is not a facility nor building
</t>
  </si>
  <si>
    <t xml:space="preserve">No UFC requirement exists for the incorporation of a loading dock and no elevator is provided as the category codes aggregated in this FAC are not buildings.
</t>
  </si>
  <si>
    <t xml:space="preserve">Note: "Section" refers to the Marshall &amp; Swift (M&amp;S) Marshall Valuation Guide (MVG) section and page which contains a profile of the facility used for this FAC as well as additional information on the features included in the MVG facility.  The "Area Adjustment" is the "local multiplier"  (Section 99, Pages 5 thru 10), which reflects local cost conditions and is designed to adjust the basic costs to each locality.   "Current Cost Multiplier" (Section 99, Page 3) are the multipliers to update costs.  Costs in each section are updated on a three-year cycle.  The current cost multiplier is republished monthly and is based upon nationally recognized building cost indices.  To obtain the current replacement value the cost shown in each section ("refined" by additions such as sprinklers, elevators, etc.) is multiplied by the current cost multiplier and the local multiplier; that is: Unit Cost x Current Cost Multiplier x Local Multiplier = Final Replacement Cost. </t>
  </si>
  <si>
    <t>Inflation Adjustment 
by MILCON Index</t>
  </si>
  <si>
    <t>Note 1:  The historical index through October 2007 is the Engineering News Record Building Construction Index (ENR BCI).</t>
  </si>
  <si>
    <t>Note 2:  The historical index from October 2007 is the DoD Selling Price Index (SPI), representing the average of the RLB Construction Cost Index, Turner Construction Cost Index, and Saylor Subcontracting Index.  DoD established the SPI to more accurately represent actual (historical) market escalation as experienced by DoD as the project owner for the type of construction in the portfolio.  Previously, DoD used the Engineering News Record Building Cost Index (BCI).  The BCI tracks the cost of three basic materials and one skilled labor type, but does not account for other pricing influences (such as risk and competition) that impact total delivered price to the project owner.  Saylor ceased publishing their index in October 2009, and the BLS PPI for NAICS 236223 is now the third index used in the computation.</t>
  </si>
  <si>
    <t>PAX Newsletter, 20 Mar 2009</t>
  </si>
  <si>
    <t>PAX Newsletter, 15 Sep 2010</t>
  </si>
  <si>
    <t>PAX Newsletter, 4 Jan 2011</t>
  </si>
  <si>
    <t>PAX Newsletter, 28 Mar 2012</t>
  </si>
  <si>
    <t>PAX Newsletter, 5 May 2013</t>
  </si>
  <si>
    <t>PAX Newsletter, 24 July 2014</t>
  </si>
  <si>
    <t>PAX Newsletter, 30 Sep 2015</t>
  </si>
  <si>
    <t>PAX Newsletter, 16 May 2016</t>
  </si>
  <si>
    <t>PAX Newsletter, 6 April 2017</t>
  </si>
  <si>
    <t>PAX Newsletter, 30 May 2018</t>
  </si>
  <si>
    <t>PAX Newsletter, 30 May 2019</t>
  </si>
  <si>
    <t>Structural steel columns and beams, fireproofed with masonry, concrete, plaster or other noncombustible material.</t>
  </si>
  <si>
    <t>Concrete on steel deck, fireproofed.</t>
  </si>
  <si>
    <t>Formed concrete, precast slabs, concrete or gypsum on steel deck, fireproofed.</t>
  </si>
  <si>
    <t>Nonbearing curtain walls, masonry, concrete, metal and glass panels, stone, steel studs and masonry, tile or stucco, etc..</t>
  </si>
  <si>
    <t>Reinforced concrete columns and beams, fire-resistant construction.</t>
  </si>
  <si>
    <t>Concrete or concrete on steel deck, fireproofed.</t>
  </si>
  <si>
    <t>Masonry or concrete loadbearing walls with or without pilasters. Masonry, concrete or curtain walls with full or partial open steel, wood or concrete frame.</t>
  </si>
  <si>
    <t>Wood or concrete plank on wood or steel floor joists or concrete slab on grade.</t>
  </si>
  <si>
    <t>Wood or steel joists with wood or steel deck; concrete plank.</t>
  </si>
  <si>
    <t>Facilities designed to mitigate explosive overpressures, or high rises: FACs 1491, 2121, 2123, 2125, 2136, 2152, 2153, 2154, 2161,2162, 2163, 2211, 2221, 2251, 2252, 2261, 2262, 3151, 3161, 3181, 4212, 4231, 6107.</t>
  </si>
  <si>
    <t>Wood or steel deck on steel floor joists, or concrete slab on grade.</t>
  </si>
  <si>
    <t>Facilities designed to protect from weather facilities used for utility or industrial purpose in the 8000 FAC series.</t>
  </si>
  <si>
    <t>BL</t>
  </si>
  <si>
    <t>OL</t>
  </si>
  <si>
    <t>PUC</t>
  </si>
  <si>
    <t>Academic Instruction Building: General Instruction (Lecture Classroom)</t>
  </si>
  <si>
    <t>PUC with Military Construction Premium</t>
  </si>
  <si>
    <t>PUC with Military Cost Premium</t>
  </si>
  <si>
    <t>Weighted Average PUC</t>
  </si>
  <si>
    <t>PUC with Military Cost Premium.  Survey cost data comprised of commercial assets.</t>
  </si>
  <si>
    <t xml:space="preserve">Although no design criteria requires the incorporation of a loading dock, the likelihood of food deliveries drives the additional of one dock in the PUC calculation.
Two elevators (one passenger, one freight) are provided in consonance with the Elevator Business Rule.
</t>
  </si>
  <si>
    <t>Weighted PUC</t>
  </si>
  <si>
    <t>Multiple Category Codes; Assume 10 FT x 10 FT</t>
  </si>
  <si>
    <t>Table 2, UFC 3-701-1, Change 5, 3 February 2020</t>
  </si>
  <si>
    <t>TC 25-8 Standard Size</t>
  </si>
  <si>
    <t xml:space="preserve">The average area of this FAC is 5,698 SF.
The International Building Code Occupancy Group assigned is F, Factory.
</t>
  </si>
  <si>
    <t>Military Cost Premium not applied as cost derived from MILCON</t>
  </si>
  <si>
    <t>USACE PAX Newsletter 3.2.2, 20 May 2020</t>
  </si>
  <si>
    <t>Note 2 in USACE PAX 3.2.2:  Last year's (2019) unit cost (UC) escalated 1 year. Not enough projects awarded to forecast UC.</t>
  </si>
  <si>
    <t>Marshall and Swift Valuation, October 2020</t>
  </si>
  <si>
    <t>USACE PAX Newsletter 3.2.2, 20 March 2020</t>
  </si>
  <si>
    <t>The average record size in the 2019 RPAD is 35.6 miles.</t>
  </si>
  <si>
    <t>Divided by 2020 DoD ACF for Arlington, VA</t>
  </si>
  <si>
    <t>Utility Vault / Utility Tunnel, Medium Soil, 5 - 7 IN walls, CF, including lighting and drainage</t>
  </si>
  <si>
    <t>Control Tower (Stand Alone)</t>
  </si>
  <si>
    <t>Welded Steel Pressure Tank, 9,000 GA</t>
  </si>
  <si>
    <t>Welded Steel Pressure Tank, 15,000 GA</t>
  </si>
  <si>
    <t>Elevator, Passenger, Base Cost, 2-3 story, Average</t>
  </si>
  <si>
    <t>USACE PAX Newsletter 3.2.2, 16 May 2016;                    UFC 4-214-03, 17 March 2018</t>
  </si>
  <si>
    <t>Ship &amp; Boat Dock, Heavy Construction, Heavy wood girders, 4"  or heavier decking, Heavy Piling;  includes railing, utilities, fenders; exclusive of buildings</t>
  </si>
  <si>
    <t>Loading dock (Shipping Dock),Structural Steel or concrete piers and frame, good lighting, 2 EA @ 144 SF</t>
  </si>
  <si>
    <t>Grease Rack (2011)</t>
  </si>
  <si>
    <t>Cut/fill/compact: track between obstacles, medium earth = 17 * 30 YD x 6 YD = 3,060 SY * 2/3 YD average depth = 2,040 CY</t>
  </si>
  <si>
    <t>Control Tower - Standard Instrumented</t>
  </si>
  <si>
    <t>Control Tower - Standard Small Arms</t>
  </si>
  <si>
    <t xml:space="preserve">USACE PAX Newsletter 3.2.2, 20 March 2020                                                     </t>
  </si>
  <si>
    <t>Backfill and Compaction, Dozer, One 12" lift</t>
  </si>
  <si>
    <t>Asphalt Plant, assume 180 tons / hour (TH) production rate (Class Average)</t>
  </si>
  <si>
    <t>Clean Room, 100-10 microns, prefabricated hardwall,  400 SF;   Assume 6 clean rooms</t>
  </si>
  <si>
    <t>Clean Room, 100-10 microns, prefabricated hardwall, 300 SF;   Assume 1 clean room</t>
  </si>
  <si>
    <t>Bridge Crane, 10 ton, span = 75 LF, 2 EA</t>
  </si>
  <si>
    <t>Industrial, Engineering (Research &amp; Development) Building, Class B, Average, including elevator (Deduct $2.48/SF for no included elevator)</t>
  </si>
  <si>
    <t>Craneway electrical conductor assembly, 200 LF</t>
  </si>
  <si>
    <t>Dock bumpers, 10 LF,  1EA</t>
  </si>
  <si>
    <t>Water Well, w/o pump, 130' deep, 5" casing, Average, assume 2 monitoring wells</t>
  </si>
  <si>
    <t>Complete HVAC, Excellent, Sharp Freeze, Extreme Climate</t>
  </si>
  <si>
    <t>Complete HVAC, Good,  Chiller/Freezer, Extreme Climate</t>
  </si>
  <si>
    <t>Laboratory Building, Class A-B, Average, including elevators</t>
  </si>
  <si>
    <t>Cold Storage Facility, Class A-B, Average</t>
  </si>
  <si>
    <t>Mortuary/Funeral Home, Class A-B, Average</t>
  </si>
  <si>
    <t>Scoreboard, Outdoor, &gt;75 SF</t>
  </si>
  <si>
    <t>SPACE</t>
  </si>
  <si>
    <t>SPACE to SY</t>
  </si>
  <si>
    <t xml:space="preserve">Concrete Slab, unreinforced, 100 SF </t>
  </si>
  <si>
    <t>Convalescent Hospital, Class B, Average, with Elevators</t>
  </si>
  <si>
    <t>Dock bumpers, horizontal, 10 LF/door</t>
  </si>
  <si>
    <t>Operations/Storage Building, Small</t>
  </si>
  <si>
    <t xml:space="preserve">Range Classroom Building </t>
  </si>
  <si>
    <t>18/23</t>
  </si>
  <si>
    <t>PRIVATE VEHICLE INSECTION STATION</t>
  </si>
  <si>
    <t>1.O21</t>
  </si>
  <si>
    <t>Service Garage, Class C, Average</t>
  </si>
  <si>
    <t>Sprinkler, Wet System, Average, 3,000 SF, Wet System</t>
  </si>
  <si>
    <t>Transient Training Officers Quarters (Newsletter, 20 March 2020)</t>
  </si>
  <si>
    <t>Senior Enlisted Officers Quarters, Transient (Newsletter, 16 May 2016)</t>
  </si>
  <si>
    <t>USACE PAX Newsletter 3.2.2, Various Dates</t>
  </si>
  <si>
    <t>Outdoor Kennel Run, Mesh Cover (Roof Area), 800 SF @ $6.06/SF</t>
  </si>
  <si>
    <t>Deduct 20% for gunnite pools</t>
  </si>
  <si>
    <t>Fence, 6 FT, #9 wire, per LF (Add $2.22/LF for Rails)</t>
  </si>
  <si>
    <t>Gates, 5 FT wide, 6 FT high, 4 EA</t>
  </si>
  <si>
    <t>Bleachers with built-in training rooms, restrooms, snack bar,  college or small municipal stadium type</t>
  </si>
  <si>
    <t>Cost from MILCON project DD Form 1354; constructed in 2008.  
Area adjustment = Marshall and Swift Local Multiplier (Class C) for Arlingon, VA (1.07) / 2019 DoD Area Cost Factor for Arlington, VA. (1.01).
184 Memorial Units (EA) at the Pentagon Memorial.</t>
  </si>
  <si>
    <t>Standby Generator, Diesel, 3 Phase / 4 Wire, 750 KW</t>
  </si>
  <si>
    <t>Marshall and Swift Valuation, October 2017</t>
  </si>
  <si>
    <t>Number</t>
  </si>
  <si>
    <t xml:space="preserve">Industrial Inverter, 3-Phase, grid-tie, 300 KW, High Cost </t>
  </si>
  <si>
    <t>Charge Controller, 60 amp, 20 each, High Cost</t>
  </si>
  <si>
    <t>Industrial Deep-Cycle Battery Pack, 24 volt, High Cost</t>
  </si>
  <si>
    <t>Solar Module, 300 W, High Cost</t>
  </si>
  <si>
    <t>Overhead Lines below 15 KV, with Cross Arms and Insulators</t>
  </si>
  <si>
    <t>Steel stack, 36 " diameter, 3/8", including foundation, 30 FT high (Cost per foot of height)</t>
  </si>
  <si>
    <t xml:space="preserve">The average quantity for this FAC is 42,885,137 BH (Btu/hr.).  The common industry unit of measure is “MB”, thousands of Btu/hr. 
This FAC does not represent a building and therefore has no International Building Code Occupancy Group.
</t>
  </si>
  <si>
    <t xml:space="preserve">Common Conduit Underground (UGND) - Combined Steam (ST) Supply &amp; Condensate (CNDS) Return (RTN) Lines. Prefabricated Black Steel (PBS) Pipe, Insulated (INSL) Cases), including Fittings (FTG) and Testing (TST) and Steam Manholes @ 250 FT On Center (O.C.), 3 FT Deep Excavation  and Backfill </t>
  </si>
  <si>
    <t>2 IN ST Supply &amp; 1-1/4" CNDS Return PBS Pipe, in 12-3/4" INSL Case (Manholes (MH) @ 250 FT On Center ( O.C.))</t>
  </si>
  <si>
    <t>1-1/2" ST Supply &amp; 1-1/2" CNDS Return, in 10-3/4" INSL Case (MH @ 250 FT  O.C.)</t>
  </si>
  <si>
    <t xml:space="preserve">1-1/4" ST Supply &amp; 1-1/2" CNDS Return, in 10-3/4" INSL Case (MH @ 250' O.C.) </t>
  </si>
  <si>
    <t>1-1/4" PBS ST Pipe,  in 12-3/4 " INSL Case on Supports</t>
  </si>
  <si>
    <t>3" PBS ST Pipe, in 14" INSL Case on Supports</t>
  </si>
  <si>
    <t xml:space="preserve">4" PBS ST Pipe, in 14" INSL Case on Supports </t>
  </si>
  <si>
    <t>6" PB ST Pipe, in 18" INSL Case on  Supports</t>
  </si>
  <si>
    <t>Concrete Trench with Cover for ST and HW Piping: 18" Deep X 24" Wide X 6" Thick Wall with Concrete Cover</t>
  </si>
  <si>
    <t>2" PBS ST Pipe, in 12-3/4" INSL Case on Supports</t>
  </si>
  <si>
    <t>Common Conduit  - Combined Hot Water (HW) Supply &amp; Return (RTN) Pipes, PBS, INSL Case, including Excavation, Backfill, FTG and TST</t>
  </si>
  <si>
    <t>1" HW &amp; 1" RTN Pipe in 10-3/4" PBS INSL Case</t>
  </si>
  <si>
    <t xml:space="preserve">1-1/2" HW &amp; 1-1/2" RTN Pipe in 10-3/4" PBS INSL Case </t>
  </si>
  <si>
    <t>2" HW &amp; 2" RTN Pipe in 10-3/4" PBS INSL Case</t>
  </si>
  <si>
    <t>3" HW &amp; 3" RTN Pipe in 16" PBSINSL Case</t>
  </si>
  <si>
    <t>4"HW &amp; 4" RTN Pipe in 10" PBS INSL Case</t>
  </si>
  <si>
    <t>Average Common Conduit ST Lines, UGND</t>
  </si>
  <si>
    <t xml:space="preserve">Single Conduit - ST or High Pressure Water (HPW) PBS Pipe with INSL Case on Supports, including FTG and TST </t>
  </si>
  <si>
    <t>Average Single Conduit ST or HPW Pipes, UGND</t>
  </si>
  <si>
    <t>Average Common Conduit HW Pipes, UGND</t>
  </si>
  <si>
    <t>Air Compressor, 20 HP</t>
  </si>
  <si>
    <t>Utility Piping, Pressure Pipe, 4" Steel, 520 FT Total Length</t>
  </si>
  <si>
    <t>Total to BH</t>
  </si>
  <si>
    <t>Utility Piping, pressure pipe, 6", steel,including trenching and backfill</t>
  </si>
  <si>
    <t>Valve, Steel, General Duty,  6", 1 per 316 FT block</t>
  </si>
  <si>
    <t>Sewage Treatment Plant, Large, Municipal, 1M-5M GA/Day</t>
  </si>
  <si>
    <t>Waste System Separator, High Cost</t>
  </si>
  <si>
    <t>9" casing, Average, 200 FT, $56.00/FT</t>
  </si>
  <si>
    <t>Average of mains and lateral</t>
  </si>
  <si>
    <t>EA to GM</t>
  </si>
  <si>
    <t>Water Pump, 500 GPM, 4" Diesel Pump, 125 PSI, 78 HP, Including Controller, Fittings, &amp; Relief Valve, No Building</t>
  </si>
  <si>
    <t>Water Pump, 1,000 GPM, 4" Diesel Pump, 100 PSI, 89 HP, Including Controller, Fittings, &amp; Relief Valve, No Building</t>
  </si>
  <si>
    <t>Water Pump, 2,000 GPM, 6" Diesel Pump, 100 PSI, 167 HP, Including Controller, Fittings, &amp; Relief Valve, No Building</t>
  </si>
  <si>
    <t>Water Pump, 1,000 GPM, 5" Electric Pump, 100 PSI, 86 HP, 3,500 RPM, Including Controller, Fittings, &amp; Relief Valve, No Building</t>
  </si>
  <si>
    <t>Water main, 6" plastic</t>
  </si>
  <si>
    <t>Water main, 6" steel</t>
  </si>
  <si>
    <t>Welded steel, surface reservoir, 1,000,000 GA, $0.85/GA</t>
  </si>
  <si>
    <t>Welded steel, surface reservoir, 750,000 GA, $0.85/GA</t>
  </si>
  <si>
    <t xml:space="preserve">The average quantity for this FAC is 112 SY (square yards).  This FAC does not represent a building and therefore has no International Building Code Occupancy Group.
</t>
  </si>
  <si>
    <t>The average quantity for this FAC is 2,302 SY.  This FAC does not represent a building and therefore has no International Building Code Occupancy Group.</t>
  </si>
  <si>
    <t>Pipe, Drainage System, 10",  Average Cost</t>
  </si>
  <si>
    <t>Pipe, Drainage System, 12",  Average Cost</t>
  </si>
  <si>
    <t>Stormwater Drainage (SD)  Ponds, includes fence, seeding slopes, partial liner and excavation; 1/8 acre, 5 FT deep</t>
  </si>
  <si>
    <t>SD Ponds, includes fence, seeding slopes, partial liner and excavation; 1/4 acre, 5 FT deep</t>
  </si>
  <si>
    <t>SD Ponds, includes fence, seeding slopes, partial liner and excavation; 3/8 acre, 5 FT deep</t>
  </si>
  <si>
    <t>SD Ponds, includes fence, seeding slopes, partial liner and excavation; 1/2 acre, 5 FT deep</t>
  </si>
  <si>
    <t>325,851.432 gallons in 1 acre-foot</t>
  </si>
  <si>
    <t>Quantity deduction for &gt;2,000 LF</t>
  </si>
  <si>
    <t>Restaurant, Class C, Average</t>
  </si>
  <si>
    <t>Mechanical Building, Class S (Marshall and Swift Valuation, October 2017)</t>
  </si>
  <si>
    <t>Bakery Plant; Class C, D, &amp; S; including heating and/or cooling (Marshall and Swift Valuation, October 2017)</t>
  </si>
  <si>
    <t>Central laundry and dry cleaning plant, average cost (Marshall and Swift Valuation, October 2017)</t>
  </si>
  <si>
    <t>Mechanical Building, Class "S" (Marshall And Swift Valuation, October 2017)</t>
  </si>
  <si>
    <t xml:space="preserve">Waste transfer and recycling buildings with tipping floor and small office, excluding equipment. Class C/D/S </t>
  </si>
  <si>
    <t>Truck scales, Fixed, 50 Ton</t>
  </si>
  <si>
    <t>Utility Vault / Utility Tunnel, Medium Soil, 5" -7" wall, CF</t>
  </si>
  <si>
    <t>Hazardous Material Storage Cabinet meeting OSHA 1910.106 and NFPA 30 codes, 18-gauge steel, Double wall construction, manual close hinged doors</t>
  </si>
  <si>
    <t>Gas main, 4" plastic</t>
  </si>
  <si>
    <t>Gas main, 3" steel</t>
  </si>
  <si>
    <t>Utility tunnel, 3" - 5" wall, medium soil, 5 FTx7 FT cross-section</t>
  </si>
  <si>
    <t>Percentage of Inventory</t>
  </si>
  <si>
    <t>Utility tunnel, 3" - 5" wall, medium soil, 2 FT x 2 FT cross-section</t>
  </si>
  <si>
    <t>Utility tunnel, 5" - 7" wall, medium soil, 2 FT x 4 FT cross-section</t>
  </si>
  <si>
    <t>Utility tunnel, 7" - 10" wall, medium soil, 4 FT x 4 FT cross-section</t>
  </si>
  <si>
    <t xml:space="preserve">The average area for this FAC is 1,418 SF. 
International Building Code (IBC) Occupancy Group H.
</t>
  </si>
  <si>
    <t>Prorating of CATCODEs within FAC 8951 detailed below</t>
  </si>
  <si>
    <t>BHP</t>
  </si>
  <si>
    <t xml:space="preserve">Unenclosed Fire Fighter Trainer Facility </t>
  </si>
  <si>
    <t>Enclosed Fire Fighter Trainer Facility</t>
  </si>
  <si>
    <t>Fire Training Tower, Average, Add 45% for insulated tiles</t>
  </si>
  <si>
    <t>GA to SF</t>
  </si>
  <si>
    <t>Welded Steel Pressure Tank, 4 EA, 9,000 GA EA</t>
  </si>
  <si>
    <t>Industrial Pump, 4 EA, 2.5" Suction, 7.5 HP 3,550 RPM</t>
  </si>
  <si>
    <t>Black Steel Threaded Pipe, 2" non-buried, 1,800 LF</t>
  </si>
  <si>
    <t>LF to SF</t>
  </si>
  <si>
    <t xml:space="preserve">Reference Size </t>
  </si>
  <si>
    <t>Table 2, UFC 3-701-1, March 2013</t>
  </si>
  <si>
    <t>Tennis Court, 7,200 SF (with apron), concrete, net, striping</t>
  </si>
  <si>
    <t>Aircraft Arresting System</t>
  </si>
  <si>
    <t>Assembly</t>
  </si>
  <si>
    <t>Quantity</t>
  </si>
  <si>
    <t>Material</t>
  </si>
  <si>
    <t>Labor</t>
  </si>
  <si>
    <t>Equipment</t>
  </si>
  <si>
    <t>Bare</t>
  </si>
  <si>
    <t>Total with O&amp;P</t>
  </si>
  <si>
    <t>Airfield Pavement Lighting</t>
  </si>
  <si>
    <t>Airfield Lighting</t>
  </si>
  <si>
    <t>Fixed-Wing Runway, Surfaced (Heavy)</t>
  </si>
  <si>
    <t xml:space="preserve">PACES 1.4;
UFC 3-260-02, 30 June 2001 </t>
  </si>
  <si>
    <t>G1030050510</t>
  </si>
  <si>
    <t>Dry Roll Gravel, Steel Roller</t>
  </si>
  <si>
    <t>G2010010101</t>
  </si>
  <si>
    <t>Cement Stabilized Base</t>
  </si>
  <si>
    <t>G2010010102</t>
  </si>
  <si>
    <t>Gravel, Delivered &amp; Dumped</t>
  </si>
  <si>
    <t>G2010030310</t>
  </si>
  <si>
    <t>Prime Coat</t>
  </si>
  <si>
    <t>G2060010102</t>
  </si>
  <si>
    <t>Jointed Concrete, Place &amp; Finish, 13" - 27"</t>
  </si>
  <si>
    <t>G2060020501</t>
  </si>
  <si>
    <t>Plastic Grooving (Transverse)</t>
  </si>
  <si>
    <t>G2060020801</t>
  </si>
  <si>
    <t>Field Mix Concrete</t>
  </si>
  <si>
    <t>G2060020803</t>
  </si>
  <si>
    <t>Haul Concrete To Paver</t>
  </si>
  <si>
    <t>G2060030701</t>
  </si>
  <si>
    <t>Construction Joint, 10"</t>
  </si>
  <si>
    <t>G2060030702</t>
  </si>
  <si>
    <t>Contraction Joint, 10"</t>
  </si>
  <si>
    <t>G2060030703</t>
  </si>
  <si>
    <t>Expansion Joint, 10"</t>
  </si>
  <si>
    <t>G2060052740</t>
  </si>
  <si>
    <t>Reflective White Paint</t>
  </si>
  <si>
    <t>G2060052741</t>
  </si>
  <si>
    <t>Reflective Yellow Paint</t>
  </si>
  <si>
    <t>G2060052742</t>
  </si>
  <si>
    <t>Non-Reflective Yellow Paint</t>
  </si>
  <si>
    <t>G2060052743</t>
  </si>
  <si>
    <t>Non-Reflective Black Paint</t>
  </si>
  <si>
    <t>Heavy Total</t>
  </si>
  <si>
    <t>Fixed-Wing Runway, Surfaced (Medium)</t>
  </si>
  <si>
    <t>G2060010101</t>
  </si>
  <si>
    <t>Jointed Concrete, Place &amp; Finish, 4" - 12"</t>
  </si>
  <si>
    <t>Medium Total</t>
  </si>
  <si>
    <t>Fixed-Wing Runway, Surfaced (Light)</t>
  </si>
  <si>
    <t>Light Total</t>
  </si>
  <si>
    <t>Light</t>
  </si>
  <si>
    <t>Medium</t>
  </si>
  <si>
    <t>Heavy</t>
  </si>
  <si>
    <t>Expansion Joint, 254.00mm (10")</t>
  </si>
  <si>
    <t>G2010030312</t>
  </si>
  <si>
    <t>TON</t>
  </si>
  <si>
    <t>Runway Overrun Area, Surfaced</t>
  </si>
  <si>
    <t>Asphalt Wearing Course,1 Pass (Line Item Including 5% Waste)</t>
  </si>
  <si>
    <t>Jointed Concrete, Place &amp; Finish, 101.60mm - 304.80mm (4" - 12")</t>
  </si>
  <si>
    <t>Runway, Unsurfaced</t>
  </si>
  <si>
    <t>Taxiway, Surfaced</t>
  </si>
  <si>
    <t>Aircraft Apron, Surfaced</t>
  </si>
  <si>
    <t>Missile Launching Pad, Surfaced</t>
  </si>
  <si>
    <t>Aircraft Pavement Shoulder</t>
  </si>
  <si>
    <t>RPAD % of Inventory</t>
  </si>
  <si>
    <t>Aircraft Rinse Facility</t>
  </si>
  <si>
    <t>Study Average  Size</t>
  </si>
  <si>
    <t>Vehicle Fueling Facility</t>
  </si>
  <si>
    <t>Aircraft Operating Fuel Storage</t>
  </si>
  <si>
    <t>POL Pipeline</t>
  </si>
  <si>
    <t>POL Pump Station</t>
  </si>
  <si>
    <t>Aircraft Direct Fueling Facility</t>
  </si>
  <si>
    <t>Aircraft Blast Deflector</t>
  </si>
  <si>
    <t xml:space="preserve">Heavy PUC </t>
  </si>
  <si>
    <t>Medium PUC</t>
  </si>
  <si>
    <t>Light PUC</t>
  </si>
  <si>
    <t>Heavy PUC</t>
  </si>
  <si>
    <t xml:space="preserve">The design size for this FAC is 17,000 SF.  NFPA 1402 recommends a minimum facility size of 20 FT x 20 Ft with 4 stories of 10 ft height each.  Incorporating the training spaces listed in the UFC, a facility size of 50 ft x 50 ft, with 10 ft floor heights and 4 floors has been chosen as the basis of the PUC. </t>
  </si>
  <si>
    <t>Note:  Crane bay dimension assumed aspect ratio 1:2, 78' x 156'; see Overhead Crane Business Rule tab</t>
  </si>
  <si>
    <t>Footnote</t>
  </si>
  <si>
    <t>Cut-and-Cover Bulk Liquid Fuel Storage</t>
  </si>
  <si>
    <t xml:space="preserve">IBC use group M (Mercantile).
The IBC requires an automatic sprinkler when the fire area exceeds 12,000 SF, which is the case for the commissary.  A sprinkler is included in the PUC.
</t>
  </si>
  <si>
    <t>Electrical Power Substation</t>
  </si>
  <si>
    <t>Electrical Power Switching Station</t>
  </si>
  <si>
    <t>Average PUC</t>
  </si>
  <si>
    <t>Grounds Drainage Dams</t>
  </si>
  <si>
    <t>UFC 4-022-01, “Security Engineering:  Entry Control Facilities/Access Control Points, 27 July 2017.  
UFC 4-022-03, “Security Fences and Gates,” 1 October 2013.
ASCE 7-10, "Minimum Design Loads for Buildings and Other Structures,"  Third Printing, 2013.
UFGS 32 31 26, “Wire Fences and Gates,” April 2008.                                                                                                                                                                                                                                                                                                                    UFGS 32 31 13, “Chain Link Fences and Gates,”  November 2016, with Change 1, May 2017.
UFGS 32 32 23, “Segmental Concrete Block Retaining Wall,” April 2008, with Change 1 of August 2014.</t>
  </si>
  <si>
    <t>Notes:  PRV Unit Costs (PUC) are not size adjusted.  If available, reference size from source pricing guide is republished for end-user calculation.</t>
  </si>
  <si>
    <r>
      <t>Unified Facilities Criteria (UFC) 4-440-01 sets a requirement for loading docks.  The number of truck docks is calculated by a consideration of number of trucks arriving and loading/unloading time for the specific design. Although the number of truck docks is calculated by a consideration of number of trucks arriving and loading/unloading time, the Commercial Real Estate Development Association (NAIOP)  provides an estimate of the average number of loading docks per square foot of warehouse space: 1:10,000.</t>
    </r>
    <r>
      <rPr>
        <i/>
        <sz val="11"/>
        <rFont val="Calibri"/>
        <family val="2"/>
        <scheme val="minor"/>
      </rPr>
      <t xml:space="preserve"> </t>
    </r>
    <r>
      <rPr>
        <sz val="11"/>
        <rFont val="Calibri"/>
        <family val="2"/>
        <scheme val="minor"/>
      </rPr>
      <t xml:space="preserve">For this FAC, 13 loading dock assemblies are provided.  An elevator is not provided as the average number of floors is 1.13; applying the Elevator Business Rule, no elevator is incorporated.   Unified Facilities Guide Specification (UFGS) 11 13 19.13, Loading Dock Levelers, applies.
</t>
    </r>
  </si>
  <si>
    <t>H-Frame Distribution Lines, 15-69 KV, Short Lines with Cross Arms and Insulators</t>
  </si>
  <si>
    <t xml:space="preserve">UFC 3-230-03, “Water Treatment,” 1 November 2012, with Change 1, 1 September 2018. 20 
UFGS 02 51 13, "Precipitation/Coagulation/Flocculation Water Treatment," 1 May 2010.                                                                                                                                                                                                                                                                                                                                                                      UFGS 33 30 00, “Sanitary Sewerage,” 1 May 2018. 
</t>
  </si>
  <si>
    <r>
      <t xml:space="preserve">The 35  space/SY conversion is 315 SF/space </t>
    </r>
    <r>
      <rPr>
        <sz val="11"/>
        <rFont val="Calibri"/>
        <family val="2"/>
      </rPr>
      <t>÷ 9 SF/SY</t>
    </r>
  </si>
  <si>
    <t>PAX Newsletter, 20 March 2020</t>
  </si>
  <si>
    <r>
      <t xml:space="preserve">Incorporating Military Cost Premium (MCP) into PRV Unit Costs (PUCs)
</t>
    </r>
    <r>
      <rPr>
        <b/>
        <sz val="11"/>
        <rFont val="Calibri"/>
        <family val="2"/>
        <scheme val="minor"/>
      </rPr>
      <t>Process for calculating and implementing MILCON Cost Premium provided below</t>
    </r>
  </si>
  <si>
    <t>ENCLOSED FIRE FIGHTER TRAINER FACILITY</t>
  </si>
  <si>
    <t>UNENCLOSED FIRE FIGHTER TRAINER FACILITY</t>
  </si>
  <si>
    <r>
      <rPr>
        <b/>
        <sz val="11"/>
        <rFont val="Calibri"/>
        <family val="2"/>
        <scheme val="minor"/>
      </rPr>
      <t>1.</t>
    </r>
    <r>
      <rPr>
        <sz val="11"/>
        <rFont val="Calibri"/>
        <family val="2"/>
        <scheme val="minor"/>
      </rPr>
      <t xml:space="preserve">  This additional factor is intended only for commercially sourced PRV Unit Costs (PUCs).  It is designed to incorporate those unique premiums by which Military Construction projects are affected.  For PUCs that are modeled from a combination of military and commercial component sources, if the sum of the commercial components is greater than 50% of the total PUC, than the MCP will apply.  </t>
    </r>
  </si>
  <si>
    <r>
      <rPr>
        <b/>
        <sz val="11"/>
        <rFont val="Calibri"/>
        <family val="2"/>
        <scheme val="minor"/>
      </rPr>
      <t>2.</t>
    </r>
    <r>
      <rPr>
        <sz val="11"/>
        <rFont val="Calibri"/>
        <family val="2"/>
        <scheme val="minor"/>
      </rPr>
      <t xml:space="preserve"> The source for these factors is the USACE sponsored study " A Report on Construction Unit Costs; Characterizing the MILCON Cost Premium" Submitted in April 2013 by L3/Stratus.  This report defines the Milcon Cost Premium (MCP) into three broad categories; Law, Regulation, and Guidance.  Regulation is further broken down as it applies to PUCs into seven federal design practices; Structural, Closure, Roof, Interior Finishes, Plumbing, HVAC, and Electrical.  This study only inspected five facility types; Medical Dispensary and Clinic,  General Administrative Facility, Enlisted Barracks,  Child Development Center, and Elementary School.  The implementation of these premiums to other FACs is an extrapolation.  </t>
    </r>
  </si>
  <si>
    <r>
      <rPr>
        <b/>
        <sz val="11"/>
        <rFont val="Calibri"/>
        <family val="2"/>
        <scheme val="minor"/>
      </rPr>
      <t>3.</t>
    </r>
    <r>
      <rPr>
        <sz val="11"/>
        <rFont val="Calibri"/>
        <family val="2"/>
        <scheme val="minor"/>
      </rPr>
      <t xml:space="preserve">  PRV Unit Costs derived from a Defense Department source (UFC 3-701-01 Table 1, Guidance Unit Costs (GUCs): USACE PAX) already include these premiums, and therefor are excluded from this additional calculation.  </t>
    </r>
  </si>
  <si>
    <r>
      <rPr>
        <b/>
        <sz val="11"/>
        <rFont val="Calibri"/>
        <family val="2"/>
        <scheme val="minor"/>
      </rPr>
      <t>4.</t>
    </r>
    <r>
      <rPr>
        <sz val="11"/>
        <rFont val="Calibri"/>
        <family val="2"/>
        <scheme val="minor"/>
      </rPr>
      <t xml:space="preserve">  The L3/Stratus report emphasizes that these factors are "non-additive," meaning they sometimes overlap in their effect and therefore can't simply be added together.  This overlap is adjusted for in this table by selecting the minimum contribution percent for each MCP component.  As the minimum total contribution to MCP by Federal Design Practices is 8.2%, the seven subordinate factors were adjusted so that their total contribution equaled 8.2%.</t>
    </r>
  </si>
  <si>
    <r>
      <rPr>
        <b/>
        <sz val="11"/>
        <rFont val="Calibri"/>
        <family val="2"/>
        <scheme val="minor"/>
      </rPr>
      <t>5.</t>
    </r>
    <r>
      <rPr>
        <sz val="11"/>
        <rFont val="Calibri"/>
        <family val="2"/>
        <scheme val="minor"/>
      </rPr>
      <t xml:space="preserve">  As not all MCP factors apply to all FACs, each FAC is analyzed individually for the application of each MCP factor.   </t>
    </r>
  </si>
  <si>
    <r>
      <rPr>
        <b/>
        <sz val="11"/>
        <rFont val="Calibri"/>
        <family val="2"/>
        <scheme val="minor"/>
      </rPr>
      <t>5.a.</t>
    </r>
    <r>
      <rPr>
        <sz val="11"/>
        <rFont val="Calibri"/>
        <family val="2"/>
        <scheme val="minor"/>
      </rPr>
      <t xml:space="preserve"> Sustainability / Energy Standards.  LEED, Executive Orders (EO), the Energy Policy Act (EPAct), and the Energy Independence and Security Act (EISA) requirements support the federal government’s strategy of lifecycle cost savings, but they do increase up-front costs, thereby contributing to the MCP.  If the typical facility in a FAC is constructed to comply with one or several of these policies, this factor is applied to the MCP total.</t>
    </r>
  </si>
  <si>
    <r>
      <rPr>
        <b/>
        <sz val="11"/>
        <rFont val="Calibri"/>
        <family val="2"/>
        <scheme val="minor"/>
      </rPr>
      <t>5.b.</t>
    </r>
    <r>
      <rPr>
        <sz val="11"/>
        <rFont val="Calibri"/>
        <family val="2"/>
        <scheme val="minor"/>
      </rPr>
      <t xml:space="preserve"> Davis Bacon Wage Factor.  Depending on prevailing wage rates in a particular state, Davis-Bacon may constitute an added cost when compared to a private sector job of similar scope.  It is assumed that all assets constructed for the DoD must implement the DBA, even though the DBA has been waived overseas (40 U.S.C. § 3142(a)).</t>
    </r>
  </si>
  <si>
    <r>
      <rPr>
        <b/>
        <sz val="11"/>
        <rFont val="Calibri"/>
        <family val="2"/>
        <scheme val="minor"/>
      </rPr>
      <t>5.c.</t>
    </r>
    <r>
      <rPr>
        <sz val="11"/>
        <rFont val="Calibri"/>
        <family val="2"/>
        <scheme val="minor"/>
      </rPr>
      <t xml:space="preserve"> Bonding  Insurance.  In accordance with FAR 28.102, all government construction projects over $150,000 are subject to the Miller Act, which requires performance and payment bonds.  If the average PRV for a FAC is less than $150,000, then this premium is not applied.</t>
    </r>
  </si>
  <si>
    <r>
      <rPr>
        <b/>
        <sz val="11"/>
        <rFont val="Calibri"/>
        <family val="2"/>
        <scheme val="minor"/>
      </rPr>
      <t>5.d.</t>
    </r>
    <r>
      <rPr>
        <sz val="11"/>
        <rFont val="Calibri"/>
        <family val="2"/>
        <scheme val="minor"/>
      </rPr>
      <t xml:space="preserve"> Structural Premium.  UFC 3-301-01 provides supplements, replacements and additions to numerous IBC 2009 sections. These changes cover serviceability, deflection limits, occupancy category, fall prevention and  protection, live loads, snow loads, wind loads, earthquake loads, structural tests and special inspections, vibratory loads, reinforcement, frost line depth, slab construction joints, corrosive environments, and more structural criteria.  In most cases, these changes to the IBC 2009 requirements involve more stringent requirements which must be met in the design of DOD building structures.  If the typical asset in a FAC has a significant structure, than the Structural Premium is applied.  </t>
    </r>
  </si>
  <si>
    <r>
      <rPr>
        <b/>
        <sz val="11"/>
        <rFont val="Calibri"/>
        <family val="2"/>
        <scheme val="minor"/>
      </rPr>
      <t>5.e.</t>
    </r>
    <r>
      <rPr>
        <sz val="11"/>
        <rFont val="Calibri"/>
        <family val="2"/>
        <scheme val="minor"/>
      </rPr>
      <t xml:space="preserve"> Closure Premium.  In general, DOD facilities used a more costly masonry veneer exterior closure systems as opposed to the less costly exterior closure systems found on the commercial projects.  In addition, a higher ratio of windows, found in DoD projects, will result in higher costs for nearly all types of closures.  If these conditions are common to a FAC, then the Closure Premium MCP factor is applied.</t>
    </r>
  </si>
  <si>
    <r>
      <rPr>
        <b/>
        <sz val="11"/>
        <rFont val="Calibri"/>
        <family val="2"/>
        <scheme val="minor"/>
      </rPr>
      <t>5.f.</t>
    </r>
    <r>
      <rPr>
        <sz val="11"/>
        <rFont val="Calibri"/>
        <family val="2"/>
        <scheme val="minor"/>
      </rPr>
      <t xml:space="preserve"> Roof Premium. UFC 3-110-03 is very prescriptive on the design, materials, installation, and warranty requirements. The prescriptive nature of this UFC is notable compared to other more broadly-scoped UFCs. For  example, the UFC excludes the use of various types of roofing system materials for decking, insulation, cover boards, and membranes.  If the typical asset in a FAC has any type of roof system on it, the Roof Premium is applied.</t>
    </r>
  </si>
  <si>
    <r>
      <rPr>
        <b/>
        <sz val="11"/>
        <rFont val="Calibri"/>
        <family val="2"/>
        <scheme val="minor"/>
      </rPr>
      <t>5.g.</t>
    </r>
    <r>
      <rPr>
        <sz val="11"/>
        <rFont val="Calibri"/>
        <family val="2"/>
        <scheme val="minor"/>
      </rPr>
      <t xml:space="preserve"> Interior Premium.  There is a significant difference between allocated space for MILCON and commercial facilities.  Although this could be attributable to unique features of the buildings, it is more likely to be indicative of the differences in design features between MILCON and commercial construction.  High personnel turnover rates drive a majority of the interior finish selections with DoD projects; heavier traffic wears out flooring  quicker.  Frequent re-assignments and new users and administrations insist upon more flexible space arrangements.  The Interior Premium is applied to FACs that have finished interiors.  </t>
    </r>
  </si>
  <si>
    <r>
      <rPr>
        <b/>
        <sz val="11"/>
        <rFont val="Calibri"/>
        <family val="2"/>
        <scheme val="minor"/>
      </rPr>
      <t>5.h.</t>
    </r>
    <r>
      <rPr>
        <sz val="11"/>
        <rFont val="Calibri"/>
        <family val="2"/>
        <scheme val="minor"/>
      </rPr>
      <t xml:space="preserve"> Plumbing Premium.  The average density of plumbing fixtures in DoD buildings is greater than Commercial buildings.  The Plumbing Premium is applied to those FACs that have interior plumbing.</t>
    </r>
  </si>
  <si>
    <r>
      <rPr>
        <b/>
        <sz val="11"/>
        <rFont val="Calibri"/>
        <family val="2"/>
        <scheme val="minor"/>
      </rPr>
      <t>5.i.</t>
    </r>
    <r>
      <rPr>
        <sz val="11"/>
        <rFont val="Calibri"/>
        <family val="2"/>
        <scheme val="minor"/>
      </rPr>
      <t xml:space="preserve"> HVAC Premium.  DoD prefers HVAC systems with air cooled chillers for generating cooling water and gas-fired hot water boilers for generating heating water.  The private sector tends to favor HVAC systems with more economical upfront equipment costs: heat pumps, direct expansion cooling, and electric heating. Commercial facilities also use less expensive rooftop units in various cooling and heating configurations. Rooftop units are generally discouraged by DoD owners.  The HVAC Premium is applied to those FACs that have HVAC systems.</t>
    </r>
  </si>
  <si>
    <r>
      <rPr>
        <b/>
        <sz val="11"/>
        <rFont val="Calibri"/>
        <family val="2"/>
        <scheme val="minor"/>
      </rPr>
      <t>5.j.</t>
    </r>
    <r>
      <rPr>
        <sz val="11"/>
        <rFont val="Calibri"/>
        <family val="2"/>
        <scheme val="minor"/>
      </rPr>
      <t xml:space="preserve"> Electrical Premium.  UFC guidance documents provide supplements, replacements, and additions to numerous sections of NFPA 70, National Electric Code. These enhancements generally involve more stringent  requirements which must be met in the design of DoD facilities and cover: Low voltage transformers, Switchgear and switchboards, Panelboards, Motor controls, Surge protective devices, Raceway, Conductors, Wiring devices, Lighting, Emergency generator/automatic transfer equipment, Grounding, and Telecom building cabling systems.   The Electrical Premium is applied to those FACs that have significant electrical systems.</t>
    </r>
  </si>
  <si>
    <r>
      <rPr>
        <b/>
        <sz val="11"/>
        <rFont val="Calibri"/>
        <family val="2"/>
        <scheme val="minor"/>
      </rPr>
      <t>5.k.</t>
    </r>
    <r>
      <rPr>
        <sz val="11"/>
        <rFont val="Calibri"/>
        <family val="2"/>
        <scheme val="minor"/>
      </rPr>
      <t xml:space="preserve"> Anti-Terrorism / Force Protection (AT/FP).  Special materials/systems and design considerations driven by AT/FP requirements can quickly add to project costs. In more developed areas, these costs can be especially high as the real estate for required setbacks may not be available, resulting in more robust facility construction requirements designed to resist blasts and/or prevent progressive collapse. Where setbacks can be met, additional costs include the extra land cost (for setbacks) and special materials/systems requirements (fences, vehicle gates, bollards, planters, jersey barriers, windows, doors, etc.).  The AT/FP Premium is applied to those FACs that are considered continuously occupied by personnel.  </t>
    </r>
  </si>
  <si>
    <r>
      <rPr>
        <b/>
        <sz val="11"/>
        <rFont val="Calibri"/>
        <family val="2"/>
        <scheme val="minor"/>
      </rPr>
      <t>5.l.</t>
    </r>
    <r>
      <rPr>
        <sz val="11"/>
        <rFont val="Calibri"/>
        <family val="2"/>
        <scheme val="minor"/>
      </rPr>
      <t xml:space="preserve"> Security Access.  The administrative process of clearing craft workers, laborers, materials suppliers and management staff for access to a DOD installation can increase general conditions costs for the contractor, and depending on threat levels, access to work sites on secure installations can result in lost time and productivity as contractors may be delayed at base entry points. The DOD requirement for contractors to exclusively employ a workforce with no criminal record and documented immigration status can also limit a contractor’s workforce.  The Security Access Premium has been omitted from the MCP calculations by the direction of the DoD Tri-Service Committee on Cost Engineering as this premium is inherent in the Area Cost Factor. </t>
    </r>
  </si>
  <si>
    <r>
      <rPr>
        <b/>
        <sz val="11"/>
        <rFont val="Calibri"/>
        <family val="2"/>
        <scheme val="minor"/>
      </rPr>
      <t>5.m.</t>
    </r>
    <r>
      <rPr>
        <sz val="11"/>
        <rFont val="Calibri"/>
        <family val="2"/>
        <scheme val="minor"/>
      </rPr>
      <t xml:space="preserve"> Staffing Requirements.  The experience requirements specified for certain personnel on MILCON projects can result in cost premiums as contractors must find qualified staff.  Professional registration, certifications,
specialized safety and training requirements are often required above and beyond what is typically necessary on a comparable private sector project.  As MILCON construction projects (&gt; $1 Million) are affected by these staffing requirements, those FACs with assets that can only be procured by a MILCON project will receive the Staffing Requirements Premium.  </t>
    </r>
  </si>
  <si>
    <r>
      <rPr>
        <b/>
        <sz val="11"/>
        <rFont val="Calibri"/>
        <family val="2"/>
        <scheme val="minor"/>
      </rPr>
      <t>5.n.</t>
    </r>
    <r>
      <rPr>
        <sz val="11"/>
        <rFont val="Calibri"/>
        <family val="2"/>
        <scheme val="minor"/>
      </rPr>
      <t xml:space="preserve"> Limited Procurement Options.  The FAR limits the use of innovative delivery systems to design-build and design-bid-build.  Current statutory and regulatory requirements preclude full implementation consistent with private sector best practices. As MILCON construction projects (&gt; $1 Million) are affected by these limited procurement options, those FACs with assets that can only be procured by a MILCON project will receive the  Limited Procurement Options Premium.</t>
    </r>
  </si>
  <si>
    <r>
      <rPr>
        <b/>
        <sz val="11"/>
        <rFont val="Calibri"/>
        <family val="2"/>
        <scheme val="minor"/>
      </rPr>
      <t>6.</t>
    </r>
    <r>
      <rPr>
        <sz val="11"/>
        <rFont val="Calibri"/>
        <family val="2"/>
        <scheme val="minor"/>
      </rPr>
      <t xml:space="preserve"> MCP components that had no credible findings in the L3 / Stratus study are omitted from this calculation.  These MCP components include: Federal Contracting Requirements, Approvals/Funding/Authorizations, A/E/C Selection/Contracting Process, Planning/Scoping Process, Multiple Decision Makers, Dynamic Project Requirements.  </t>
    </r>
  </si>
  <si>
    <t>Marshall and Swift (M&amp;S) Building Class and Type Selection Business Rule for PRV Unit Cost (PUC) Development</t>
  </si>
  <si>
    <t>Ice/Dairy Products Plant</t>
  </si>
  <si>
    <t>CAR WASH STRUCTURE</t>
  </si>
  <si>
    <t>Referenced PAX NEWSLETTER 3.2.2 for CATCODE Unit Cost</t>
  </si>
  <si>
    <r>
      <t xml:space="preserve">All of the costs in the Calculator and Segregated Cost Sections are subdivided by quality for pricing purposes. It would be impossible, short of a detailed specification, to describe exactly what is meant by each quality, so proper selection is dependent upon the experience and judgment of the user.
The quality scales against which most buildings and their parts must be rated are:
</t>
    </r>
    <r>
      <rPr>
        <b/>
        <sz val="11"/>
        <rFont val="Calibri"/>
        <family val="2"/>
        <scheme val="minor"/>
      </rPr>
      <t>LOW COST /  AVERAGE / GOOD / EXCELLENT</t>
    </r>
    <r>
      <rPr>
        <sz val="11"/>
        <rFont val="Calibri"/>
        <family val="2"/>
        <scheme val="minor"/>
      </rPr>
      <t xml:space="preserve">
Additional classifications have been added where warranted.
For the purpose of the Manual, the Average building is representative of the majority of buildings of its occupancy and the cost is the statistically averaged cost of all buildings of its class and occupancy nationally. This must be considered by the valuator since it is very easy for an estimator working mainly on low-cost structures to tend to overclassify, and for the estimator, who is chiefly working on better properties, to under-classify because their ideas of an average building are different.
Usually, in cities with strong building codes, the Average building is the standard-code building with some extra trim and refinements.  On the other hand, in an area with less exacting code provisions, the Average building could be the best building in the community depending on the occupancy.  Also, certain occupancies in some areas may have stringent code requirements, funding agency constraints, and/or high land values, etc., which can drive the overall costs up; therefore, the local standard building for pricing purposes is rated “Good."  Quality of construction is often more difficult to determine in buildings where the importance of appearance and amenities is equal to or greater than the importance of pure utility. Dwellings often present a greater problem than do commercial or industrial buildings, which are usually designed primarily for utility and strength. Moreover, dwellings represent the most numerous single type of buildings. As an aid to quality classifications, descriptions of some components of typical buildings in various occupancies, styles, and qualities are given as a guide in the Calculator Sections, as well as pictures with explanations. Section 40 contains explanations of the Segregated Cost ratings. Following are brief, general descriptions of the four basic quality levels:
</t>
    </r>
  </si>
  <si>
    <r>
      <rPr>
        <b/>
        <sz val="11"/>
        <rFont val="Calibri"/>
        <family val="2"/>
        <scheme val="minor"/>
      </rPr>
      <t>SUMMARY</t>
    </r>
    <r>
      <rPr>
        <sz val="11"/>
        <rFont val="Calibri"/>
        <family val="2"/>
        <scheme val="minor"/>
      </rPr>
      <t xml:space="preserve">
Buildings must be compared for quality within the occupancy listed. Industrial buildings must be compared with other industrial buildings. Lofts cannot be compared with offices, and all types must be considered in the light of what is built nationally. Many localities will never have an Excellent quality building. In some localities it will be difficult to build a Low-cost building for some occupancies because of code requirements and land costs.
It is usually true that a well-framed building is a well-finished building. If the builder cuts corners on his framing, he will probably also cut corners on his finish and mechanical equipment. Cheap hardware, lighting fixtures, and millwork may be very ornamental, while, for example, the structure of a model home may be scarcely strong enough to support its beautiful tile roof; therefore, the estimator must have some idea of comparative quality of components and the occupancy as a whole.
</t>
    </r>
  </si>
  <si>
    <t xml:space="preserve">[1] The source of the class and quality of construction, above, is the Marshall &amp; Swift Valuation Service, Section 1, pages 4 – 10, February 2020.  </t>
  </si>
  <si>
    <r>
      <t xml:space="preserve">[3]  The avoidance of ornamentation (characteristic of the Marshall &amp; Swift “Excellent” quality of construction) is consistent with the published goals of sustainability, seismic design safety, ease of maintenance, energy conservation and the avoidance of personnel injury caused by falling ornamentation.  See the WBDG Aesthetics Subcommittee, </t>
    </r>
    <r>
      <rPr>
        <i/>
        <sz val="11"/>
        <rFont val="Calibri"/>
        <family val="2"/>
        <scheme val="minor"/>
      </rPr>
      <t>Secure / Safe</t>
    </r>
    <r>
      <rPr>
        <sz val="11"/>
        <rFont val="Calibri"/>
        <family val="2"/>
        <scheme val="minor"/>
      </rPr>
      <t xml:space="preserve">, 28 September 2017.  See also </t>
    </r>
    <r>
      <rPr>
        <i/>
        <sz val="11"/>
        <rFont val="Calibri"/>
        <family val="2"/>
        <scheme val="minor"/>
      </rPr>
      <t>Seismic Rehabilitation of Federal Buildings: A Benefit/Cost Model, FEMA-255,</t>
    </r>
    <r>
      <rPr>
        <sz val="11"/>
        <rFont val="Calibri"/>
        <family val="2"/>
        <scheme val="minor"/>
      </rPr>
      <t xml:space="preserve"> Federal Emergency Management Agency, 1 September 1994.</t>
    </r>
  </si>
  <si>
    <r>
      <t xml:space="preserve">[2] Section of FACs based upon structural design criteria.  See the following Unified Facilities Criteria:  UFC 3-301-01, </t>
    </r>
    <r>
      <rPr>
        <i/>
        <sz val="11"/>
        <rFont val="Calibri"/>
        <family val="2"/>
        <scheme val="minor"/>
      </rPr>
      <t>Structural Engineering,</t>
    </r>
    <r>
      <rPr>
        <sz val="11"/>
        <rFont val="Calibri"/>
        <family val="2"/>
        <scheme val="minor"/>
      </rPr>
      <t xml:space="preserve"> Chapter 3, 1 October 2019; UFC 3-320-06A, </t>
    </r>
    <r>
      <rPr>
        <i/>
        <sz val="11"/>
        <rFont val="Calibri"/>
        <family val="2"/>
        <scheme val="minor"/>
      </rPr>
      <t>Concrete Floor Slabs on Grade Subjected to Heavy Loads</t>
    </r>
    <r>
      <rPr>
        <sz val="11"/>
        <rFont val="Calibri"/>
        <family val="2"/>
        <scheme val="minor"/>
      </rPr>
      <t xml:space="preserve">, 1 March 2005; UFC 3-340-02, </t>
    </r>
    <r>
      <rPr>
        <i/>
        <sz val="11"/>
        <rFont val="Calibri"/>
        <family val="2"/>
        <scheme val="minor"/>
      </rPr>
      <t xml:space="preserve">Structures to Resist the Effects of Accidental Explosions, Change 2, </t>
    </r>
    <r>
      <rPr>
        <sz val="11"/>
        <rFont val="Calibri"/>
        <family val="2"/>
        <scheme val="minor"/>
      </rPr>
      <t>1 September 2014.</t>
    </r>
  </si>
  <si>
    <t xml:space="preserve">              PUCs are calculated or adjusted to 1 October 2020.</t>
  </si>
  <si>
    <t>Table 2, UFC 3-701-1, Change 8, 3 February 2021</t>
  </si>
  <si>
    <t>NA;  GUCs are as of October 2020</t>
  </si>
  <si>
    <t>Table 2, UFC 3-701-1, Change 8, 03 February 2021</t>
  </si>
  <si>
    <t>Emergency Operations Center / Restricted Area</t>
  </si>
  <si>
    <t>Weapons Support Facility</t>
  </si>
  <si>
    <t>Propulsion Support Facility</t>
  </si>
  <si>
    <t>Underwater RDT&amp;E Facility</t>
  </si>
  <si>
    <t>Administrative Building, Underground</t>
  </si>
  <si>
    <t>Surety Repair Shop</t>
  </si>
  <si>
    <t>Headquarters / Operations Buildings:  Company HQs (Lowest Level)</t>
  </si>
  <si>
    <t xml:space="preserve"> Table 2, UFC 3-701-1, Change 8, 3 February 2021</t>
  </si>
  <si>
    <t>Table 2, UFC 3-701-1, Change 8, 3 February  2021</t>
  </si>
  <si>
    <t>Headquarters/Operations Building: Company Level (Lowest Level)</t>
  </si>
  <si>
    <t>Academic Instruction Building: Applied Instructions (Hands-on Training) - Small (&lt;35,000 SF)</t>
  </si>
  <si>
    <t>Note 4 in Table 2, UFC 3-701-01: Created GUC for small and large size of facility; GUC values in previous years combined these sizes.</t>
  </si>
  <si>
    <t>Maintenance Shops: Military Vehicle Maintenance, Small
(&lt; 21,000 SF)</t>
  </si>
  <si>
    <t>Maintenance Shops: Military Vehicle Maintenance, Large
(&gt; 21,000 SF)</t>
  </si>
  <si>
    <t>Warehouse/Storage Facilities:  Hazardous / Flammable Storage</t>
  </si>
  <si>
    <t>Medical Clinic (Small, Free Standing &lt; 60,000 SF)</t>
  </si>
  <si>
    <t>Medical Clinic (Large, Free Standing &gt; 60,000 SF)</t>
  </si>
  <si>
    <t>Headquarters/Operations Buildings: Brigade/Division Wing HQs
(Upper Level)</t>
  </si>
  <si>
    <t>Administrative Facilities, Data Processing Area Facility (Includes Admin and Storage)</t>
  </si>
  <si>
    <t>Communications Buidlings:  Communications Facility</t>
  </si>
  <si>
    <t xml:space="preserve">Unaccompanied Personnel Housing:  Barracks - Student Dorms, Advance Training </t>
  </si>
  <si>
    <t>Dining Facility, Enlisted Dining (includes kitchen equipment and installation)</t>
  </si>
  <si>
    <t>NA;  GUCs are as of October, 2020</t>
  </si>
  <si>
    <t>Table 2, UFC 3-701-1,Change 8, 3 February 2021</t>
  </si>
  <si>
    <t xml:space="preserve">Parking Garage / Building </t>
  </si>
  <si>
    <t>Unaccompanied Personnel Housing, Officers Quarters (does not include kitchette equipment)</t>
  </si>
  <si>
    <t xml:space="preserve">Unaccompanied Personnel Housing:  Barracks - Student Dormitories, Advance Training </t>
  </si>
  <si>
    <t>Enlisted Unaccompanied Personnel Housing (EUPH)
Tent Pad</t>
  </si>
  <si>
    <t xml:space="preserve">Use classification A (A-2, Assembly  uses for food and/or drink consumption).
The international Building Code (IBC) requires an automatic sprinkler when the occupant load exceeds 100, or the fire area exceeds 5,000 SF, or if the fire area is not located on the level of exit discharge. The IBC sets a maximum of 15 sf/occupant for restaurants (table and chair use).  Allowing space for food preparation, restrooms and circulation, a reasonable net area for this FAC would be 2500 SF, giving a load 166 people.  Because this load could be reached in a design, a sprinkler system is included in the cost. 
</t>
  </si>
  <si>
    <t xml:space="preserve">              FAC sizes are derived from the 2020 Real Property Classification System (RPCS).</t>
  </si>
  <si>
    <t xml:space="preserve">              PUC replaced the acronym RUC (Replacement Unit Cost) in FY2020.  Source is the revised UFC 3-701-01, 23 May 2018, with Change 5, 03 February 2020, Section 3-2.</t>
  </si>
  <si>
    <r>
      <t xml:space="preserve">Notes from Table 4-2, </t>
    </r>
    <r>
      <rPr>
        <b/>
        <i/>
        <sz val="11"/>
        <rFont val="Calibri"/>
        <family val="2"/>
        <scheme val="minor"/>
      </rPr>
      <t xml:space="preserve">Military Construction Escalation Rates, </t>
    </r>
    <r>
      <rPr>
        <b/>
        <sz val="11"/>
        <rFont val="Calibri"/>
        <family val="2"/>
        <scheme val="minor"/>
      </rPr>
      <t>UFC 3-701-01, 23 May 2018, with Change 8, 3 February 2021:</t>
    </r>
  </si>
  <si>
    <t>Escalation Rate for FY2021 PUCs</t>
  </si>
  <si>
    <t>PAX Newsletter, 21 May 2021</t>
  </si>
  <si>
    <t>PUCs requiring an adjustment for inflation (USACE PAX) are inflated using  Table 4-2 of Unified Facilities Criteria (UFC)                3-701-1.  Historical inflation is calculated using DoD Selling Price Index (SPI) (Actual) inflation.  Future inflation is calculated using Under Secretary of Defense (USD) (Comptroller) guidance, dated april 08, 2021, "Inflation Guidance - Fiscal Year (FY) 2022 President's Budget (REVISED)."  Midpoint of construction for FY 2021 PUCs is set to 1 October 2021.  Appendix C of the PAX Newsletter 3.2.2, dated 21 May 2021, (https://www.usace.army.mil/Cost-Engineering/PAX-Newsletter-322-Army-Facility-Unit-Costs/) is based on these same inflation numbers.  Appendix C, Note 1 provides guidance to "use 2.0% per fiscal year for projection beyond FY 2026."</t>
  </si>
  <si>
    <t>Note 4:  Midpoint of construction is the assumed month and year half way through a typical 15-month project awarded in March of the fiscal year. Interpolate between published escalation factors as necessary.</t>
  </si>
  <si>
    <r>
      <t>Note 3:  Inflation rates for military construction budget authoirity is, "</t>
    </r>
    <r>
      <rPr>
        <i/>
        <sz val="10"/>
        <rFont val="Arial"/>
        <family val="2"/>
      </rPr>
      <t>Inflation Guidance - Fiscal Year (FY) 2022 President's Budget (REVISED)</t>
    </r>
    <r>
      <rPr>
        <sz val="10"/>
        <rFont val="Arial"/>
        <family val="2"/>
      </rPr>
      <t>," 8 April 2021, published by USD (Comptroller)</t>
    </r>
    <r>
      <rPr>
        <i/>
        <sz val="10"/>
        <rFont val="Arial"/>
        <family val="2"/>
      </rPr>
      <t>.</t>
    </r>
    <r>
      <rPr>
        <sz val="10"/>
        <rFont val="Arial"/>
        <family val="2"/>
      </rPr>
      <t xml:space="preserve"> </t>
    </r>
  </si>
  <si>
    <t xml:space="preserve">Note 5:  The escalation factor for each year is the cumulative (compounded) annual inflation rate from the base year.  Use these factors to escalate project estimates using unit costs in Table 2 (Facility Unit Costs for Military Construction) to the expected midpoint of construction, in accordance with UFC 3-730-01.  </t>
  </si>
  <si>
    <t>2021 Legend
Source:  UFC 3-701-01, May 2018, with Change 8, February 2021</t>
  </si>
  <si>
    <t>All areas above are gross size and derived from the 2020  Real Property Assets Database (RPAD)</t>
  </si>
  <si>
    <t>Average number of floors above/below ground are from the 2020 RPAD</t>
  </si>
  <si>
    <t>Mean Average Of RPA Total Unit of Measure Quantity (SF)
(Note 1)</t>
  </si>
  <si>
    <t xml:space="preserve">Number of Stories Above Ground (Average)
(Notes 3 &amp; 6) </t>
  </si>
  <si>
    <t>Number of Stories Below Ground (Average)
(Note 3)</t>
  </si>
  <si>
    <t>(Col E +
Col F) -1</t>
  </si>
  <si>
    <t>Col G/
(Col E+F)</t>
  </si>
  <si>
    <t># Pers per SF by Occupanc
(Note 4)</t>
  </si>
  <si>
    <t>Max
Occupancy =
Col C / Col I</t>
  </si>
  <si>
    <t xml:space="preserve">Col I * Col J =
# of Passengers </t>
  </si>
  <si>
    <t># of Elevators
(Rounded)
(Note 6)</t>
  </si>
  <si>
    <t>2021 Elevator Business Rule</t>
  </si>
  <si>
    <t xml:space="preserve"> - Ambulatory care facilities: Note – these are buildings or portions of buildings used for medical, surgical, psychiatric, nursing or similar care on a less than 24 hour basis to individuals who are rendered incapable of self-preservation by the services provided</t>
  </si>
  <si>
    <t xml:space="preserve"> - Banks, electronic data processing</t>
  </si>
  <si>
    <t xml:space="preserve"> - Laboratories for testing and research</t>
  </si>
  <si>
    <t xml:space="preserve"> - Professional services (architects, engineers, attorneys, dentists, physicians, etc)</t>
  </si>
  <si>
    <t xml:space="preserve"> - Clinic for outpatient services: Note – these are buildings or portions thereof used to provide medical care on less than a 24-hour basis to persons who are not rendered incapable of self-preservation by the services provided</t>
  </si>
  <si>
    <t xml:space="preserve"> - Department stores</t>
  </si>
  <si>
    <t xml:space="preserve"> - Drug stores</t>
  </si>
  <si>
    <t xml:space="preserve"> - Markets</t>
  </si>
  <si>
    <t xml:space="preserve"> - Motor fuel dispensing facilities</t>
  </si>
  <si>
    <t xml:space="preserve"> - Retail or wholesale facilities</t>
  </si>
  <si>
    <t>Unmanned Aerial Vehicle (UAV) Runway and Launch/Recovery Site</t>
  </si>
  <si>
    <t>Compass Calibration Pad, Surfaced</t>
  </si>
  <si>
    <t>Aircraft Washing Pad, Surfaced</t>
  </si>
  <si>
    <t>Miscellaneous Airfield Pavement, Unsurfaced</t>
  </si>
  <si>
    <t>Marine Fueling Facility</t>
  </si>
  <si>
    <t>Marine Operating Fuel Storage</t>
  </si>
  <si>
    <t>Vehicle Operating Fuel Storage</t>
  </si>
  <si>
    <t>POL Piping</t>
  </si>
  <si>
    <t>Liquid Fuel Loading/Offloading Facility</t>
  </si>
  <si>
    <t>Note 1 of the USACE PAX Newsletter 3.2.2, 21 May 2021:  "No data or not enough useable Army bid data since 2016 to forecast unit costs."</t>
  </si>
  <si>
    <t>Divided by 2021 DoD ACF for Arlington, VA</t>
  </si>
  <si>
    <t xml:space="preserve">The average size for this FAC is 2.3 EA.  </t>
  </si>
  <si>
    <t xml:space="preserve">Armory, Class C, Average (similar in construction to utility building) </t>
  </si>
  <si>
    <t>USACE PAX Newsletter 3.2.2, 21 May 2021;
Marshall and Swift Valuation, October 2020</t>
  </si>
  <si>
    <t>36-strand Fiber Optic splice Box, including box and 36 cable splices</t>
  </si>
  <si>
    <t>FAC 1321 aggregates eight (8) category codes for a variety of antennae across all Services and WHS.</t>
  </si>
  <si>
    <t>UFC 3-600-01, "Fire Protection Engineering for Facilities," 8 August 2016, with Change 6, 6 May 2021.</t>
  </si>
  <si>
    <t>Sensitive Compartment Info Center (SCIF)</t>
  </si>
  <si>
    <t>Marshall and Swift Valuation; October 2020</t>
  </si>
  <si>
    <t xml:space="preserve">The average area of this FAC is 8,236 SF.
The International Building Code Occupancy Group assigned is B, Business.
</t>
  </si>
  <si>
    <t xml:space="preserve">No UFC requirement exists for the incorporation of a loading dock
The average number of floors above ground is 1.21; applying the Elevator Business Rule, no elevator is incorporated. 
</t>
  </si>
  <si>
    <t xml:space="preserve">The average area of this FAC is 8,019SF.
The International Building Code (IBC) Occupancy Group assigned is B, Business.
</t>
  </si>
  <si>
    <t xml:space="preserve">UFC 4-440-01 sets a requirement for loading docks.  Although the number of truck docks is calculated by a consideration of number of trucks arriving and loading/unloading time, the Commercial Real Estate Development Association (NAIOP)  provides an estimate of the average number of loading docks per square foot of manufacturing or warehouse averages 1:10,000.    For this FAC, 1 loading dock assembly is provided.   
An elevator is not provided as the average number of floors is 1.11; applying the Elevator Business Rule, no elevator is incorporated. 
</t>
  </si>
  <si>
    <t>Marshall and Swift Valuation; October 2021</t>
  </si>
  <si>
    <t xml:space="preserve">The average area for this FAC is 11,713 SF.
The Occupancy Group assigned is B, Business.
</t>
  </si>
  <si>
    <t xml:space="preserve">No UFC requirement exists for the incorporation of a loading dock.
The average number of floors is 1.35.  One (1) elevator has been included in the estimated cost in consonance with the Elevator Business Rule.
</t>
  </si>
  <si>
    <t>USACE PAX Newsletter 3.2.2,  21 May 2021</t>
  </si>
  <si>
    <t>Strategic Missile Launch Facility</t>
  </si>
  <si>
    <t>Missile Guidance Facility</t>
  </si>
  <si>
    <t>Missile Access Shaft</t>
  </si>
  <si>
    <t>Missile Defense Facility</t>
  </si>
  <si>
    <t>UM=</t>
  </si>
  <si>
    <t>Ballistic Missile Control Facility</t>
  </si>
  <si>
    <t>Academic Instruction Buildings: General Instruction (Lecture/Classroom)</t>
  </si>
  <si>
    <t>Academic Instruction Buildings: High Bay w/ Simulation Training -Small (&lt;18,000 SF)</t>
  </si>
  <si>
    <t xml:space="preserve">Average </t>
  </si>
  <si>
    <t>Range Classroom Building (USACE PAX Newsletter 3.2.2, 21 May  2021)</t>
  </si>
  <si>
    <t xml:space="preserve">The following guidance is taken from USACE Engineering and Support Center Huntsville “Range and Training Land Program Information,” Utilities Services.
1.       There is no RTLP training requirement for water or sewage on a range project.
2.       There is no RTLP training requirement for telephone or fiber optics communications between a range and the Installation.
3.       Three phase primary electrical service will be extended to the range site.  Electrical power distribution will conform to AEI and TM 5-811-1.  The range project will only pay for a “short” run of poles and power lines to bring adjacent power service to the range site.  </t>
  </si>
  <si>
    <t>Area Adjustment for Marshall and Swift Components is location normalized by multiplying by the M&amp;S local multiplier for Arlington, VA (1.07), then dividing by the DoD Area Cost Factor for Arlington, VA (1.08).</t>
  </si>
  <si>
    <t>Berm, 522 M x 2 M x 5 M = 6,828 CY / Backfill &amp; Dozer  compaction</t>
  </si>
  <si>
    <t>Bank run gravel, Spread with Dozer, 409 CY per berm</t>
  </si>
  <si>
    <t>MIT / MAT Emplacement 1(2" concrete wall or concrete bunker 12" concrete)</t>
  </si>
  <si>
    <t>Range Components Price List - Marshall and Swift Valuation, October 2020 
and USACE PAX Newsletter 3.2.2, 21 May 2021</t>
  </si>
  <si>
    <t>PUC is based upon a study conducted for Commander, Navy Installations Command (CNIC) in FY2009, which appears below in full.  Under the direction of CNIC, the replacement unit cost for FAC 1512 is set equal to FAC 1511.   In the 2020 RPAD, there are 362 assets in FAC 1512, with an average size of 4,936 SY.</t>
  </si>
  <si>
    <t>PUC is based upon a study conducted for Commander, Navy Installations Command (CNIC) in FY2009, which appears below in full.   In the 2020 RPAD, there are 313 assets in FAC 1511, with an average size of 5,312 SY.</t>
  </si>
  <si>
    <t>Underground Administrative Facility (USACE PAX Newsletter,
20 Mar 2009)</t>
  </si>
  <si>
    <t>Visitor Control Center</t>
  </si>
  <si>
    <t>Guard booth (USACE PAX Newsletter, 20 March 2020)</t>
  </si>
  <si>
    <t>USACE PAX Newsletter 3.2.2, 21 May 2021</t>
  </si>
  <si>
    <t xml:space="preserve">Control/Observation Tower </t>
  </si>
  <si>
    <t>Earth Work: Backfill and compaction, confined area, medium earth</t>
  </si>
  <si>
    <t>The average size for this FAC in the 2020 RPAD is 7.67 EA (each); 2,010 records)</t>
  </si>
  <si>
    <t>UFC 3-201-01, "Civil Engineering," 01 April 2018, with Change 5, 1 April 2021
UFC 3-220-10N, "Soil Mechanics," 08 June 2005
UFC 3-220-01, "Geotechnical Engineering," 1 November 2012, para. 2-3.11.2
UFC 3-600-01, "Fire Protection Engineering for Facilities," 08 August 2016 with Change 6, 6 May 2021</t>
  </si>
  <si>
    <t xml:space="preserve">2020 RPAD inventory segregated into airfield type according to UFC 3-260-02.  Final PUC is a weighted average of Light, Medium, and Heavy runways based on inventory.
PACES Input Parameters:
   Area Cost Factor (ACF) = 1.00
   Midpoint of Construction: 1 October 2020
   SIOH =  0 %
   Contingency = 0 %
   Planning and Design = 0 %
</t>
  </si>
  <si>
    <t>PACES Input Parameters:
Area Cost Factor (ACF) = 1.00
Midpoint of Construction: 1 October 2020
SIOH =  0 %
Contingency = 0 %
Planning and Design = 0 %</t>
  </si>
  <si>
    <t>$0.00</t>
  </si>
  <si>
    <t>$756,602.04</t>
  </si>
  <si>
    <t>$539,859.02</t>
  </si>
  <si>
    <t>$94,575.26</t>
  </si>
  <si>
    <t>$904,420.39</t>
  </si>
  <si>
    <t>$144,584.12</t>
  </si>
  <si>
    <t>$531,475.43</t>
  </si>
  <si>
    <t>$9,982.94</t>
  </si>
  <si>
    <t>$22,760.82</t>
  </si>
  <si>
    <t>$200,105.55</t>
  </si>
  <si>
    <t>$24,183.37</t>
  </si>
  <si>
    <t>$91,573.12</t>
  </si>
  <si>
    <t>$302,394.98</t>
  </si>
  <si>
    <t>$3,606.55</t>
  </si>
  <si>
    <t>$77,600.17</t>
  </si>
  <si>
    <t>$14,948.99</t>
  </si>
  <si>
    <t>$71,897.53</t>
  </si>
  <si>
    <t>$11,211.74</t>
  </si>
  <si>
    <t>$31,625.54</t>
  </si>
  <si>
    <t>$59,854.72</t>
  </si>
  <si>
    <t>$5,597.77</t>
  </si>
  <si>
    <t>$37,709.81</t>
  </si>
  <si>
    <t>$1,028,605.13</t>
  </si>
  <si>
    <t>$129,970.37</t>
  </si>
  <si>
    <t>$1,027,619.05</t>
  </si>
  <si>
    <t>$506,833.83</t>
  </si>
  <si>
    <t>$9,204.32</t>
  </si>
  <si>
    <t>$87,583.12</t>
  </si>
  <si>
    <t>Rotary-Wing Taxiway</t>
  </si>
  <si>
    <t>Other Operating Fuel Storage</t>
  </si>
  <si>
    <t>Table 2, UFC 3-701-1, Change 8, 3 February 2021                            USACE PAX Newsletter 3.2.2, 20 March 2020</t>
  </si>
  <si>
    <t>Missile Access Tunnel</t>
  </si>
  <si>
    <t>Aircraft Shelter, Hardened</t>
  </si>
  <si>
    <t>Set to FAC 1511, Pier</t>
  </si>
  <si>
    <t>Convert SF to FB:  Width of pier or wharf = 40.  Assume 1/2 pier, 1/2 wharf.  Average of ((40 SF/2 FB) + (40 SF/1 FB))/2 = 30 SF/FB</t>
  </si>
  <si>
    <t>Piling, Steel Pipe, Concrete filled, 10", 8 Each with Setup Cost</t>
  </si>
  <si>
    <t>Harbor Control Facility</t>
  </si>
  <si>
    <t>Averaage</t>
  </si>
  <si>
    <t>Training Aid Support Center</t>
  </si>
  <si>
    <t>Sprinkler, 15,000 SF, Wet System, Good</t>
  </si>
  <si>
    <t>Stormwater drainage pond, 1/8 AC, 5 FT deep</t>
  </si>
  <si>
    <t>Marshall and Swift Valuation, October 2020;
USACE PAX Newsletter 3.2.2, 21 May 2021</t>
  </si>
  <si>
    <t xml:space="preserve">USACE PAX Newsletter 3.2.2, 21 May 2021                        USACE PAX Newsletter 3.2.2, 6 April 2017                                         </t>
  </si>
  <si>
    <t xml:space="preserve">USACE PAX Newsletter 3.2.2, 21 May 2021
USACE PAX Newsletter 3.2.2, 6 April 2017                                                             </t>
  </si>
  <si>
    <t xml:space="preserve">Maneuver/Training Land, Light Forces </t>
  </si>
  <si>
    <t xml:space="preserve">Maneuver/Training Land, Heavy Forces </t>
  </si>
  <si>
    <t>Parachute Drop Zone</t>
  </si>
  <si>
    <t>Berm, 522 M x 2M x 5M = 6,828 CY; Dozer backfill &amp; Roller compaction</t>
  </si>
  <si>
    <t>The Range Design Guide is a web-based tool that replaced the range design manuals.  Refer to https://www.hnc.usace.army.mil/Missions/Installation-Support-and-Programs-Management/Range-and-Training-Land-Program/Range-Design-Guide/.</t>
  </si>
  <si>
    <t>Marshall &amp; Swift Valuation, October 2019;
TC 25-8 Training Ranges, 22 July 2016;
USACE Range Design Guide;
USACE PAX Newsletter 3.2.2, 20 March 2020</t>
  </si>
  <si>
    <t>TC 25-8 Standard Size - Tank/Fighting Vehicle Scaled Gunnery Range</t>
  </si>
  <si>
    <t>TC 25-8 Standard Size - Tank Stationary Gunnery Range</t>
  </si>
  <si>
    <t>TC 25-8 Standard Size - Antiarmor Tracking and Live Fire (ATLF)</t>
  </si>
  <si>
    <t>TC 25-8 Standard Size - Light Antiarmor Range, Subcal</t>
  </si>
  <si>
    <t>TC 25-8 Standard Size - Automated Multipurpose Machinegun</t>
  </si>
  <si>
    <t>TC 25-8 Standard Size - Automated Combat Pistol Range</t>
  </si>
  <si>
    <t>TC 25-8 Standard Size - Automated Sniper Field Fire Range</t>
  </si>
  <si>
    <t>TC 25-8 Standard Size - Automated Record Fire Range</t>
  </si>
  <si>
    <t>TC 25-8 Standard Size - Automated Field Fire Range</t>
  </si>
  <si>
    <t>TC 25-8 Standard Size - Basic 10M-25M Firing Range (Zero)</t>
  </si>
  <si>
    <t xml:space="preserve">TC 25-8 Standard Size - Digital Multipurpose Training Complex (DMPRC) </t>
  </si>
  <si>
    <t>Training Dikes/Wing Dams/Pile Dikes</t>
  </si>
  <si>
    <t>Fish Facilities</t>
  </si>
  <si>
    <t>Flood Control Levee/Floodwall</t>
  </si>
  <si>
    <t>Lock</t>
  </si>
  <si>
    <t>Dam</t>
  </si>
  <si>
    <t>Railroad Bridge</t>
  </si>
  <si>
    <t>Table 2, UFC 3-701-1, February 2021</t>
  </si>
  <si>
    <t>NA;  GUCs are as of October 2021</t>
  </si>
  <si>
    <t>Average dimensions in the 2020 RPAD (37 assets):  Height: 11.9 FT; Length: 751 FT; Width: 21.2 FT.  Average Quantity: 15,104 SF.  Road surface and/or sidewalks not included in PUC.</t>
  </si>
  <si>
    <t>2020 RPAD: 14,848 assets - 81.2 % Asphalt / 18.8% Concrete</t>
  </si>
  <si>
    <t>Water Distribution Line, Non-Potable</t>
  </si>
  <si>
    <t>Reservoir, Water</t>
  </si>
  <si>
    <t>Water Tank, Fire Protection</t>
  </si>
  <si>
    <t>Water Impoundment, Fire Protection</t>
  </si>
  <si>
    <t>Desalinization Plant</t>
  </si>
  <si>
    <t xml:space="preserve">
</t>
  </si>
  <si>
    <t>2021 RPCS changed the Unit of Measure (UM) from EA to SF.  The UM was changed to SF for the PUC calculation.</t>
  </si>
  <si>
    <t>Graving Dry-dock</t>
  </si>
  <si>
    <t>2021 RPCS changed FAC title from Shipping Maintenance Dry-dock to Graving Dry-dock.</t>
  </si>
  <si>
    <t xml:space="preserve">PUC is based upon a study conducted for Commander, Naval Installations Command (CNIC) in FY 2011, which appears below in full.    </t>
  </si>
  <si>
    <t>Tank/Automotive Production Structure</t>
  </si>
  <si>
    <t>Weapon Production Structure</t>
  </si>
  <si>
    <t>2021 RPCS changed the name from Ammunition Production Plant</t>
  </si>
  <si>
    <t>This unit price based upon two Air Force MILCON DD Forms 1391 Project Data Sheets submitted to Congress for the FY17 program (Projects # FTQW170112 and FTQW183001) for construction of two 16-bay aircraft  weather shelters at Eielson AFB.  Area Cost Factor derived from USACE PAX Newsletter 3.2.1, Area Cost Factors, 28 March 2017.</t>
  </si>
  <si>
    <t>Seawall, concrete, precast, 5” - 6”, including ties or piling</t>
  </si>
  <si>
    <t xml:space="preserve">U.S. Army TC 3-22.19, Grenade Machine Gun MK 19 MOD 3, 10 May 2017, with Change 1, 13 January 2020.
</t>
  </si>
  <si>
    <t>Marshall &amp; Swift Valuation, October 2020;
TC 25-8 Training Ranges, 22 July 2016;
USACE Range Design Guide;
USACE PAX Newsletter 3.2.2, 21 May 2021</t>
  </si>
  <si>
    <t>TC 25-8 Training Ranges, 22 July 2016;
USACE Range Design Guide;
USACE PAX Newsletter 3.2.2, 21 May 2021</t>
  </si>
  <si>
    <t>FAC 1790 is a collection of 65 CATCODEs.  Components for this model represent an average of these facilities.</t>
  </si>
  <si>
    <t>Marshall and Swift Valuation, October 2020
USACE PAX Newsletter 3.2.2, 20 May 2021</t>
  </si>
  <si>
    <t>Fire Training Tower (Add 45% for thermal insulated tiles)</t>
  </si>
  <si>
    <t xml:space="preserve">UFC 4-211-01, "Aircraft Maintenance Hangars," 13 April 2017, with Change 3, 20 April 2021 (Section 3)
</t>
  </si>
  <si>
    <t>Sprinkler, Early Suppression Fast Response system and pump</t>
  </si>
  <si>
    <t>Average size extracted from 2020 RPAD (205 assets); average length = 122.6 LF; average width = 77.1 LF.</t>
  </si>
  <si>
    <t>Industrial, Heavy (Process) Manufacturing, Class A, Average, including craneway, HVAC and elevator  (Deduct $2.51 / SF for no included elevator)</t>
  </si>
  <si>
    <t xml:space="preserve">The average area for this FAC is 11,383 SF.
The Occupancy Group assigned is H, Hazard.
</t>
  </si>
  <si>
    <t xml:space="preserve">The average area for this FAC is 11,209 SF.
The Occupancy Group assigned is B, Business.
</t>
  </si>
  <si>
    <t xml:space="preserve">There are 350 FAC 1796 assets, with an average size of 72,868 SF, in the 2020 RPAD.  
This FAC aggregates 7 CATCodes (1 AF, 5 Army, and 1 Navy).  Included category codes 17901 (Combined Arms Collective Training Facility) and 17996 (Collective Training Facility) are representative of the urban combat training area and have notional designs in TC 25-8 on which to base a representative design/cost estimate.
Each category code represents an urban training facility with between 16 and 24 buildings of various types, a tunnel/sewer system, and human urban targets, stationary infantry targets and stationary armor targets.  All buildings and target areas have CCTV cameras (100% coverage).  Live ballistic fire is prohibited on this facility; pyrotechnics are not authorized for the tunnel/sewer area.    
</t>
  </si>
  <si>
    <t>UFC 3-101-01, "Architecture," 16 December 2020, with Change 1, 5 January 2021.
UFC 4-200-xx (Series), "Maintenance and Production Facilities," various dates.
Commercial Real Estate Development Association, NAIOP Research Foundation, “NAIOP Terms and Definitions;" https://www.naiop.org/en/Research/Terms-and-Definitions.
UFGS-11 13 19.13, "Loading Dock Levelers," 01 August 2009</t>
  </si>
  <si>
    <t xml:space="preserve">The average area for this FAC is 11,147 SF in the 2020 RPAD.
The Occupancy Group assigned is H, Hazard.
</t>
  </si>
  <si>
    <t>Ship Maintenance Dry-dock</t>
  </si>
  <si>
    <t xml:space="preserve"> Aircraft Production Structure</t>
  </si>
  <si>
    <t>Average Size taken from 11 assets in 2020 RPAD: Average Length (78.3 FT) and Average Width (46.4 FT) = 3,633 SF</t>
  </si>
  <si>
    <t>Industrial, Light Manufacturing, Class B, Average (Excellent rating not available) (Deduct $2.40/SF for no included elevator)</t>
  </si>
  <si>
    <t>Industrial, Engineering Building, Class B, Excellent, including elevator (Deduct $4.14 / SF for no included elevator)</t>
  </si>
  <si>
    <t xml:space="preserve">No specific requirement for a loading dock is found in a UFC.  A reasonable assumption is to include a loading dock based upon the function of this FAC.
The number of truck docks is calculated by a consideration of number of trucks arriving and loading/unloading time for the specific design.  As general guidance, the Commercial Real Estate Development Association (NAIOP) estimates  the average number of loading docks per square foot of industrial or warehouse is 1 dock per 7,500 sf of floor space.  For this FAC, 2 loading dock assemblies are provided. The guide specification for design of a loading dock is contained in the Unified Facilities Guide Specification (UFGS). 
The average number of floors is 1.2 yielding no elevator for the maximum number of occupants applying  the Elevator Business Rule.  Since, the Marshall and Swift building selected for this FAC includes elevators as part of the unit price, the elevator cost is deducted from the unit price.
</t>
  </si>
  <si>
    <t>Industrial, Heavy (Process) Manufacturing, Class A, Average, including craneway, HVAC and elevator (Deduct $2.51 for no included elevator)</t>
  </si>
  <si>
    <t>UFC 3-101-01, "Architecture," 16 December 2020, with Change 1, 5 January 2021.
UFC 4-200-xx (Series), "Maintenance and Production Facilities," various dates.
Commercial Real Estate Development Association, NAIOP Research Foundation, “NAIOP Terms and Definitions;" https://www.naiop.org/en/Research/Terms-and-Definitions.
UFGS-11 13 19.13, "Loading Dock Levelers," 01 August 2009.
IBC, 2018 Edition</t>
  </si>
  <si>
    <t>An overhead crane is provided, applying the Overhead Crane Business Rule.  Two craneways are included in the building's unit cost.</t>
  </si>
  <si>
    <t>Marine Railway</t>
  </si>
  <si>
    <t xml:space="preserve">UFC 3-101-01, "Architecture," 16 December 2020, with Change 1, 5 January 2021.
UFC 4-200-xx (Series), Maintenance and Production Facilities, various dates.
Commercial Real Estate Development Association, NAIOP Research Foundation, “NAIOP Terms and Definitions;" https://www.naiop.org/en/Research/Terms-and-Definitions.
NOVA Technology International, “Dock Planning Standards,” 2013
</t>
  </si>
  <si>
    <t>Average Size from 2020 RPAD (13 Assets):  101.6 FT (length) * 48.3 SF (width) - 4,907 SF</t>
  </si>
  <si>
    <t>Fixed Crane Structure</t>
  </si>
  <si>
    <t xml:space="preserve">              PUCs inflation is calculated using UFC 3-701-01, 23 May 2018,  with Change 8, 3 February 2021, Table 4-2.</t>
  </si>
  <si>
    <t xml:space="preserve">FY19 PUC </t>
  </si>
  <si>
    <t>Industrial Building, Light Manufacturing, Class B, Average, not including craneway (Deduct $2.40 / SF for no included elevator)</t>
  </si>
  <si>
    <t xml:space="preserve">NFPA 13, Standard for the Installation of Fire Sprinkler Systems.
UFC 3-600-01, "Fire Protection Engineering for Facilities," 8 August 2016, with Change 6, 6 May 2021.
Commercial Real Estate Development Association, NAIOP Research Foundation, “NAIOP Terms and Definitions;" https://www.naiop.org/en/Research/Terms-and-Definitions.
IBC, 2018 edition
</t>
  </si>
  <si>
    <t>Triangular Guyed Tower, 54" Master TV systems, High Cost</t>
  </si>
  <si>
    <t>22 of 25 assets in the 2020 RPAD inventory are antenna testing and  collimation testing facilities.</t>
  </si>
  <si>
    <t>Industrials, Heavy (Process) Manufacturing Building, Class A, Average, includes craneway (Deduct $2.51 / SF for no included elevator)</t>
  </si>
  <si>
    <t>Sprinkler, 50,000 SF, Wet System, Good</t>
  </si>
  <si>
    <t xml:space="preserve">UFC 3-101-01, "Architecture," 16 December 2020, with Change 1, 5 January 2021.
UFC 4-300-xx (Series), Research, Development, Test and Evaluation Facilities
Commercial Real Estate Development Association, NAIOP Research Foundation, “NAIOP Terms and Definitions: North American Office and Industrial Market, pg. 12.
UFGS-11 13 19.13, "Loading Dock Levelers," 01 August 2009
</t>
  </si>
  <si>
    <t xml:space="preserve">UFC 3-101-01, "Architecture," 16 December 2020, with Change 1, 5 January 2021.
UFC 4-200-xx (Series), Maintenance and Production Facilities, various dates.
</t>
  </si>
  <si>
    <t>UFC 3-101-01, "Architecture," 16 December 2020, with Change 1, 5 January 2021.
Commercial Real Estate Development Association, NAIOP Research Foundation, “NAIOP Terms and Definitions: North American Office and Industrial Market, pg. 12.
UFGS-11 13 19.13, August 2009
IBC, 2018 edition</t>
  </si>
  <si>
    <t xml:space="preserve"> UFC 3-101-01, "Architecture," 16 December 2020, with Change 1, 5 January 2021.
 Commercial Real Estate Development Association, NAIOP Research Foundation, “NAIOP Terms and Definitions: North American Office and Industrial Market," pg. 12.
 UFGS 11 13 19.13, "Loading Dock Levelers," August 2009
</t>
  </si>
  <si>
    <t xml:space="preserve">UFC 3-101-01, "Architecture," 16 December 2020, with Change 1, 5 January 2021.
Commercial Real Estate Development Association, NAIOP Research Foundation, “NAIOP Terms and Definitions: North American Office and Industrial Market," pg. 12.
UFGS 11 13 19.13, "Loading Dock Levelers," August 2009
</t>
  </si>
  <si>
    <t xml:space="preserve">Maintenance Hangars: High Bay Maintenance - Large, Over 40 FT High (&gt; 100,000 SF) </t>
  </si>
  <si>
    <t>Maintenance Hangars: Aircraft Corrosion Control Maintenance</t>
  </si>
  <si>
    <t>Average Facility Size derived from 2020 RPAD (214 Asset Allocations):  [100 FT x 69 FT] / 9 SF/SY)</t>
  </si>
  <si>
    <t>There is no inventory in 2020 RPAD for this FAC; assumed dimensions are 50' x 100'</t>
  </si>
  <si>
    <t>Industrials, Heavy (Process) Manufacturing, Class A, Average, including elevator and craneway. Deduct $2.51 for no elevator.</t>
  </si>
  <si>
    <t>Bridge Crane, 20 FT span, 5 Ton</t>
  </si>
  <si>
    <t>Aircraft Firing-In Butt</t>
  </si>
  <si>
    <t>Inflated from FY2020
Source: Air Force (Edwards AFB) data FY 1999</t>
  </si>
  <si>
    <t>Crash Barrier, 12' Wide, Portable Wedge Crash, including LME for complete installation</t>
  </si>
  <si>
    <t>Inflated from FY2020;
PACES 1.4</t>
  </si>
  <si>
    <t>Inflated from FY2020;
AFCESA Cost Handbook FY1999 (CATCode 149514)</t>
  </si>
  <si>
    <t>Inflated from FY2020;
AFCESA Data, FY 2000 (CATCode 149711)</t>
  </si>
  <si>
    <t>Inflated from FY2020;
AFCESA Data, FY 2000 (CATCode 149811)</t>
  </si>
  <si>
    <t>Inflated from FY2020; AFCESA Cost Handbook, FY1999
(CATCodes 141173 and 141912 Averaged)</t>
  </si>
  <si>
    <t xml:space="preserve">Inflated from FY2020; Set equal to FAC 1452
 AFCESA Cost Handbook FY1999 </t>
  </si>
  <si>
    <t>Inflated from FY2020;
AFCESA, Cost Handbook 2003</t>
  </si>
  <si>
    <t xml:space="preserve">Inflated from FY2020;
AFCESA Cost Handbook FY 2006 </t>
  </si>
  <si>
    <t>Offshore Mooring Facility</t>
  </si>
  <si>
    <t xml:space="preserve">Inflated from FY2020;
Service Reported PRV </t>
  </si>
  <si>
    <t>No Replacement Cost Defined</t>
  </si>
  <si>
    <t xml:space="preserve">62 VF </t>
  </si>
  <si>
    <t>VF/SF</t>
  </si>
  <si>
    <t>Facility is measured in SF; however, the PUC is calculated per Vertical Foot (VF) of Tower; see Note in Table 2, UFC 3-7001-01.  Average size in 2020 RPAD is 3,552 SF; GUC reference size is 62 VF.</t>
  </si>
  <si>
    <t>Loading dock (Shipping Dock), 1 EA @ 144 SF, Stuctrual steel or concrete piers &amp; frame; heqavy duty floor</t>
  </si>
  <si>
    <t>Inflated from FY2020; PACES 1.4; UFC 3-535-01,
11 April 2017, w/ Change 3,  21 May 2021</t>
  </si>
  <si>
    <t xml:space="preserve">UFC 3-580-01, "Telecommunications Interior Infrastructure Planning and Design," 01 June 2016, with Change 1, 01 June 2016. 
UFGS 33 82 00, "Telecommunications Outside Plant (OSP)," 01 April 2006.
UFC 4-150-02, "Dockside Utilities for Ship Service," 12 November 2020, with Change 5, 1 September 2012.                                                                                                                                                                                                                             </t>
  </si>
  <si>
    <t>Inflated from FY2020: PACES 1.4; 
DLA/DESC Fuels Facilities Study, March 2009</t>
  </si>
  <si>
    <t>Inflated from FY2020; PACES 1.4; 
DLA/DESC Fuels Facilities Study, March 2009</t>
  </si>
  <si>
    <t xml:space="preserve">Inflated from FY2020; PACES 1.4;
UFC 3-260-02, 30 June 2001 </t>
  </si>
  <si>
    <t xml:space="preserve">Inflated from FY2020; PACES 7.0.11;
UFC 3-260-02, 30 June 2001 </t>
  </si>
  <si>
    <t>UFC 4-440-01, "Warehouse and Storage Facilities," 1 October 2014, with Change 1, 1 April 2019
NFPA 13, "Standard for the Installation of Fire Sprinkler Systems," 2019
UFC 3-600-01, "Fire Protection Engineering for Facilities," 08 August 2016 with Change 5, 6 May 2021
Commercial Real Estate Development Association, NAIOP Research Foundation, “NAIOP Terms and Definitions;" https://www.naiop.org/en/Research/Terms-and-Definitions.
IBC, 2018 edition</t>
  </si>
  <si>
    <t xml:space="preserve">Inflated from FY2020;
Navy Reported Replacement Value - FY2000 </t>
  </si>
  <si>
    <t xml:space="preserve">in the 2020 RPAD, FAC 1499 (2,201 total assets) is comprised primarily of two asset categories (bunkers and towers) with 1,959 assets in those catgories in the following CATCodes:
• Air Force 149411, Bunker; Army 14181, Safety Shelter; and Army 14925, Fighting Position/Bunker (854 assets)
• Army 14940, Tower; Air Force 149965, RADAR Tower; Air Force 149968, Special Tower; Air Force 872845, Security Guard Tower (1,105 assets) 
</t>
  </si>
  <si>
    <t xml:space="preserve">UFC 4-211-01 design criteria calls for a 5-ton overhead bridge crane in Type I and Type IV hangars and a 7-ton crane in Type II hangars.  The craneway is included in the Marshall and Swift Class C/Excellent unit price.  A 10-ton bridge crane is included in the PUC valuation.
</t>
  </si>
  <si>
    <t>Inflated from FY2020; Service Reported PRV</t>
  </si>
  <si>
    <t>Ship Propulsion Maintenance Facility</t>
  </si>
  <si>
    <t>Set Equal to FAC 2121;
Marshall and Swift Valuation, October 2020</t>
  </si>
  <si>
    <t>FAC 2121 PUC
FY 2121</t>
  </si>
  <si>
    <t>FY2020 PUC</t>
  </si>
  <si>
    <t>Set to PUC</t>
  </si>
  <si>
    <t xml:space="preserve">Inflated from FY2020;
Service-provided PRV </t>
  </si>
  <si>
    <t>Wash Platform (2021)</t>
  </si>
  <si>
    <t xml:space="preserve">USACE PAX Newsletter 3.2.2, 21 May 2021:
USACE PAX Newsletter 3.2.2, 04 January 2011                                                 </t>
  </si>
  <si>
    <t xml:space="preserve">Hazardous Waste Storage Bldg. - Tactical Equipment Maintenance Facility (TEMF) </t>
  </si>
  <si>
    <t>Launch Vehicle Test Facility</t>
  </si>
  <si>
    <t xml:space="preserve">Inflated from FY2020;
Air Force provided data in 2003                                              </t>
  </si>
  <si>
    <t>Inflated from FY2020:
MTMC Stony Point Data FY 2000</t>
  </si>
  <si>
    <t xml:space="preserve">Rotary-Wing Landing Area, Surfaced </t>
  </si>
  <si>
    <t>Inflated from FY2020: PACES 1.4;  UFC 3-535-01,
11 April 2017, with Change 3,  21 May 2021</t>
  </si>
  <si>
    <t xml:space="preserve">Inflated from FY2020; Set to FAC 1131; PACES 1.4;
UFC 3-260-02, 30 June 2001 </t>
  </si>
  <si>
    <t xml:space="preserve">Inflated from FY2020: Set to FAC 1121; PACES 1.4;
UFC 3-260-02, 30 June 2001 </t>
  </si>
  <si>
    <t xml:space="preserve">Inflated from FY2020; PACES 1.4 </t>
  </si>
  <si>
    <t xml:space="preserve">Inflated from FY2020; Set to FAC 1131: PACES 1.4;
UFC 3-260-02, 30 June 2001 </t>
  </si>
  <si>
    <t xml:space="preserve">Miscellaneous Airfield Pavement, Surfaced </t>
  </si>
  <si>
    <t xml:space="preserve">Inflated from 2020; PACES 1.4;
UFC 3-260-02, 30 June 2001 </t>
  </si>
  <si>
    <t xml:space="preserve">Inflated from FY2020; Set to FAC 1114; PACES 1.4;
UFC 3-260-02, 30 June 2001 </t>
  </si>
  <si>
    <t>Inflated from FY2020; PACES 1.4</t>
  </si>
  <si>
    <t>Inflated from FY2020; PACES 1.4;
DLA/DESC Fuels Facilities Study, March 2009</t>
  </si>
  <si>
    <t>Inflated from FY2020; PACES 7.0.11; 
DLA/DESC Fuels Facilities Study, March 2009</t>
  </si>
  <si>
    <t>2-man fighting position (104 SF concrete x 8" with Rebar)</t>
  </si>
  <si>
    <t xml:space="preserve">The average size of this FAC is 12,260 SF. </t>
  </si>
  <si>
    <t>Industrials, Heavy (Process) Manufacturing Building, Class A, Average, includes craneway (Deduct $2.51 from cost for no included elevator)</t>
  </si>
  <si>
    <t>Sprinkler, 10,000 SF, Wet System, Average</t>
  </si>
  <si>
    <t>Shipping dock, structural steel or concrete piers, one 12' x 12' dock (144 SF)</t>
  </si>
  <si>
    <t>Special Weapons Maintenance Shop</t>
  </si>
  <si>
    <t>Set equal to FAC 2121</t>
  </si>
  <si>
    <t>Weapons Impact Area</t>
  </si>
  <si>
    <t>Intercontinental Ballistic Missile Processing Facility</t>
  </si>
  <si>
    <t xml:space="preserve">The average area for this FAC is 14,807 SF.
The Occupancy Group assigned is F, Factory.
</t>
  </si>
  <si>
    <t xml:space="preserve">The average area for this FAC is 5,411 SF.
The Occupancy Group assigned is H, Hazard.
</t>
  </si>
  <si>
    <t>Shipping dock, one 12' x 12' dock, strutural steel or concrete piers  (144 SF)</t>
  </si>
  <si>
    <t>UFC 2-200-05N, "Facility Planning for Navy and Marine Corps Shore Installations," Various Chapters and Series. 
UFC 3-340-02, "Structures to Resist the Effects of Accidental Explosions," 05 December 2008, with Change 2, 01 September 2014.
UFC 3-600-01, "Fire Protection Engineering for Facilities," 08 August 2016, with Change 3, 10 May 2019.
Commercial Real Estate Development Association, NAIOP Research Foundation, “NAIOP Terms and Definitions;" https://www.naiop.org/en/Research/Terms-and-Definitions.
UFGS-11 13 19.13, "Loading Dock Levelers,"  August 2009
IBC, 2018 edition</t>
  </si>
  <si>
    <t>Industrial Building, Light Manufacturing, Class B, Average, not including craneway (Deduct $2.40/ SF for no included elevator)</t>
  </si>
  <si>
    <t xml:space="preserve">No UFC requirement exists for the incorporation of a loading dock.  Because of the nature of maintenance and assembly work, 86297/7500 = 12 loading docks have been included.   As general guidance, the Commercial Real Estate Development Association (NAIOP) provides an estimate of the average number of loading docks per square foot of industrial or warehouse averaging 1 dock per 7,500 sf of floor space.   
The guide specification for design of a loading dock is contained in the Unified Facilities Guide Specification (UFGS) 11 13 19.13 and Whole Building Design Guide (WBDG) Federal Green Construction Guide for Specifiers, Section 11 13 00 (11160). 
The average number of floors is 1.16 yielding 1 elevator for the maximum number of occupants applying  the Elevator Business Rule.  
The Marshall and Swift building selected for this FAC include 1 elevator as part of the unit price.
</t>
  </si>
  <si>
    <t>Sprinkler, 80,000 SF, Dry System, Average</t>
  </si>
  <si>
    <t>AIRCRAFT PRODUCTION STRUCTURE</t>
  </si>
  <si>
    <t>STORM WATER FILTRATION</t>
  </si>
  <si>
    <t>STORM WATER TREATMENT STUCTURE</t>
  </si>
  <si>
    <t>Storm Water Filtration</t>
  </si>
  <si>
    <t>Storm Water Treatment Structure</t>
  </si>
  <si>
    <t>Polyethylene chamber system, complete, per gallon, high cost</t>
  </si>
  <si>
    <t>GA to GM</t>
  </si>
  <si>
    <t>Pipe drainage system, 10”, per linear foot, high cost, 20 LF</t>
  </si>
  <si>
    <t>LF to GM</t>
  </si>
  <si>
    <t>Representative Storm Water Treatment Structure  Flow Rate 1.82 CFS = 816.87 GM
https://biocleanenvironmental.com/wp-content/uploads/2018/06/KF-8-14-72-Standard.pdf</t>
  </si>
  <si>
    <t>Divided by 2020DoD ACF for Arlington, VA</t>
  </si>
  <si>
    <t>Paving, 4” asphaltic concrete, SF., high cost (Permeable Surface)</t>
  </si>
  <si>
    <t>4” rock base, SF, high cost (Add $1.28 for 8 IN depth of drainage)</t>
  </si>
  <si>
    <t>Sewer laterals, 5 FT average depth, LF. 6 IN vitrified clay,high cost.  Total length is 4 EA 20 FT lengths for 80 LF total length.</t>
  </si>
  <si>
    <t>Chamber size = 14 FT x 6 FT x 2 FT = 5,932 gallons</t>
  </si>
  <si>
    <t>FAC 2213 is new in the 2021 RPCS, and contains one CATCode (22125)</t>
  </si>
  <si>
    <t xml:space="preserve">The average area for this FAC is 72,026 SF.
The Occupancy Group assigned is F, Factory.
</t>
  </si>
  <si>
    <t xml:space="preserve">Commercial Real Estate Development Association, NAIOP Research Foundation, “NAIOP Terms and Definitions;" https://www.naiop.org/en/Research/Terms-and-Definitions.
UFGS-11 13 19.13, "Loading Dock Levelers," August 2009.
WBGD Federal Green Construction Guide for Specifiers, Section 11 13 00 (11160), "Loading Dock Equipment," 04 January 2010.
IBC, 2018 edition.                                                                                                </t>
  </si>
  <si>
    <t>Industrials, Heavy (Process) Manufacturing, Class B, Average, including HVAC and craneway (Deduct $2.51 / SF for no included elevator)</t>
  </si>
  <si>
    <t>Sprinkler, Dry System, 50,000 SF, Average</t>
  </si>
  <si>
    <t>2021 RPCS changed the FAC Title from Tank/Automotive Production Facility; no assets in the 2020 RPAD</t>
  </si>
  <si>
    <t>Weapon Production Plant</t>
  </si>
  <si>
    <t>Sprinkler, Wet System, 40,000 SF, Good</t>
  </si>
  <si>
    <t>Industrials, Heavy (Process) Manufacturing, Class C Mill, Average (Deduct $2.51 for no included elevator)</t>
  </si>
  <si>
    <t>Industrials, Heavy (Process) Manufacturing, Class A, Average, including craneway (Deduct $2.51 SF for no included elevator)</t>
  </si>
  <si>
    <t>Industrials, Heavy (Process) Manufacturing, Class A, Average, including craneway and elevator (Deduct $2.51 for no included elevator)</t>
  </si>
  <si>
    <t>Industrials, Heavy (Process) Manufacturing, Class A, Average, including craneway (Deduct $2.51 for no included elevator)</t>
  </si>
  <si>
    <t xml:space="preserve">Average size derived from 2020 RPAD (448.9 FT * 198.7 SF =  (89,196  SF)  </t>
  </si>
  <si>
    <t xml:space="preserve">Industrials, Light Manufacturing, Class B, Average, including elevator; no craneway included (Deduct $2.40 for no included elevator) </t>
  </si>
  <si>
    <t>Construction Material Production Structure</t>
  </si>
  <si>
    <t xml:space="preserve">The average area for this FAC is 16,490 SF .
IBC Group B
</t>
  </si>
  <si>
    <t xml:space="preserve">UFC 1-200-01, "DoD Building Code," 8 October 2019, with Change 1, 1 October 2020
UFC 3-600-01, "Fire Protection Engineering for Facilities," 08 August 2016, with Change 6, 6 May 2021
IBC, 2018 edition
</t>
  </si>
  <si>
    <t xml:space="preserve">The average area for this FAC is 35,389 SF
IBC Group B
</t>
  </si>
  <si>
    <t xml:space="preserve">UFC 1-200-01, "DoD Building Code," 8 October 2019, with Change 1, 1 October 2020
UFC 3-600-01, "Fire Protection Engineering for Facilities," 08 August 2016, with Change 6, 6 March 2021
IBC, 2018 edition
</t>
  </si>
  <si>
    <t>Sprinkler, Dry System, 40,000 SF, Average</t>
  </si>
  <si>
    <t xml:space="preserve">USACE PAX Newsletters 3.2.2;                                                         Marshall and Swift Valuation, October 2020 
</t>
  </si>
  <si>
    <t>Laboratory  Building, Class A/B, Average, with complete HVAC, including elevator (Deduct $2.64 for no included elevator)</t>
  </si>
  <si>
    <t>There is one (1) asset for FAC 3104 in the 2020 RPAD.</t>
  </si>
  <si>
    <t>Aircraft Maintenance Hanger, General Purpose (USACE PAX Newsletter, 21 May 2021)</t>
  </si>
  <si>
    <t xml:space="preserve">The average area for this FAC is 23,353 SF.
The Occupancy Group assigned is B, Business.
</t>
  </si>
  <si>
    <t>Craneway, 200 LF x 2 = 400 LF</t>
  </si>
  <si>
    <t xml:space="preserve">The average area for this FAC is 10,754 SF.
The building use category is H, Hazardous
</t>
  </si>
  <si>
    <t>Craneway, 175 LF x 2 = 350 LF</t>
  </si>
  <si>
    <t>Craneway, 10 Ton, 75 LF x 2 = 150 LF</t>
  </si>
  <si>
    <t xml:space="preserve">UFC 1-200-01, “DoD Building Code (General Building Requirements),” 20 June 2016, with Change 1, 01 February 2018
UFC 3-600-01, "Fire Protection Engineering for Facilities," 08 August 2016, with Change 6, 6 March 2021
IBC, 2018 edition
Commercial Real Estate Development Association, NAIOP Research Foundation, “NAIOP Terms and Definitions: North American Office and Industrial Market, pg. 12.
UFGS-11 13 19.13, August 2009
</t>
  </si>
  <si>
    <t xml:space="preserve">The average area for this FAC is 3,466 SF.
IBC Group H, Hazard
</t>
  </si>
  <si>
    <t>Laboratory  Building, Class A/B, Average, with complete HVAC, including elevator (Deduct $2.64 SF for no included elevator)</t>
  </si>
  <si>
    <t>Industrial, Engineering (Research &amp; Development) Building, Class B, Average, including elevator (Deduct $2.64/SF for no included elevator)</t>
  </si>
  <si>
    <t xml:space="preserve">The average area for this FAC is 10.819 SF.
The Occupancy Group assigned is B, Business.
</t>
  </si>
  <si>
    <t>Laboratory  Building, Class A/B, Average, with complete HVAC (Deduct $2.64/SF for no included elevator)</t>
  </si>
  <si>
    <t>Overhead door roll-up, std. = 81 SF</t>
  </si>
  <si>
    <t xml:space="preserve">The average area for this FAC is 10,499 SF.
The building use category is H, Hazardous.
</t>
  </si>
  <si>
    <t xml:space="preserve">UFC 1-200-01, “DoD Building Code,” 8 October 2019, with Change 1, 1 October 2020 
UFC 3-600-01, "Fire Protection Engineering for Facilities," 8 August 2016, with Change 6, 6 March 2021
IBC, 2018 edition
</t>
  </si>
  <si>
    <t xml:space="preserve">UFC 1-200-01, “DoD Building Code,” 18 October 2019, with Change 1, 1 October 2020.
UFC 3-600-01, "Fire Protection Engineering for Facilities," 8 August 2016, with Change 6, 6 May 2021.
IBC, 2018 edition
</t>
  </si>
  <si>
    <t>RPAD Average  Size</t>
  </si>
  <si>
    <t>Craneway, 10 Ton, 120 LF x 2</t>
  </si>
  <si>
    <t>Industrial, Engineering (Research &amp; Development) Building, Class B, Average, including elevator (Deduct $2.64 for no included elevator)</t>
  </si>
  <si>
    <t>Bridge crane, 10 TN, 50 FT span</t>
  </si>
  <si>
    <t>Craneway, 10 TN, 100 FT x 2 = 200 FT</t>
  </si>
  <si>
    <t xml:space="preserve">The average area for this FAC is 10,205 SF.
The Occupancy Group assigned is B, Business.
</t>
  </si>
  <si>
    <t>RDT&amp;E Technical Service Facility</t>
  </si>
  <si>
    <t xml:space="preserve"> Set Equal to FAC 3101</t>
  </si>
  <si>
    <t>Mission Command Training Center (USACE PAX Newsletter 3.2.2, 21 May 2021)</t>
  </si>
  <si>
    <t>Communications Facility (Marshall and Swift Valuation, October 2020</t>
  </si>
  <si>
    <t xml:space="preserve">USACE PAX Newsletters 3.2.2;                                                          Marshall and Swift Valuation, October 2020  
</t>
  </si>
  <si>
    <t>Control Tower - open observation deck (USACE PAX Newsletter,
4 April 2017)</t>
  </si>
  <si>
    <t>Control Tower - open observation deck (USACE PAX Newsletter,
21 May 2021)</t>
  </si>
  <si>
    <t>8" Thick Reinforced Concrete Pavement, 4,500 PSI, 12-FT pass (USACE PAX Newsletter, 21 May 2021)</t>
  </si>
  <si>
    <t>Communications Facility (Marshall and Swift Valuation / October 2020)</t>
  </si>
  <si>
    <t>Miscellaneous RDT&amp;E Facility</t>
  </si>
  <si>
    <t>RDT&amp;E Area</t>
  </si>
  <si>
    <t xml:space="preserve"> Set Equal to FAC 3712</t>
  </si>
  <si>
    <t xml:space="preserve"> No Replacement Cost Defined</t>
  </si>
  <si>
    <t>Aerodynamic Wind Tunnel</t>
  </si>
  <si>
    <t>RPAD Average Size from 2020 RPAD average facility dimensions (263.8 FT * 101.8 FT)' by 251'); 15 Asset Allocations.</t>
  </si>
  <si>
    <t>Cost from MILCON project P-670, Construct Jet Engine Test Cell, MCAS New River, FY2008.
Area Cost Factor for Arlington, VA, derived from UFC 3-701-01,23 May 2018, with Change 8, 2021 Data Tables, Table 4-1, 3 February 2021</t>
  </si>
  <si>
    <t xml:space="preserve">Bulk Liquid Fuel Storage </t>
  </si>
  <si>
    <t xml:space="preserve">Large Bulk Liquid Fuel Storage </t>
  </si>
  <si>
    <t>Inflated from FY2020; PACES 7.0.11</t>
  </si>
  <si>
    <t>Liquid Oxygen Storage</t>
  </si>
  <si>
    <t>Inflated from FY2020; FY2006 PACES and RS Means</t>
  </si>
  <si>
    <t>Welded Steel Pressure Tank, 20,000 GA</t>
  </si>
  <si>
    <t>SF to GA  Conversion</t>
  </si>
  <si>
    <t>USACE PAX Newsletter 3.2.2, 21 May 2021;                USACE PAX Newsletter 3.2.2, 20 March 2009</t>
  </si>
  <si>
    <t xml:space="preserve">The average area for this FAC is 1,822 SY.  
</t>
  </si>
  <si>
    <t>UFC 3-600-01, "Fire Protection Engineering for Facilities," 08 August 2016 with Change 6, 6 May 2021</t>
  </si>
  <si>
    <t>Sprinkler, dry, 30,000 SF, Average</t>
  </si>
  <si>
    <t xml:space="preserve">The average area of this FAC is 21,481 SF, based on 374 records in the 2019 RPAD.
The International Building Code (IBC) Occupancy Group assigned is B, Business.
</t>
  </si>
  <si>
    <t>UFC 4-440-01, "Warehouse and Storage Facilities," 01 October 2014.
NFPA 13, "Standard for the Installation of Fire Sprinkler Systems," 2016 Edition.
UFC 3-600-01, "Fire Protection Engineering for Facilities," 08 August 2016 with Change 6, 6 May 2021
Commercial Real Estate Development Association, NAIOP Research Foundation, “NAIOP Terms and Definitions: North American Office and Industrial Market."
IBC, 2018 edition</t>
  </si>
  <si>
    <t xml:space="preserve">The average area of this FAC is 21,319 SF, based on the 2019 RPAD.
The International Building Code (IBC) Occupancy Group assigned is B, Business.
</t>
  </si>
  <si>
    <t xml:space="preserve">UFC 1-200-01, “DoD Building Code,” 8 October , with Change 1, 01 February 2018
UFC 3-600-01, "Fire Protection Engineering for Facilities," 08 August 2016 with Change 6, 6 May 2021.
IBC, 2018 edition
</t>
  </si>
  <si>
    <t>Veterinary Hospital, Class A-B, Average, including elevator (Deduct $4.32/SF for no included elevator)</t>
  </si>
  <si>
    <t>Pentagon</t>
  </si>
  <si>
    <t>Inflated from FY2020;
WHS-reported Construction Cost</t>
  </si>
  <si>
    <t>General Administrative Building, High-Rise</t>
  </si>
  <si>
    <t>Sprinkler, Wet System, 300,000 SF, Good</t>
  </si>
  <si>
    <t>Office Building, Class A, Good, including elevators</t>
  </si>
  <si>
    <t xml:space="preserve">There are 45 assets listed in the 2020 RPAD for FAC 1467, which is comprised of three category codes (CATCode): 
• Air Force 149629, Cold Fog Dispersal System;  however, there are no (0) AF assets in this FAC in the 2020 RPAD.  Previously, this system was represented by FAC 8930, Installation Natural Gas Distribution.
• Navy 14915, Fixed Point Utility Support: There are 42 assets currently in the 2020 RPAD inventory.  This could be an air-start system, environmental control system, flight line electrical distribution system (FLEDS) or point-of-use frequency converter system according to UFC 2-000-05N.   This CATCode can be represented by FAC 8927, Utility Vault.
• Navy/Marine Corps 14985, Expeditionary Air Control Site: There are 3 assets in the 2020 RPAD inventory.  According to Unified Facilities Criteria (UFC) 2-000-05N, this CATCode represents  Marine Corps facilities required to accommodate, in garrison, the equipment used for expeditionary aircraft command and control.  UFC 2-000-05N points to UFC 4-141-10N for details, and that document, in turn, republishes MIL-HDBK 1024/1 of 1992 for criteria.  MIL-HDBK 1024/1 describes a collection of facilities including radio and radar towers and prefabricated buildings as collectively comprising the category code.   This CATCode can be represented by FAC 1341, Aircraft Navigation Facility. 
</t>
  </si>
  <si>
    <t>Engineering/Housing Maintenance Shop</t>
  </si>
  <si>
    <t>WHS CATCode is 219252, Engineer Maintenance Facility/Remote Delivery Facility</t>
  </si>
  <si>
    <t>This is a new FAC in 2018. There are no FAC 6107 assets in the 2020 RPAD. However, there are 168 assets in FAC 6100 that appear to meet the criteria for FAC 6107 (7 stories or more).</t>
  </si>
  <si>
    <t>Multistory Premium; 1/2% for each story over 3 (Assumed number of stories = 16)</t>
  </si>
  <si>
    <t>Underground Administrative Facility (USACE PAX Newsletter 3.2.2, 20 March 2009)</t>
  </si>
  <si>
    <t>Sub-total Scoreboard and Poles</t>
  </si>
  <si>
    <t>Average of Scoreboard and Flagpole</t>
  </si>
  <si>
    <t>Poles for Scoreboard, 8 IN diameter, 15 FT, 2 EA</t>
  </si>
  <si>
    <t>Senior NCO, Grade E9, 3 Bedrooms</t>
  </si>
  <si>
    <t>Family Housing High Rise Building</t>
  </si>
  <si>
    <t>Enlisted Family Housing - OCONUS (Korea)</t>
  </si>
  <si>
    <t xml:space="preserve">UFC 4-510-01, "Design: Military Medical Facilities,"  30 May 2019, with Change 1,  4 December  2019. 
UFC 4-720-01 "Lodging Facilities," 13 February 2012. Per DoD requirements, provide accessible rooms per Table F224.2 of the ABA Accessibility Standard for DoD facilities.
FC 4-721-10N, "Navy and Marine Corps Unaccompanied Housing," 1 November 2012, with Change 6, 1 May 2015. 
UFC 3-600-01, "Fire Protection Engineering for Facilities," 8 August 2016 with Change 6, 6 May 2021.
IBC, 2018 Edition.
UFC 3-101-01, "Architecture," 16 December 2020, with Change 1, 06 Ma5 January 2022,                                                                                                                                                                                          </t>
  </si>
  <si>
    <t xml:space="preserve">Four (4) elevators have been included in consonance with the Elevator Business Rule.
UFC 3-101-01 provides a limited reference to a loading dock as a space to be compartmentalized for fire and smoke control.  
UFC 4-510-01  refers to truck loading docks for fire protection, environmental controls, and lighting levels, but does not provide specific design guidance on the number to be provided.  Although no specific requirement exists, the numerous references in the related UFC 4-510-01 provide a basis for the incorporation of a minimum number of loading docks in the Replacement Unit Cost estimate. 
</t>
  </si>
  <si>
    <t>Dormitory, Class C, Average, including elevator (Deduct $4.56/SF for no included elevator)</t>
  </si>
  <si>
    <t xml:space="preserve">The average area for this FAC is 3,329 SF. 
International Building Code Occupancy Group B (Business). 
</t>
  </si>
  <si>
    <t>Assumed Size: 40 FT x 20FT</t>
  </si>
  <si>
    <t xml:space="preserve">The average area for this FAC is 15,884 SF.  
This type of facility is classified by International Building Code (IBC) as Group I-3, Institutional Prisons, Jails, Detention Centers, etc.
</t>
  </si>
  <si>
    <t xml:space="preserve">BUPERSINST 1640.22, "Naval Corrections Manual," Article 1640-020,“Physical Plant and Major Equipment,” 29 March 2011.
ACA, "Planning and Design Guide for Secure Adult and Juvenile Facilities, August 1, 1999.
AR 190-47, “The Army Corrections System”, Section 9-4, pg 28, of 15 June 2006.
FC 4-721-02F Air Force Level I Confinement Facility, 1 April 2015. 
UFC 3-600-01, "Fire Protection Engineering for Facilities," 8 August 2016, with Change 6, 6 May 2021.
IBC, 2018 Edition. 
</t>
  </si>
  <si>
    <t xml:space="preserve">The average area for this FAC is 6,220 SF.  
</t>
  </si>
  <si>
    <t xml:space="preserve">No UFC criteria exist for component material.  
Applying the M&amp;S Selection Business Rule, the FAC is MVS Class C, Average Quality.
</t>
  </si>
  <si>
    <t>Sprinkler, 40,000 SF, Wet System, Average</t>
  </si>
  <si>
    <t>Range hood, Complete, Average, per LF, 10 LF per hood,  4 EA</t>
  </si>
  <si>
    <t xml:space="preserve">The average area for this FAC is 4,477 SF. 
</t>
  </si>
  <si>
    <t>Non-Exchange Eating Facility</t>
  </si>
  <si>
    <t>Set Equal to FAC 7331;
Marshall and Swift Valuation, October 2020</t>
  </si>
  <si>
    <r>
      <t xml:space="preserve">The average area for this FAC is 13,681SF. 
IBC occupancy group classification is A (A-2, Assembly uses for food and/or drink consumption). </t>
    </r>
    <r>
      <rPr>
        <b/>
        <sz val="11"/>
        <rFont val="Calibri"/>
        <family val="2"/>
        <scheme val="minor"/>
      </rPr>
      <t xml:space="preserve"> </t>
    </r>
    <r>
      <rPr>
        <sz val="11"/>
        <rFont val="Calibri"/>
        <family val="2"/>
        <scheme val="minor"/>
      </rPr>
      <t xml:space="preserve">
</t>
    </r>
  </si>
  <si>
    <t xml:space="preserve">Army Regulation AR 215-1, “Military Morale, Welfare and Recreation Programs and Nonappropriated Fund Instrumentalities," Appendix E, "Construction Funding for Military Morale, Welfare, and Recreation Facilities," 24 September 2010..
IBC, International Code Council, 2018 edition;  Chapter 3, "Occupancy Classification."
IBC, Chapter 6, “Types of Construction.”
IBC, paragraph 903.2.1.2, "Group A-2 Automatic Sprinkler System."
</t>
  </si>
  <si>
    <t>Elevator, Freight, 2-3 story, Average (Add $17,300 per stop, 2 stops, power doors)</t>
  </si>
  <si>
    <t>Elevator, Passenger, 2-3 story, Average (Add $7,800 per stop, 2 stops)</t>
  </si>
  <si>
    <t>Loading Dock Roof, Good canopy structure with lighting and finished soffit</t>
  </si>
  <si>
    <t>Loading Dock, steel piers</t>
  </si>
  <si>
    <t>Clothing Sales Store</t>
  </si>
  <si>
    <t>Set Equal to FAC 7346;
Marshall and Swift Valuation, October 2020</t>
  </si>
  <si>
    <t xml:space="preserve">The average area for this FAC is 14,611  SF. 
</t>
  </si>
  <si>
    <t xml:space="preserve">Determination of the number of loading docks depends upon the number of simultaneous truck deliveries and time to load/unload.   For this facility, application of the NAOIP average of 7500 SF floor space to one dock was used as the best available method. 
No elevator is provided in consonance with the Elevator Business Rules.  Average number of floors above ground is 1.21.
</t>
  </si>
  <si>
    <t>Bank - Branches, Class C, Average, including elevator (Deduct $2.67/SF for no included elevator)</t>
  </si>
  <si>
    <t>Dock leveler, 8 EA</t>
  </si>
  <si>
    <t>Elevator, Passenger, 2-3 stories, Average, 1 EA (Add $7,800 per stop, 2 stops)</t>
  </si>
  <si>
    <t xml:space="preserve">The average area for this FAC is 60,755 SF.   
</t>
  </si>
  <si>
    <t xml:space="preserve">IBC, Chapter 6 “Types of Construction”, International Code Council, 2018.
Commercial Real Estate Development Association, NAIOP Research Foundation, “NAIOP Terms and Definitions: North American Office and Industrial Market, pg. 12.
Unified Facility Guide Specification, UFGS-11 13 19.13, August 2009, with Change 1, May 2019.
</t>
  </si>
  <si>
    <t xml:space="preserve">The average area for this FAC is 12,2794 SF.  
</t>
  </si>
  <si>
    <t xml:space="preserve">UFC 3-600-01 requires compliance with NFPA 101 for education occupancies.  National Fire Protection Association (NFPA) Publication 101, Section 14.3.5.1  requires new E occupancies, in which the FAC 7362 is categorized, to be fully sprinklered in all fire areas exceeding 12,000 SF.  This same requirement exists in the International Building Code (IBC), Section 903.2.3,  governing Occupancy Group E (schools, educational uses).  The PUC calculation recognizes this difference between those facilities requiring sprinklers and those smaller than the threshold by applying a multiplier representing the ratio of total number of facilities exceeding the 12,000 SF threshold to the total number of facilities in this FAC, 103/317 = 32.5%.
</t>
  </si>
  <si>
    <t>Two (2) elevators have been included in consonance with the Elevator Business Rule.  Average number of floors above ground is 1.61.</t>
  </si>
  <si>
    <t xml:space="preserve">UFC 3-600-01, "Fire Protection Engineering for Facilities," 8 August 2016 with Change 6, 6 May 2021
NFPA Publication 101, Life Safety Code, 2018 edition 
IBC Section 903.2.3, 2018 Edition 
</t>
  </si>
  <si>
    <t>Per the Table 2 footnote, DoDEA developed one price based on K-12 schools in the CONUS.</t>
  </si>
  <si>
    <t>Dependent School Facility</t>
  </si>
  <si>
    <t xml:space="preserve">UFC 3-600-01, "Fire Protection Engineering for Facilities," 08 August 2016 with Change 6, 6 May 2021.
NFPA Publication 101, Life Safety Code, 2015 edition 
IBC Section 903.2.3, 2018 Edition 
</t>
  </si>
  <si>
    <t xml:space="preserve">UFC 3-600-01, Fire Protection Engineering for Facilities, requires compliance with NFPA 101 for education occupancies.  National Fire Protection Association (NFPA) Publication 101, Section 14.3.5.1  requires new E occupancies, in which the FAC 7362 is categorized, to be fully sprinklered in all fire areas exceeding 12,000 SF.  This same requirement exists in the International Building Code (IBC), Section 903.2.3,  governing Occupancy Group E (schools, educational uses).  The PUC calculation recognizes this difference between those facilities requiring sprinklers and those smaller than the threshold by applying a multiplier representing the ratio of total number of facilities exceeding the 12,000 SF threshold to the total number of facilities in this FAC, 26/214 = 12.1% 
</t>
  </si>
  <si>
    <t xml:space="preserve">The average area for this FAC is 5,779 SF.  
</t>
  </si>
  <si>
    <t>Homeless Support Facility</t>
  </si>
  <si>
    <t>Sprinkler, Wet System, Good, 30,000 SF</t>
  </si>
  <si>
    <t>Warehouse/Storage Facility: General Purpose - Large
( &gt;15,000 SF),  Low-Bay (Stack Height &lt; 16 FT)</t>
  </si>
  <si>
    <t xml:space="preserve">The average area for this FAC is 7,609 SF.  
</t>
  </si>
  <si>
    <t xml:space="preserve">UFC 3-600-01, Fire Protection Engineering for Facilities, requires compliance with National Fire Protection Association (NFPA) Life Safety Code, NFPA Publication 101, for assembly occupancies.  NFPA 101, Section 14.3.5.1, requires new Group A occupancies, in which FAC 7113 is categorized, to be fully sprinklered in all fire areas exceeding 12,000 SF.  This same requirement exists in the International Building Code (IBC), Section 903.2.1.3, governing Occupancy Group A (assembly, A-3 intended for worship, recreation or amusement uses).   The PUC calculation recognizes this difference between those facilities requiring sprinklers (larger than 12,000 SF) and those smaller than 12,000 SF by multiplying the cost of a sprinkler by the ratio of the number of records in the inventory of facilities larger than 12,000 SF to the total number of records, 337/1,500, or22.5%. 
</t>
  </si>
  <si>
    <t>Sprinkler, 3,000 SF, wet, average</t>
  </si>
  <si>
    <t>USACE PAX Newsletter 3.2.2, 12 May 2021</t>
  </si>
  <si>
    <t>Outdoor Kennel Run, $5.08 per SF (Wire Mesh on Steel Posts [Wall Area]),  20 FT *40 FT Enclosure, 8 FT high, 960 SF</t>
  </si>
  <si>
    <t xml:space="preserve">Lighted driving range, assume 20 stations </t>
  </si>
  <si>
    <t>Pitch and putt course, Average, 9 holes</t>
  </si>
  <si>
    <t>Outdoor Recreation Area</t>
  </si>
  <si>
    <t>Inflated from FY2020;
Fairfax County VA Park Authority</t>
  </si>
  <si>
    <t>Synthetic Basketball Court (94 FT x 50 FT with a 10 FT apron)</t>
  </si>
  <si>
    <t>Asphalt pavement for the Basketball Court
(USACE PAX Newsletter 3.2.2, 21 May 2021)</t>
  </si>
  <si>
    <t>Running Tack</t>
  </si>
  <si>
    <t>Drive-In theater, average (priced per car space)</t>
  </si>
  <si>
    <t>Car Space</t>
  </si>
  <si>
    <t>Car Spaces / EA</t>
  </si>
  <si>
    <t>Monument and Memorial</t>
  </si>
  <si>
    <t>Cemetery</t>
  </si>
  <si>
    <t>Inflated from FY2020;
Weighted average by Service FY2000 reported PRV</t>
  </si>
  <si>
    <t xml:space="preserve">UFC 4-750-02N, “Design: Outdoor Sports and Recreation Facilities,” 4 December 2003 
UFGS 11 68 13, “Playground Equipment,” 1 August 2017 
UFGS 32 18 16.13, “Playground Protective Surfacing,” 1 August 2017
UFGS 32 31 13, “Chain Link Fences and Gates," November 2016, with Change 1, May 17
UFGS 32 92 19, “Seeding,” August 2017
UFGS 32 93 00, “Exterior Plants,” August 2017 
Jogging Trail Design size 10,560 ft x 6 ft
FAC 7542 has 2,382 records, of which 1,355 are Air Force; 64 are Navy; and, 961 are Army.
Facility sizes taken from UFC 4-750-02N.
</t>
  </si>
  <si>
    <t>No assets in the 2020 RPAD</t>
  </si>
  <si>
    <t>USACE PAX Newsletter 3.2.2,21 May 2021</t>
  </si>
  <si>
    <t>Street light, underground  wiring, 200' O.C., EA</t>
  </si>
  <si>
    <t>Inflated from FY2020: PACES 1.4;
UFC 3-550-01, September 2016, with Change 3,
1 November 2019</t>
  </si>
  <si>
    <t>Lightning Terminal Point, Good</t>
  </si>
  <si>
    <t>Cable, Lightning Protection, 80 FT, Good</t>
  </si>
  <si>
    <t>Insulator and Cable, with 5 FT wood cross arm</t>
  </si>
  <si>
    <t>Do we want to keep 4 decimals for the horseblanket?</t>
  </si>
  <si>
    <t>Marshall &amp; Swift cost are for standard gas- and light-oil-fired boilers, complete with pumps, controls and gauges, 15 LB pressure for steam, 30 LB for water.  Cost does  not include flue piping, electric wiring, pad, gas or oil piping or storage tanks.
ASME BPVC, Section IV, "Heating Boilers," 2021
Controls and Safety Devices for Automatically Fired Boilers, 2018
UFC 3-410-01, “Heating, Ventilation and Air Conditioning Systems," 1 July 2013, with Change 7, 1 March 2021
UFC 3-430-02FA, “Central Steam Boiler Plants," 15 May 2003, with Change 1, 1 December 2007
UFC 3-430-08N, “Central Heating Plants,” 16 January 2004
UFC 3-600-01, "Fire Protection Engineering for Facilities," 8 August 2016 with Change 6, 6 May 2021
NFPA 850, "Recommended Practice for Fire Protection for Electric Generating Plants and High Voltage Direct Current Converter Stations," 2020</t>
  </si>
  <si>
    <t xml:space="preserve">RPAD Average Size </t>
  </si>
  <si>
    <t>Drain field factor (1.25 x tank cost)</t>
  </si>
  <si>
    <t>Agitator, pumps, and valves</t>
  </si>
  <si>
    <t>Packaged lift stations do not include fencing or external piping</t>
  </si>
  <si>
    <t xml:space="preserve">Marshall and Swift Valuation, October 2017;
Army Public Works Technical Bulletin (PWTB) 200-1-68, 31 December 2009
</t>
  </si>
  <si>
    <t xml:space="preserve"> Set to FAC 1131; PACES 1.4;
UFC 3-260-02, 30 June 2001 </t>
  </si>
  <si>
    <t>Elevator, Passenger, Average, 2-3 story, 2 EA  (Add $7900 for each stop including ground floor; two stops)</t>
  </si>
  <si>
    <t xml:space="preserve">Cost from MILCON project P-1353 Construct Landfill, Camp Lejeune, FY2014.
Area Cost Factor (1.01) is derived from USACE PAX 3.2.1 Area Cost Factors, 21 May 2021.
The construction cost of a hazardous waste landfill is equal to sanitary landfill as requirements are essentially identical, although operations costs differ.  The distinction between designs for hazardous waste landfills and solid waste landfills is blurring.  States now require double liners for landfills or utilize a liner with a full site lysimeter system to ensure groundwater protection and contaminant detection. To increase public acceptance and confidence in the ability of landfill systems to protect the environment, landfill designs now call for multiple liner systems for disposing of both hazardous and solid waste. </t>
  </si>
  <si>
    <t>Cost from MILCON project P-1353, Construct Landfill, Camp Lejeune, FY2014.
Area Cost Factor (1.01) derived from USACE PAX 3.2.1 Area Cost Factors, 21 May 2021.</t>
  </si>
  <si>
    <t>New FAC in 2021 RPCS</t>
  </si>
  <si>
    <t>Set equal to FAC 8811</t>
  </si>
  <si>
    <t>Set equal to FAC 8714</t>
  </si>
  <si>
    <t>Inflated from FY2020: PACES 1.4</t>
  </si>
  <si>
    <t>Inflated from FY2020;
Source: American Segmental Bridge Institute</t>
  </si>
  <si>
    <t>Inflated from FY2020;
R&amp;K research paper for Navy CNIC, August 2011</t>
  </si>
  <si>
    <t xml:space="preserve">Set to FAC 8714 </t>
  </si>
  <si>
    <t>Design Size = 1,105 SF (85 FT x 13 FT)</t>
  </si>
  <si>
    <t>USACE PAX Newsletter 3.2.2, 21  May 2021</t>
  </si>
  <si>
    <t>Set equal to FAC 8421</t>
  </si>
  <si>
    <t xml:space="preserve"> Inflated From FY2020;
California Energy Commission Study </t>
  </si>
  <si>
    <t>Sidewalk, Concrete, median</t>
  </si>
  <si>
    <t>Pedestrian bridge, steel, median</t>
  </si>
  <si>
    <t xml:space="preserve">Unified Facilities Criteria UFC 3-401-01 “Mechanical Engineering” of 1 July 2013 with Change 1, October 2015
Unified Facilities Guide Specification Section 42.22.16.00.40, “Reciprocating Process Chillers and Coolers,” 01 May 2017
Unified Facilities Guide Specification Section 23.64.00, “Packaged Water Chillers, Absorption Type,” November 2016
Unified Facilities Guide Specification Section 23.64.10, “Water Chillers, Vapor Compression Type,” November 2016
Unified Facilities Guide Specification Section 42.22.13.00.40, “Centrifugal Process Chillers and Coolers,” 01 August 2017
Unified Facilities Criteria UFC 4-826-10 “Design: Refrigeration Systems for Cold Storage”, 10 July 2002
Unified Facilities Criteria UFC 3-600-01, Fire Protection, of 8 August 2016 with Change 6, 6 May 2021
National Fire Protection Association 850, Recommended Practice for Fire Protection for Electrical Generating Plants and High Voltage D Converter Stations, 6.6.1, 2015. 
</t>
  </si>
  <si>
    <t>Security micro-mesh, $1.20/SF = $8.80/LF for 8' fence height</t>
  </si>
  <si>
    <t>Security micro-mesh, $1.20/SF = $14.40/LF for 12 FT fence height</t>
  </si>
  <si>
    <t>Set to FAC 8714 with assumed size of 400 LF</t>
  </si>
  <si>
    <t>Set equal to FAC 8413</t>
  </si>
  <si>
    <t>Utility tunnel, 5" -7" wall, medium soil, 1 FT x 2 FT cross-section</t>
  </si>
  <si>
    <t>Flood Control Structures</t>
  </si>
  <si>
    <t>Set equal to FAC 8714 with size of 500 LF</t>
  </si>
  <si>
    <t>The average quantity for this FAC is 15,956 LF (linear feet).
This FAC does not represent a building and therefore has no International Building Code Occupancy Group.</t>
  </si>
  <si>
    <t>Ammunition Production Structure</t>
  </si>
  <si>
    <t>Ammunition Demilitarization Structure</t>
  </si>
  <si>
    <t>Sewage Lift Station, 200 KG</t>
  </si>
  <si>
    <t>Sewage Lift Station, 144 KG (100 GPM)</t>
  </si>
  <si>
    <t>Sewage Lift Station, 288 KG (200 GPM)</t>
  </si>
  <si>
    <t>per KG</t>
  </si>
  <si>
    <t>Refuse Collection and Recycling Structure</t>
  </si>
  <si>
    <t>Water Well, Water Source</t>
  </si>
  <si>
    <t>The average quantity for this FAC is 321,343 GA.  There are 4,058 records in the 2020 RPAD.
This FAC does not represent a building and therefore has no International Building Code Occupancy Group.</t>
  </si>
  <si>
    <t xml:space="preserve">The average quantity for this FAC is 5,844 LF (linear feet), based on 2,976 records in the 2017 RPAD.
This FAC does not represent a building and therefore has no International Building Code Occupancy Group.
</t>
  </si>
  <si>
    <t xml:space="preserve">The average quantity for this FAC is 3,114 LF (linear feet).
This FAC does not represent a building and therefore has no International Building Code Occupancy Group.
</t>
  </si>
  <si>
    <t>UFC 3-201-01, “Civil Engineering,” 1 April 2018, with Change 5, 1 April 2021.
AASHTO, "Standard Specifications for Highway Bridges," 17th  edition, 2002
AASHTO, "LRFD Design Specification," U.S. Customary Units, 8th Edition, September 2017 (LRFD = Load and Resistance Factor Design).</t>
  </si>
  <si>
    <t xml:space="preserve">UFC 3-201-01, “Civil Engineering,” 1 April 2018, with Change 5, 1 April 2021.
UFGS 32 16 13, “Concrete Sidewalks and Curbs and Gutters,” May 2018.
</t>
  </si>
  <si>
    <t>UFC 3-600-01, "Fire Protection Engineering for Facilities," 08 August 2016 with Change 6, 6 May 2021.
NFPA 850, "Recommended Practice for Fire Protection for Electric Generating Plants and High Voltage Direct Current Converter Stations," Section 6.6, 2015. 
IBC, 2018 edition.</t>
  </si>
  <si>
    <t xml:space="preserve">The average quantity for this FAC is 10,242 SY.
This FAC does not represent a building and therefore has no International Building Code Occupancy Group.
</t>
  </si>
  <si>
    <t xml:space="preserve">UFC 3-201-01, “Civil Engineering,” 1 April 2018, with Change 5, 1 April 2021.
AASHTO, "Standard Specifications for Highway Bridges," 17th  edition, 2002
AASHTO, "LRFD Design Specification," U.S. Customary Units, 8th Edition, September 2017 (LRFD = Load and Resistance Factor Design).
</t>
  </si>
  <si>
    <t>The average quantity for this FAC is 1,139 KG (thousands of gallons per day).
This FAC does not represent a building and therefore has no International Building Code Occupancy Group.</t>
  </si>
  <si>
    <t xml:space="preserve">The average quantity for this FAC is 10,942 LF.  Sewer size (diameter) is taken in the cost estimate as the average between a “main” and a “lateral”.  Design criteria for the selection of the diameter is taken from ASCE MOP 60.  This FAC does not represent a building and therefore has no International Building Code Occupancy Group.
</t>
  </si>
  <si>
    <t xml:space="preserve">The average quantity for this FAC is 1,155 KG (thousands of gallons per day).  The standard industry unit of measure is MGD, millions of gallons per day.  
This FAC does not represent a building and therefore has no International Building Code Occupancy Group.
</t>
  </si>
  <si>
    <t xml:space="preserve">The average quantity for this FAC is 568TR (tons of refrigeration).  
This FAC does not represent a building and therefore has no International Building Code Occupancy Group.
</t>
  </si>
  <si>
    <t>The average quantity for this FAC is 1.32 EA.
This FAC does not represent a building and therefore has no International Building Code Occupancy Group.</t>
  </si>
  <si>
    <t xml:space="preserve">The average area for this FAC is 63,678 SF.  
Classified as International Building Code (IBC) Group I (Institutional).
</t>
  </si>
  <si>
    <t>Various</t>
  </si>
  <si>
    <t xml:space="preserve">The average area for this FAC is 7,432 SF.  
IBC Business Group B
</t>
  </si>
  <si>
    <t xml:space="preserve">UFC 3-600-01, "Fire Protection Engineering for Facilities," 08 August 2016 with Change 6, 6 May 2021
UFC 4-440-01, "Warehouse and Storage Facilities," 01 October 2014.
NFPA Standard 13, "Standard for the Installation of Fire Sprinkler Systems," 2016
Commercial Real Estate Development Association, NAIOP Research Foundation, “Commercial Real Estate Terms and Definitions," 2017.
UFGS-11 13 19.13, Loading Dock Levelers, August 2009
IBC, 2018 edition                         </t>
  </si>
  <si>
    <t>Inflated from FY2020;
Arnold AFB and HQ AF/ILEP data, November 2000</t>
  </si>
  <si>
    <t xml:space="preserve">The average area for this FAC is 8,689 SF.
The Occupancy Group assigned is B, Business.
</t>
  </si>
  <si>
    <t xml:space="preserve">The average area for this FAC is 33,337 SF.
The Occupancy Group assigned is H, High Hazard.
</t>
  </si>
  <si>
    <t>Inflated from FY2020; PACES 1.4;
UFC 3-260-01, 4 February 2019, with Change 1,
5 May 2020; UFC 3-260-02, 30 June 2001</t>
  </si>
  <si>
    <t>FY2021 Plant Replacement Value (PRV) Unit Cost (PUC) Supporting Documentation  +A1:L158</t>
  </si>
  <si>
    <t>The average quantity for this FAC is 17,477 LF.
This FAC does not represent a building and therefore has no International Building Code Occupancy Group.</t>
  </si>
  <si>
    <t>Set equal to FAC 8422</t>
  </si>
  <si>
    <t>The average quantity for this FAC is 351 SY (square yards).
This FAC does not represent a building and therefore has no International Building Code Occupancy Group.</t>
  </si>
  <si>
    <t xml:space="preserve">No UFC requirement exists for the incorporation of a loading dock.  As general guidance, the Commercial Real Estate Development Association (NAIOP) provides an estimate of the average number of loading docks per square foot of industrial or warehouse averaging 1 dock per 7,500 sf of floor space .    For this FAC, 1 loading dock assembly is provided.   
The guide specification for design of a loading dock is contained in the Unified Facilities Guide Specification. 
The average number of floors is 1.90 yielding 1 elevator for the maximum number of occupants applying the Elevator Business Rule. The Marshall and Swift RDT&amp;E building, type 392, Class B building includes an elevator in the basic square foot cost.
</t>
  </si>
  <si>
    <t>UFC 4-022-01, “Security Engineering:  Entry Control Facilities/Access Control Points, 27 July 2017.  
UFC 4-022-03, “Security Fences and Gates,” 1 October 2013.
ASCE 7-10, "Minimum Design Loads for Buildings and Other Structures,"  Third Printing, 2013.
UFGS 32 31 26, “Wire Fences and Gates,” April 2008.
UFGS 32 31 13, “Chain Link Fences and Gates,”  November 2016, with Change 1, May 2017.
UFGS 32 32 23, “Segmental Concrete Block Retaining Wall,” April 2008, with Change 1 of August 2014.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</si>
</sst>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5" formatCode="&quot;$&quot;#,##0_);\(&quot;$&quot;#,##0\)"/>
    <numFmt numFmtId="7" formatCode="&quot;$&quot;#,##0.00_);\(&quot;$&quot;#,##0.00\)"/>
    <numFmt numFmtId="8" formatCode="&quot;$&quot;#,##0.00_);[Red]\(&quot;$&quot;#,##0.00\)"/>
    <numFmt numFmtId="44" formatCode="_(&quot;$&quot;* #,##0.00_);_(&quot;$&quot;* \(#,##0.00\);_(&quot;$&quot;* &quot;-&quot;??_);_(@_)"/>
    <numFmt numFmtId="43" formatCode="_(* #,##0.00_);_(* \(#,##0.00\);_(* &quot;-&quot;??_);_(@_)"/>
    <numFmt numFmtId="164" formatCode="&quot;$&quot;#,##0.00"/>
    <numFmt numFmtId="165" formatCode="_(* #,##0_);_(* \(#,##0\);_(* &quot;-&quot;??_);_(@_)"/>
    <numFmt numFmtId="166" formatCode="0.0000"/>
    <numFmt numFmtId="167" formatCode="_(* #,##0.000_);_(* \(#,##0.000\);_(* &quot;-&quot;??_);_(@_)"/>
    <numFmt numFmtId="168" formatCode="_(* #,##0.0_);_(* \(#,##0.0\);_(* &quot;-&quot;??_);_(@_)"/>
    <numFmt numFmtId="169" formatCode="_(* #,##0.0000_);_(* \(#,##0.0000\);_(* &quot;-&quot;??_);_(@_)"/>
    <numFmt numFmtId="170" formatCode="0.0"/>
    <numFmt numFmtId="171" formatCode="#,##0.0"/>
    <numFmt numFmtId="172" formatCode="0.000"/>
    <numFmt numFmtId="173" formatCode="0.000000"/>
    <numFmt numFmtId="174" formatCode="_(&quot;$&quot;* #,##0_);_(&quot;$&quot;* \(#,##0\);_(&quot;$&quot;* &quot;-&quot;??_);_(@_)"/>
    <numFmt numFmtId="175" formatCode="&quot;$&quot;#,##0.00;[Red]&quot;$&quot;#,##0.00"/>
    <numFmt numFmtId="176" formatCode="&quot;$&quot;#,##0.0000_);\(&quot;$&quot;#,##0.0000\)"/>
    <numFmt numFmtId="177" formatCode="_(&quot;$&quot;* #,##0.000_);_(&quot;$&quot;* \(#,##0.000\);_(&quot;$&quot;* &quot;-&quot;??_);_(@_)"/>
    <numFmt numFmtId="178" formatCode="0.00000"/>
    <numFmt numFmtId="179" formatCode="&quot;$&quot;#,##0"/>
    <numFmt numFmtId="180" formatCode="_(&quot;$&quot;* #,##0.000_);_(&quot;$&quot;* \(#,##0.000\);_(&quot;$&quot;* &quot;-&quot;???_);_(@_)"/>
    <numFmt numFmtId="181" formatCode="#,##0.0000_);\(#,##0.0000\)"/>
    <numFmt numFmtId="182" formatCode="[$-409]dd\-mmm\-yy;@"/>
    <numFmt numFmtId="183" formatCode="_(* #,##0.0000_);_(* \(#,##0.0000\);_(* &quot;-&quot;????_);_(@_)"/>
    <numFmt numFmtId="184" formatCode="_(&quot;$&quot;* #,##0.0000_);_(&quot;$&quot;* \(#,##0.0000\);_(&quot;$&quot;* &quot;-&quot;????_);_(@_)"/>
    <numFmt numFmtId="185" formatCode="_(* #,##0.00000_);_(* \(#,##0.00000\);_(* &quot;-&quot;??_);_(@_)"/>
    <numFmt numFmtId="186" formatCode="[$$-409]#,##0.00;\([$$-409]#,##0.00\)"/>
    <numFmt numFmtId="187" formatCode="0.0%"/>
    <numFmt numFmtId="188" formatCode="#,##0.0_);\(#,##0.0\)"/>
    <numFmt numFmtId="189" formatCode="_(* #,##0.0_);_(* \(#,##0.0\);_(* &quot;-&quot;?_);_(@_)"/>
  </numFmts>
  <fonts count="72" x14ac:knownFonts="1">
    <font>
      <sz val="11"/>
      <color theme="1"/>
      <name val="Calibri"/>
      <family val="2"/>
      <scheme val="minor"/>
    </font>
    <font>
      <sz val="11"/>
      <color theme="1"/>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sz val="10"/>
      <name val="Times New Roman"/>
      <family val="1"/>
    </font>
    <font>
      <sz val="8"/>
      <name val="Arial"/>
      <family val="2"/>
    </font>
    <font>
      <sz val="11"/>
      <name val="Calibri"/>
      <family val="2"/>
      <scheme val="minor"/>
    </font>
    <font>
      <sz val="10"/>
      <color indexed="8"/>
      <name val="MS Sans Serif"/>
      <family val="2"/>
    </font>
    <font>
      <b/>
      <sz val="11"/>
      <name val="Calibri"/>
      <family val="2"/>
      <scheme val="minor"/>
    </font>
    <font>
      <b/>
      <sz val="9"/>
      <name val="Calibri"/>
      <family val="2"/>
      <scheme val="minor"/>
    </font>
    <font>
      <sz val="11"/>
      <name val="Calibri"/>
      <family val="2"/>
    </font>
    <font>
      <b/>
      <sz val="10"/>
      <name val="Arial"/>
      <family val="2"/>
    </font>
    <font>
      <i/>
      <sz val="11"/>
      <name val="Calibri"/>
      <family val="2"/>
      <scheme val="minor"/>
    </font>
    <font>
      <vertAlign val="superscript"/>
      <sz val="11"/>
      <name val="Calibri"/>
      <family val="2"/>
      <scheme val="minor"/>
    </font>
    <font>
      <sz val="10"/>
      <name val="Calibri"/>
      <family val="2"/>
      <scheme val="minor"/>
    </font>
    <font>
      <b/>
      <sz val="11"/>
      <color indexed="8"/>
      <name val="Calibri"/>
      <family val="2"/>
    </font>
    <font>
      <sz val="11"/>
      <color indexed="8"/>
      <name val="Calibri"/>
      <family val="2"/>
    </font>
    <font>
      <sz val="10"/>
      <name val="Arial"/>
      <family val="2"/>
    </font>
    <font>
      <b/>
      <sz val="14"/>
      <name val="Calibri"/>
      <family val="2"/>
      <scheme val="minor"/>
    </font>
    <font>
      <b/>
      <sz val="14"/>
      <color theme="1"/>
      <name val="Calibri"/>
      <family val="2"/>
      <scheme val="minor"/>
    </font>
    <font>
      <b/>
      <sz val="9"/>
      <color indexed="81"/>
      <name val="Tahoma"/>
      <family val="2"/>
    </font>
    <font>
      <u/>
      <sz val="11"/>
      <color theme="10"/>
      <name val="Calibri"/>
      <family val="2"/>
      <scheme val="minor"/>
    </font>
    <font>
      <b/>
      <sz val="12"/>
      <color theme="1"/>
      <name val="Calibri"/>
      <family val="2"/>
      <scheme val="minor"/>
    </font>
    <font>
      <sz val="10"/>
      <color indexed="8"/>
      <name val="Arial"/>
      <family val="2"/>
    </font>
    <font>
      <sz val="8"/>
      <name val="Calibri"/>
      <family val="2"/>
      <scheme val="minor"/>
    </font>
    <font>
      <b/>
      <vertAlign val="superscript"/>
      <sz val="14"/>
      <color theme="1"/>
      <name val="Calibri"/>
      <family val="2"/>
      <scheme val="minor"/>
    </font>
    <font>
      <vertAlign val="superscript"/>
      <sz val="11"/>
      <color theme="1"/>
      <name val="Calibri"/>
      <family val="2"/>
      <scheme val="minor"/>
    </font>
    <font>
      <b/>
      <sz val="1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i/>
      <sz val="11"/>
      <color rgb="FF7F7F7F"/>
      <name val="Calibri"/>
      <family val="2"/>
      <scheme val="minor"/>
    </font>
    <font>
      <sz val="10"/>
      <name val="MS Sans Serif"/>
      <family val="2"/>
    </font>
    <font>
      <b/>
      <sz val="18"/>
      <color theme="3"/>
      <name val="Calibri Light"/>
      <family val="2"/>
      <scheme val="major"/>
    </font>
    <font>
      <sz val="11"/>
      <color rgb="FF9C6500"/>
      <name val="Calibri"/>
      <family val="2"/>
      <scheme val="minor"/>
    </font>
    <font>
      <sz val="9"/>
      <name val="Arial"/>
      <family val="2"/>
    </font>
    <font>
      <u/>
      <sz val="11"/>
      <color theme="10"/>
      <name val="Calibri"/>
      <family val="2"/>
    </font>
    <font>
      <sz val="10"/>
      <color theme="1"/>
      <name val="Arial"/>
      <family val="2"/>
    </font>
    <font>
      <u/>
      <sz val="10"/>
      <color indexed="12"/>
      <name val="Arial"/>
      <family val="2"/>
    </font>
    <font>
      <u/>
      <sz val="10"/>
      <color theme="10"/>
      <name val="Arial"/>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sz val="11"/>
      <color indexed="10"/>
      <name val="Calibri"/>
      <family val="2"/>
    </font>
    <font>
      <b/>
      <sz val="12.6"/>
      <color indexed="8"/>
      <name val="Times New Roman"/>
      <family val="1"/>
    </font>
    <font>
      <i/>
      <sz val="10"/>
      <name val="Arial"/>
      <family val="2"/>
    </font>
    <font>
      <b/>
      <sz val="11"/>
      <color rgb="FFFF66CC"/>
      <name val="Calibri"/>
      <family val="2"/>
      <scheme val="minor"/>
    </font>
    <font>
      <sz val="10"/>
      <name val="Arial"/>
      <family val="2"/>
    </font>
    <font>
      <b/>
      <sz val="12"/>
      <name val="Calibri"/>
      <family val="2"/>
      <scheme val="minor"/>
    </font>
    <font>
      <b/>
      <sz val="16"/>
      <name val="Calibri"/>
      <family val="2"/>
      <scheme val="minor"/>
    </font>
    <font>
      <b/>
      <sz val="11"/>
      <name val="Calibri"/>
      <family val="2"/>
    </font>
    <font>
      <b/>
      <i/>
      <sz val="11"/>
      <name val="Calibri"/>
      <family val="2"/>
      <scheme val="minor"/>
    </font>
    <font>
      <sz val="10"/>
      <name val="Calibri"/>
      <family val="2"/>
    </font>
  </fonts>
  <fills count="60">
    <fill>
      <patternFill patternType="none"/>
    </fill>
    <fill>
      <patternFill patternType="gray125"/>
    </fill>
    <fill>
      <patternFill patternType="solid">
        <fgColor theme="0" tint="-0.34998626667073579"/>
        <bgColor indexed="64"/>
      </patternFill>
    </fill>
    <fill>
      <patternFill patternType="solid">
        <fgColor theme="0" tint="-0.14999847407452621"/>
        <bgColor indexed="64"/>
      </patternFill>
    </fill>
    <fill>
      <patternFill patternType="solid">
        <fgColor rgb="FFFFFFFF"/>
        <bgColor indexed="64"/>
      </patternFill>
    </fill>
    <fill>
      <patternFill patternType="solid">
        <fgColor theme="9" tint="0.3999755851924192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4" tint="0.79998168889431442"/>
        <bgColor indexed="64"/>
      </patternFill>
    </fill>
  </fills>
  <borders count="111">
    <border>
      <left/>
      <right/>
      <top/>
      <bottom/>
      <diagonal/>
    </border>
    <border>
      <left/>
      <right/>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right style="thin">
        <color auto="1"/>
      </right>
      <top style="thin">
        <color auto="1"/>
      </top>
      <bottom style="thin">
        <color auto="1"/>
      </bottom>
      <diagonal/>
    </border>
    <border>
      <left/>
      <right/>
      <top style="thin">
        <color indexed="64"/>
      </top>
      <bottom style="thin">
        <color indexed="64"/>
      </bottom>
      <diagonal/>
    </border>
    <border>
      <left style="thin">
        <color auto="1"/>
      </left>
      <right style="thin">
        <color auto="1"/>
      </right>
      <top style="thin">
        <color auto="1"/>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auto="1"/>
      </top>
      <bottom/>
      <diagonal/>
    </border>
    <border>
      <left/>
      <right style="thin">
        <color indexed="64"/>
      </right>
      <top style="thin">
        <color indexed="64"/>
      </top>
      <bottom/>
      <diagonal/>
    </border>
    <border>
      <left style="thin">
        <color auto="1"/>
      </left>
      <right style="thin">
        <color auto="1"/>
      </right>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bottom/>
      <diagonal/>
    </border>
    <border>
      <left/>
      <right style="thin">
        <color indexed="64"/>
      </right>
      <top/>
      <bottom/>
      <diagonal/>
    </border>
    <border>
      <left style="medium">
        <color indexed="64"/>
      </left>
      <right/>
      <top/>
      <bottom style="medium">
        <color indexed="64"/>
      </bottom>
      <diagonal/>
    </border>
    <border>
      <left/>
      <right style="thin">
        <color indexed="64"/>
      </right>
      <top/>
      <bottom style="medium">
        <color indexed="64"/>
      </bottom>
      <diagonal/>
    </border>
    <border>
      <left/>
      <right/>
      <top/>
      <bottom style="medium">
        <color indexed="64"/>
      </bottom>
      <diagonal/>
    </border>
    <border>
      <left style="thin">
        <color indexed="64"/>
      </left>
      <right/>
      <top style="thin">
        <color indexed="64"/>
      </top>
      <bottom/>
      <diagonal/>
    </border>
    <border>
      <left style="thin">
        <color auto="1"/>
      </left>
      <right/>
      <top style="thin">
        <color auto="1"/>
      </top>
      <bottom style="medium">
        <color indexed="64"/>
      </bottom>
      <diagonal/>
    </border>
    <border>
      <left/>
      <right style="thin">
        <color indexed="64"/>
      </right>
      <top style="thin">
        <color indexed="64"/>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right/>
      <top style="thin">
        <color auto="1"/>
      </top>
      <bottom style="medium">
        <color indexed="64"/>
      </bottom>
      <diagonal/>
    </border>
    <border>
      <left style="thin">
        <color auto="1"/>
      </left>
      <right/>
      <top style="medium">
        <color indexed="64"/>
      </top>
      <bottom style="thin">
        <color auto="1"/>
      </bottom>
      <diagonal/>
    </border>
    <border>
      <left style="medium">
        <color indexed="64"/>
      </left>
      <right/>
      <top style="medium">
        <color indexed="64"/>
      </top>
      <bottom style="thin">
        <color indexed="64"/>
      </bottom>
      <diagonal/>
    </border>
    <border>
      <left style="medium">
        <color indexed="64"/>
      </left>
      <right style="thin">
        <color indexed="64"/>
      </right>
      <top style="thin">
        <color indexed="64"/>
      </top>
      <bottom/>
      <diagonal/>
    </border>
    <border>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thin">
        <color indexed="8"/>
      </left>
      <right style="thin">
        <color indexed="8"/>
      </right>
      <top/>
      <bottom/>
      <diagonal/>
    </border>
    <border>
      <left/>
      <right/>
      <top style="medium">
        <color indexed="64"/>
      </top>
      <bottom/>
      <diagonal/>
    </border>
    <border>
      <left style="thin">
        <color auto="1"/>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medium">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style="thin">
        <color auto="1"/>
      </top>
      <bottom style="medium">
        <color indexed="64"/>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indexed="64"/>
      </bottom>
      <diagonal/>
    </border>
    <border>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auto="1"/>
      </left>
      <right/>
      <top style="medium">
        <color auto="1"/>
      </top>
      <bottom/>
      <diagonal/>
    </border>
    <border>
      <left/>
      <right style="medium">
        <color auto="1"/>
      </right>
      <top style="medium">
        <color auto="1"/>
      </top>
      <bottom/>
      <diagonal/>
    </border>
    <border>
      <left style="medium">
        <color indexed="64"/>
      </left>
      <right/>
      <top/>
      <bottom style="thin">
        <color indexed="64"/>
      </bottom>
      <diagonal/>
    </border>
    <border>
      <left style="thin">
        <color indexed="64"/>
      </left>
      <right/>
      <top style="thin">
        <color indexed="64"/>
      </top>
      <bottom style="medium">
        <color indexed="64"/>
      </bottom>
      <diagonal/>
    </border>
    <border>
      <left/>
      <right style="thin">
        <color auto="1"/>
      </right>
      <top style="thin">
        <color auto="1"/>
      </top>
      <bottom style="medium">
        <color indexed="64"/>
      </bottom>
      <diagonal/>
    </border>
    <border>
      <left style="thin">
        <color indexed="64"/>
      </left>
      <right style="thin">
        <color indexed="64"/>
      </right>
      <top style="thin">
        <color indexed="64"/>
      </top>
      <bottom style="thin">
        <color indexed="64"/>
      </bottom>
      <diagonal/>
    </border>
    <border>
      <left style="thin">
        <color auto="1"/>
      </left>
      <right/>
      <top style="thin">
        <color auto="1"/>
      </top>
      <bottom style="thin">
        <color auto="1"/>
      </bottom>
      <diagonal/>
    </border>
    <border>
      <left/>
      <right/>
      <top style="thin">
        <color auto="1"/>
      </top>
      <bottom style="medium">
        <color indexed="64"/>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diagonal/>
    </border>
    <border>
      <left style="thin">
        <color auto="1"/>
      </left>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right style="medium">
        <color indexed="64"/>
      </right>
      <top style="thin">
        <color auto="1"/>
      </top>
      <bottom style="thin">
        <color auto="1"/>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style="thin">
        <color auto="1"/>
      </top>
      <bottom style="medium">
        <color indexed="64"/>
      </bottom>
      <diagonal/>
    </border>
    <border>
      <left style="medium">
        <color indexed="64"/>
      </left>
      <right style="thin">
        <color indexed="64"/>
      </right>
      <top/>
      <bottom style="thin">
        <color indexed="64"/>
      </bottom>
      <diagonal/>
    </border>
    <border>
      <left style="medium">
        <color indexed="64"/>
      </left>
      <right style="thin">
        <color auto="1"/>
      </right>
      <top style="thin">
        <color auto="1"/>
      </top>
      <bottom/>
      <diagonal/>
    </border>
    <border>
      <left style="thin">
        <color auto="1"/>
      </left>
      <right style="medium">
        <color indexed="64"/>
      </right>
      <top style="thin">
        <color auto="1"/>
      </top>
      <bottom/>
      <diagonal/>
    </border>
    <border>
      <left/>
      <right style="medium">
        <color indexed="64"/>
      </right>
      <top/>
      <bottom style="thin">
        <color indexed="64"/>
      </bottom>
      <diagonal/>
    </border>
    <border>
      <left/>
      <right style="medium">
        <color indexed="64"/>
      </right>
      <top/>
      <bottom/>
      <diagonal/>
    </border>
    <border>
      <left style="medium">
        <color auto="1"/>
      </left>
      <right style="medium">
        <color indexed="64"/>
      </right>
      <top style="medium">
        <color auto="1"/>
      </top>
      <bottom/>
      <diagonal/>
    </border>
    <border>
      <left/>
      <right style="thin">
        <color indexed="64"/>
      </right>
      <top style="thin">
        <color indexed="64"/>
      </top>
      <bottom/>
      <diagonal/>
    </border>
  </borders>
  <cellStyleXfs count="312">
    <xf numFmtId="0" fontId="0"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6" fillId="0" borderId="0"/>
    <xf numFmtId="0" fontId="9" fillId="0" borderId="0"/>
    <xf numFmtId="0" fontId="19" fillId="0" borderId="0"/>
    <xf numFmtId="0" fontId="23" fillId="0" borderId="0" applyNumberFormat="0" applyFill="0" applyBorder="0" applyAlignment="0" applyProtection="0"/>
    <xf numFmtId="0" fontId="25" fillId="0" borderId="0"/>
    <xf numFmtId="44" fontId="19" fillId="0" borderId="0" applyFont="0" applyFill="0" applyBorder="0" applyAlignment="0" applyProtection="0"/>
    <xf numFmtId="0" fontId="1" fillId="0" borderId="0"/>
    <xf numFmtId="9" fontId="1" fillId="0" borderId="0" applyFont="0" applyFill="0" applyBorder="0" applyAlignment="0" applyProtection="0"/>
    <xf numFmtId="182" fontId="19" fillId="0" borderId="0"/>
    <xf numFmtId="0" fontId="41" fillId="0" borderId="0" applyNumberFormat="0" applyFill="0" applyBorder="0" applyAlignment="0" applyProtection="0"/>
    <xf numFmtId="0" fontId="12" fillId="0" borderId="0"/>
    <xf numFmtId="9" fontId="12" fillId="0" borderId="0" applyFont="0" applyFill="0" applyBorder="0" applyAlignment="0" applyProtection="0"/>
    <xf numFmtId="0" fontId="44" fillId="0" borderId="0" applyNumberFormat="0" applyFill="0" applyBorder="0" applyAlignment="0" applyProtection="0">
      <alignment vertical="top"/>
      <protection locked="0"/>
    </xf>
    <xf numFmtId="0" fontId="12" fillId="0" borderId="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5" fillId="16" borderId="0" applyNumberFormat="0" applyBorder="0" applyAlignment="0" applyProtection="0"/>
    <xf numFmtId="0" fontId="5" fillId="20"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6" borderId="0" applyNumberFormat="0" applyBorder="0" applyAlignment="0" applyProtection="0"/>
    <xf numFmtId="0" fontId="5" fillId="13" borderId="0" applyNumberFormat="0" applyBorder="0" applyAlignment="0" applyProtection="0"/>
    <xf numFmtId="0" fontId="5" fillId="17" borderId="0" applyNumberFormat="0" applyBorder="0" applyAlignment="0" applyProtection="0"/>
    <xf numFmtId="0" fontId="5" fillId="21" borderId="0" applyNumberFormat="0" applyBorder="0" applyAlignment="0" applyProtection="0"/>
    <xf numFmtId="0" fontId="5" fillId="25" borderId="0" applyNumberFormat="0" applyBorder="0" applyAlignment="0" applyProtection="0"/>
    <xf numFmtId="0" fontId="5" fillId="29" borderId="0" applyNumberFormat="0" applyBorder="0" applyAlignment="0" applyProtection="0"/>
    <xf numFmtId="0" fontId="5" fillId="33" borderId="0" applyNumberFormat="0" applyBorder="0" applyAlignment="0" applyProtection="0"/>
    <xf numFmtId="0" fontId="34" fillId="7" borderId="0" applyNumberFormat="0" applyBorder="0" applyAlignment="0" applyProtection="0"/>
    <xf numFmtId="0" fontId="37" fillId="10" borderId="57" applyNumberFormat="0" applyAlignment="0" applyProtection="0"/>
    <xf numFmtId="0" fontId="2" fillId="11" borderId="60" applyNumberFormat="0" applyAlignment="0" applyProtection="0"/>
    <xf numFmtId="43" fontId="1" fillId="0" borderId="0" applyFont="0" applyFill="0" applyBorder="0" applyAlignment="0" applyProtection="0"/>
    <xf numFmtId="43" fontId="19" fillId="0" borderId="0" applyFont="0" applyFill="0" applyBorder="0" applyAlignment="0" applyProtection="0"/>
    <xf numFmtId="43" fontId="4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45" fillId="0" borderId="0" applyFont="0" applyFill="0" applyBorder="0" applyAlignment="0" applyProtection="0"/>
    <xf numFmtId="0" fontId="39" fillId="0" borderId="0" applyNumberFormat="0" applyFill="0" applyBorder="0" applyAlignment="0" applyProtection="0"/>
    <xf numFmtId="0" fontId="33" fillId="6" borderId="0" applyNumberFormat="0" applyBorder="0" applyAlignment="0" applyProtection="0"/>
    <xf numFmtId="0" fontId="30" fillId="0" borderId="54" applyNumberFormat="0" applyFill="0" applyAlignment="0" applyProtection="0"/>
    <xf numFmtId="0" fontId="31" fillId="0" borderId="55" applyNumberFormat="0" applyFill="0" applyAlignment="0" applyProtection="0"/>
    <xf numFmtId="0" fontId="32" fillId="0" borderId="56" applyNumberFormat="0" applyFill="0" applyAlignment="0" applyProtection="0"/>
    <xf numFmtId="0" fontId="32" fillId="0" borderId="0" applyNumberFormat="0" applyFill="0" applyBorder="0" applyAlignment="0" applyProtection="0"/>
    <xf numFmtId="0" fontId="46" fillId="0" borderId="0" applyNumberFormat="0" applyFill="0" applyBorder="0" applyAlignment="0" applyProtection="0">
      <alignment vertical="top"/>
      <protection locked="0"/>
    </xf>
    <xf numFmtId="0" fontId="47" fillId="0" borderId="0" applyNumberFormat="0" applyFill="0" applyBorder="0" applyAlignment="0" applyProtection="0">
      <alignment vertical="top"/>
      <protection locked="0"/>
    </xf>
    <xf numFmtId="0" fontId="23" fillId="0" borderId="0" applyNumberFormat="0" applyFill="0" applyBorder="0" applyAlignment="0" applyProtection="0"/>
    <xf numFmtId="0" fontId="44" fillId="0" borderId="0" applyNumberFormat="0" applyFill="0" applyBorder="0" applyAlignment="0" applyProtection="0"/>
    <xf numFmtId="0" fontId="35" fillId="9" borderId="57" applyNumberFormat="0" applyAlignment="0" applyProtection="0"/>
    <xf numFmtId="0" fontId="38" fillId="0" borderId="59" applyNumberFormat="0" applyFill="0" applyAlignment="0" applyProtection="0"/>
    <xf numFmtId="0" fontId="42" fillId="8" borderId="0" applyNumberFormat="0" applyBorder="0" applyAlignment="0" applyProtection="0"/>
    <xf numFmtId="0" fontId="19" fillId="0" borderId="0"/>
    <xf numFmtId="0" fontId="45" fillId="0" borderId="0"/>
    <xf numFmtId="0" fontId="1" fillId="0" borderId="0"/>
    <xf numFmtId="0" fontId="1" fillId="0" borderId="0"/>
    <xf numFmtId="0" fontId="1" fillId="0" borderId="0"/>
    <xf numFmtId="0" fontId="1" fillId="0" borderId="0"/>
    <xf numFmtId="0" fontId="19" fillId="0" borderId="0"/>
    <xf numFmtId="0" fontId="19" fillId="0" borderId="0"/>
    <xf numFmtId="0" fontId="45" fillId="0" borderId="0"/>
    <xf numFmtId="0" fontId="1" fillId="0" borderId="0"/>
    <xf numFmtId="0" fontId="45" fillId="0" borderId="0"/>
    <xf numFmtId="0" fontId="45" fillId="0" borderId="0"/>
    <xf numFmtId="0" fontId="12" fillId="0" borderId="0"/>
    <xf numFmtId="0" fontId="12" fillId="0" borderId="0"/>
    <xf numFmtId="0" fontId="12" fillId="0" borderId="0"/>
    <xf numFmtId="0" fontId="1" fillId="12" borderId="61" applyNumberFormat="0" applyFont="0" applyAlignment="0" applyProtection="0"/>
    <xf numFmtId="0" fontId="36" fillId="10" borderId="58" applyNumberFormat="0" applyAlignment="0" applyProtection="0"/>
    <xf numFmtId="9" fontId="19" fillId="0" borderId="0" applyFont="0" applyFill="0" applyBorder="0" applyAlignment="0" applyProtection="0"/>
    <xf numFmtId="9" fontId="45" fillId="0" borderId="0" applyFont="0" applyFill="0" applyBorder="0" applyAlignment="0" applyProtection="0"/>
    <xf numFmtId="9" fontId="12" fillId="0" borderId="0" applyFont="0" applyFill="0" applyBorder="0" applyAlignment="0" applyProtection="0"/>
    <xf numFmtId="0" fontId="4" fillId="0" borderId="62" applyNumberFormat="0" applyFill="0" applyAlignment="0" applyProtection="0"/>
    <xf numFmtId="0" fontId="3" fillId="0" borderId="0" applyNumberFormat="0" applyFill="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12" borderId="61" applyNumberFormat="0" applyFont="0" applyAlignment="0" applyProtection="0"/>
    <xf numFmtId="0" fontId="12" fillId="0" borderId="0"/>
    <xf numFmtId="0" fontId="1" fillId="0" borderId="0"/>
    <xf numFmtId="44" fontId="1" fillId="0" borderId="0" applyFont="0" applyFill="0" applyBorder="0" applyAlignment="0" applyProtection="0"/>
    <xf numFmtId="9" fontId="12" fillId="0" borderId="0" applyFont="0" applyFill="0" applyBorder="0" applyAlignment="0" applyProtection="0"/>
    <xf numFmtId="0" fontId="1" fillId="0" borderId="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43" fontId="1" fillId="0" borderId="0" applyFont="0" applyFill="0" applyBorder="0" applyAlignment="0" applyProtection="0"/>
    <xf numFmtId="0" fontId="1" fillId="0" borderId="0"/>
    <xf numFmtId="0" fontId="1" fillId="12" borderId="61" applyNumberFormat="0" applyFont="0" applyAlignment="0" applyProtection="0"/>
    <xf numFmtId="0" fontId="1" fillId="0" borderId="0"/>
    <xf numFmtId="0" fontId="46" fillId="0" borderId="0" applyNumberFormat="0" applyFill="0" applyBorder="0" applyAlignment="0" applyProtection="0">
      <alignment vertical="top"/>
      <protection locked="0"/>
    </xf>
    <xf numFmtId="0" fontId="1" fillId="0" borderId="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43" fontId="1" fillId="0" borderId="0" applyFont="0" applyFill="0" applyBorder="0" applyAlignment="0" applyProtection="0"/>
    <xf numFmtId="0" fontId="1" fillId="0" borderId="0"/>
    <xf numFmtId="0" fontId="1" fillId="12" borderId="61" applyNumberFormat="0" applyFont="0" applyAlignment="0" applyProtection="0"/>
    <xf numFmtId="0" fontId="1" fillId="0" borderId="0"/>
    <xf numFmtId="0" fontId="1" fillId="0" borderId="0"/>
    <xf numFmtId="0" fontId="1" fillId="0" borderId="0"/>
    <xf numFmtId="0" fontId="12" fillId="0" borderId="0"/>
    <xf numFmtId="0" fontId="44" fillId="0" borderId="0" applyNumberFormat="0" applyFill="0" applyBorder="0" applyAlignment="0" applyProtection="0">
      <alignment vertical="top"/>
      <protection locked="0"/>
    </xf>
    <xf numFmtId="0" fontId="1" fillId="0" borderId="0"/>
    <xf numFmtId="0" fontId="1" fillId="0" borderId="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12" borderId="61" applyNumberFormat="0" applyFont="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12" borderId="61" applyNumberFormat="0" applyFont="0" applyAlignment="0" applyProtection="0"/>
    <xf numFmtId="0" fontId="44" fillId="0" borderId="0" applyNumberFormat="0" applyFill="0" applyBorder="0" applyAlignment="0" applyProtection="0"/>
    <xf numFmtId="0" fontId="48" fillId="53" borderId="0" applyNumberFormat="0" applyBorder="0" applyAlignment="0" applyProtection="0"/>
    <xf numFmtId="0" fontId="45" fillId="0" borderId="0"/>
    <xf numFmtId="0" fontId="54" fillId="0" borderId="66" applyNumberFormat="0" applyFill="0" applyAlignment="0" applyProtection="0"/>
    <xf numFmtId="0" fontId="39" fillId="0" borderId="0" applyNumberFormat="0" applyFill="0" applyBorder="0" applyAlignment="0" applyProtection="0"/>
    <xf numFmtId="0" fontId="19" fillId="0" borderId="0"/>
    <xf numFmtId="0" fontId="36" fillId="10" borderId="58" applyNumberFormat="0" applyAlignment="0" applyProtection="0"/>
    <xf numFmtId="0" fontId="5" fillId="24" borderId="0" applyNumberFormat="0" applyBorder="0" applyAlignment="0" applyProtection="0"/>
    <xf numFmtId="0" fontId="48" fillId="52" borderId="0" applyNumberFormat="0" applyBorder="0" applyAlignment="0" applyProtection="0"/>
    <xf numFmtId="0" fontId="42" fillId="8" borderId="0" applyNumberFormat="0" applyBorder="0" applyAlignment="0" applyProtection="0"/>
    <xf numFmtId="0" fontId="57" fillId="42" borderId="64" applyNumberFormat="0" applyAlignment="0" applyProtection="0"/>
    <xf numFmtId="0" fontId="5" fillId="28" borderId="0" applyNumberFormat="0" applyBorder="0" applyAlignment="0" applyProtection="0"/>
    <xf numFmtId="0" fontId="48" fillId="49" borderId="0" applyNumberFormat="0" applyBorder="0" applyAlignment="0" applyProtection="0"/>
    <xf numFmtId="0" fontId="48" fillId="49" borderId="0" applyNumberFormat="0" applyBorder="0" applyAlignment="0" applyProtection="0"/>
    <xf numFmtId="43" fontId="63" fillId="0" borderId="0" applyFont="0" applyFill="0" applyBorder="0" applyAlignment="0" applyProtection="0"/>
    <xf numFmtId="0" fontId="18" fillId="39" borderId="0" applyNumberFormat="0" applyBorder="0" applyAlignment="0" applyProtection="0"/>
    <xf numFmtId="0" fontId="18" fillId="46" borderId="0" applyNumberFormat="0" applyBorder="0" applyAlignment="0" applyProtection="0"/>
    <xf numFmtId="0" fontId="19" fillId="0" borderId="0"/>
    <xf numFmtId="0" fontId="45" fillId="0" borderId="0"/>
    <xf numFmtId="0" fontId="18" fillId="40" borderId="0" applyNumberFormat="0" applyBorder="0" applyAlignment="0" applyProtection="0"/>
    <xf numFmtId="0" fontId="18" fillId="42" borderId="0" applyNumberFormat="0" applyBorder="0" applyAlignment="0" applyProtection="0"/>
    <xf numFmtId="0" fontId="48" fillId="47" borderId="0" applyNumberFormat="0" applyBorder="0" applyAlignment="0" applyProtection="0"/>
    <xf numFmtId="0" fontId="48" fillId="44" borderId="0" applyNumberFormat="0" applyBorder="0" applyAlignment="0" applyProtection="0"/>
    <xf numFmtId="0" fontId="48" fillId="45" borderId="0" applyNumberFormat="0" applyBorder="0" applyAlignment="0" applyProtection="0"/>
    <xf numFmtId="0" fontId="50" fillId="55" borderId="64" applyNumberFormat="0" applyAlignment="0" applyProtection="0"/>
    <xf numFmtId="0" fontId="51" fillId="56" borderId="65" applyNumberFormat="0" applyAlignment="0" applyProtection="0"/>
    <xf numFmtId="0" fontId="19" fillId="0" borderId="0" applyFont="0" applyFill="0" applyBorder="0" applyAlignment="0" applyProtection="0"/>
    <xf numFmtId="0" fontId="52" fillId="0" borderId="0" applyNumberFormat="0" applyFill="0" applyBorder="0" applyAlignment="0" applyProtection="0"/>
    <xf numFmtId="0" fontId="56" fillId="0" borderId="0" applyNumberFormat="0" applyFill="0" applyBorder="0" applyAlignment="0" applyProtection="0"/>
    <xf numFmtId="0" fontId="19" fillId="0" borderId="0"/>
    <xf numFmtId="0" fontId="19" fillId="0" borderId="0"/>
    <xf numFmtId="0" fontId="19" fillId="0" borderId="0"/>
    <xf numFmtId="0" fontId="62" fillId="0" borderId="0" applyNumberFormat="0" applyFill="0" applyBorder="0" applyAlignment="0" applyProtection="0"/>
    <xf numFmtId="0" fontId="19" fillId="0" borderId="0"/>
    <xf numFmtId="0" fontId="19" fillId="0" borderId="0"/>
    <xf numFmtId="9" fontId="12" fillId="0" borderId="0" applyFont="0" applyFill="0" applyBorder="0" applyAlignment="0" applyProtection="0"/>
    <xf numFmtId="0" fontId="30" fillId="0" borderId="54" applyNumberFormat="0" applyFill="0" applyAlignment="0" applyProtection="0"/>
    <xf numFmtId="0" fontId="32" fillId="0" borderId="56" applyNumberFormat="0" applyFill="0" applyAlignment="0" applyProtection="0"/>
    <xf numFmtId="0" fontId="45" fillId="0" borderId="0"/>
    <xf numFmtId="0" fontId="1" fillId="0" borderId="0"/>
    <xf numFmtId="3" fontId="19" fillId="0" borderId="0" applyFont="0" applyFill="0" applyBorder="0" applyAlignment="0" applyProtection="0"/>
    <xf numFmtId="0" fontId="38" fillId="0" borderId="59" applyNumberFormat="0" applyFill="0" applyAlignment="0" applyProtection="0"/>
    <xf numFmtId="0" fontId="5" fillId="17" borderId="0" applyNumberFormat="0" applyBorder="0" applyAlignment="0" applyProtection="0"/>
    <xf numFmtId="0" fontId="18" fillId="44" borderId="0" applyNumberFormat="0" applyBorder="0" applyAlignment="0" applyProtection="0"/>
    <xf numFmtId="0" fontId="9" fillId="0" borderId="0"/>
    <xf numFmtId="0" fontId="5" fillId="33" borderId="0" applyNumberFormat="0" applyBorder="0" applyAlignment="0" applyProtection="0"/>
    <xf numFmtId="0" fontId="59" fillId="57" borderId="0" applyNumberFormat="0" applyBorder="0" applyAlignment="0" applyProtection="0"/>
    <xf numFmtId="0" fontId="37" fillId="10" borderId="57" applyNumberFormat="0" applyAlignment="0" applyProtection="0"/>
    <xf numFmtId="0" fontId="19" fillId="0" borderId="0"/>
    <xf numFmtId="0" fontId="5" fillId="20" borderId="0" applyNumberFormat="0" applyBorder="0" applyAlignment="0" applyProtection="0"/>
    <xf numFmtId="0" fontId="9" fillId="0" borderId="0"/>
    <xf numFmtId="0" fontId="49" fillId="38" borderId="0" applyNumberFormat="0" applyBorder="0" applyAlignment="0" applyProtection="0"/>
    <xf numFmtId="0" fontId="53" fillId="39" borderId="0" applyNumberFormat="0" applyBorder="0" applyAlignment="0" applyProtection="0"/>
    <xf numFmtId="0" fontId="19" fillId="0" borderId="0"/>
    <xf numFmtId="0" fontId="56" fillId="0" borderId="68" applyNumberFormat="0" applyFill="0" applyAlignment="0" applyProtection="0"/>
    <xf numFmtId="0" fontId="18" fillId="43" borderId="0" applyNumberFormat="0" applyBorder="0" applyAlignment="0" applyProtection="0"/>
    <xf numFmtId="0" fontId="48" fillId="48" borderId="0" applyNumberFormat="0" applyBorder="0" applyAlignment="0" applyProtection="0"/>
    <xf numFmtId="0" fontId="5" fillId="36" borderId="0" applyNumberFormat="0" applyBorder="0" applyAlignment="0" applyProtection="0"/>
    <xf numFmtId="0" fontId="18" fillId="45" borderId="0" applyNumberFormat="0" applyBorder="0" applyAlignment="0" applyProtection="0"/>
    <xf numFmtId="0" fontId="5" fillId="16" borderId="0" applyNumberFormat="0" applyBorder="0" applyAlignment="0" applyProtection="0"/>
    <xf numFmtId="0" fontId="5" fillId="25" borderId="0" applyNumberFormat="0" applyBorder="0" applyAlignment="0" applyProtection="0"/>
    <xf numFmtId="0" fontId="61" fillId="0" borderId="0" applyNumberFormat="0" applyFill="0" applyBorder="0" applyAlignment="0" applyProtection="0"/>
    <xf numFmtId="43" fontId="19" fillId="0" borderId="0" applyFont="0" applyFill="0" applyBorder="0" applyAlignment="0" applyProtection="0"/>
    <xf numFmtId="0" fontId="57" fillId="42" borderId="64" applyNumberFormat="0" applyAlignment="0" applyProtection="0"/>
    <xf numFmtId="0" fontId="18" fillId="37" borderId="0" applyNumberFormat="0" applyBorder="0" applyAlignment="0" applyProtection="0"/>
    <xf numFmtId="0" fontId="18" fillId="38" borderId="0" applyNumberFormat="0" applyBorder="0" applyAlignment="0" applyProtection="0"/>
    <xf numFmtId="0" fontId="50" fillId="55" borderId="64" applyNumberFormat="0" applyAlignment="0" applyProtection="0"/>
    <xf numFmtId="0" fontId="4" fillId="0" borderId="62" applyNumberFormat="0" applyFill="0" applyAlignment="0" applyProtection="0"/>
    <xf numFmtId="0" fontId="48" fillId="51" borderId="0" applyNumberFormat="0" applyBorder="0" applyAlignment="0" applyProtection="0"/>
    <xf numFmtId="0" fontId="34" fillId="7" borderId="0" applyNumberFormat="0" applyBorder="0" applyAlignment="0" applyProtection="0"/>
    <xf numFmtId="0" fontId="3" fillId="0" borderId="0" applyNumberFormat="0" applyFill="0" applyBorder="0" applyAlignment="0" applyProtection="0"/>
    <xf numFmtId="0" fontId="5" fillId="13" borderId="0" applyNumberFormat="0" applyBorder="0" applyAlignment="0" applyProtection="0"/>
    <xf numFmtId="0" fontId="19" fillId="58" borderId="70" applyNumberFormat="0" applyFont="0" applyAlignment="0" applyProtection="0"/>
    <xf numFmtId="0" fontId="31" fillId="0" borderId="55" applyNumberFormat="0" applyFill="0" applyAlignment="0" applyProtection="0"/>
    <xf numFmtId="0" fontId="32" fillId="0" borderId="0" applyNumberFormat="0" applyFill="0" applyBorder="0" applyAlignment="0" applyProtection="0"/>
    <xf numFmtId="0" fontId="43" fillId="0" borderId="0"/>
    <xf numFmtId="0" fontId="18" fillId="41" borderId="0" applyNumberFormat="0" applyBorder="0" applyAlignment="0" applyProtection="0"/>
    <xf numFmtId="0" fontId="33" fillId="6" borderId="0" applyNumberFormat="0" applyBorder="0" applyAlignment="0" applyProtection="0"/>
    <xf numFmtId="0" fontId="48" fillId="54" borderId="0" applyNumberFormat="0" applyBorder="0" applyAlignment="0" applyProtection="0"/>
    <xf numFmtId="0" fontId="35" fillId="9" borderId="57" applyNumberFormat="0" applyAlignment="0" applyProtection="0"/>
    <xf numFmtId="0" fontId="19" fillId="0" borderId="0"/>
    <xf numFmtId="0" fontId="1" fillId="0" borderId="0"/>
    <xf numFmtId="0" fontId="5" fillId="21" borderId="0" applyNumberFormat="0" applyBorder="0" applyAlignment="0" applyProtection="0"/>
    <xf numFmtId="0" fontId="48" fillId="50" borderId="0" applyNumberFormat="0" applyBorder="0" applyAlignment="0" applyProtection="0"/>
    <xf numFmtId="0" fontId="40" fillId="0" borderId="0"/>
    <xf numFmtId="0" fontId="19" fillId="0" borderId="0"/>
    <xf numFmtId="0" fontId="55" fillId="0" borderId="67" applyNumberFormat="0" applyFill="0" applyAlignment="0" applyProtection="0"/>
    <xf numFmtId="0" fontId="58" fillId="0" borderId="69" applyNumberFormat="0" applyFill="0" applyAlignment="0" applyProtection="0"/>
    <xf numFmtId="0" fontId="17" fillId="0" borderId="72" applyNumberFormat="0" applyFill="0" applyAlignment="0" applyProtection="0"/>
    <xf numFmtId="0" fontId="18" fillId="40" borderId="0" applyNumberFormat="0" applyBorder="0" applyAlignment="0" applyProtection="0"/>
    <xf numFmtId="0" fontId="5" fillId="29" borderId="0" applyNumberFormat="0" applyBorder="0" applyAlignment="0" applyProtection="0"/>
    <xf numFmtId="0" fontId="48" fillId="48" borderId="0" applyNumberFormat="0" applyBorder="0" applyAlignment="0" applyProtection="0"/>
    <xf numFmtId="0" fontId="2" fillId="11" borderId="60" applyNumberFormat="0" applyAlignment="0" applyProtection="0"/>
    <xf numFmtId="0" fontId="60" fillId="55" borderId="71" applyNumberFormat="0" applyAlignment="0" applyProtection="0"/>
    <xf numFmtId="0" fontId="5" fillId="32" borderId="0" applyNumberFormat="0" applyBorder="0" applyAlignment="0" applyProtection="0"/>
    <xf numFmtId="0" fontId="18" fillId="43" borderId="0" applyNumberFormat="0" applyBorder="0" applyAlignment="0" applyProtection="0"/>
    <xf numFmtId="0" fontId="12" fillId="0" borderId="0"/>
    <xf numFmtId="0" fontId="12" fillId="0" borderId="0"/>
    <xf numFmtId="0" fontId="19" fillId="0" borderId="0"/>
    <xf numFmtId="3" fontId="19" fillId="0" borderId="0" applyFont="0" applyFill="0" applyBorder="0" applyAlignment="0" applyProtection="0"/>
    <xf numFmtId="0"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58" borderId="70" applyNumberFormat="0" applyFont="0" applyAlignment="0" applyProtection="0"/>
    <xf numFmtId="0" fontId="19" fillId="0" borderId="0"/>
    <xf numFmtId="0" fontId="19" fillId="58" borderId="70" applyNumberFormat="0" applyFont="0" applyAlignment="0" applyProtection="0"/>
    <xf numFmtId="0" fontId="50" fillId="55" borderId="64" applyNumberFormat="0" applyAlignment="0" applyProtection="0"/>
    <xf numFmtId="0" fontId="19" fillId="58" borderId="70" applyNumberFormat="0" applyFont="0" applyAlignment="0" applyProtection="0"/>
    <xf numFmtId="0" fontId="60" fillId="55" borderId="71" applyNumberFormat="0" applyAlignment="0" applyProtection="0"/>
    <xf numFmtId="0" fontId="17" fillId="0" borderId="72" applyNumberFormat="0" applyFill="0" applyAlignment="0" applyProtection="0"/>
    <xf numFmtId="0" fontId="17" fillId="0" borderId="72" applyNumberFormat="0" applyFill="0" applyAlignment="0" applyProtection="0"/>
    <xf numFmtId="0" fontId="60" fillId="55" borderId="71" applyNumberFormat="0" applyAlignment="0" applyProtection="0"/>
    <xf numFmtId="0" fontId="57" fillId="42" borderId="64" applyNumberFormat="0" applyAlignment="0" applyProtection="0"/>
    <xf numFmtId="0" fontId="19" fillId="58" borderId="70" applyNumberFormat="0" applyFont="0" applyAlignment="0" applyProtection="0"/>
    <xf numFmtId="0" fontId="12" fillId="0" borderId="0"/>
    <xf numFmtId="0" fontId="19" fillId="58" borderId="70" applyNumberFormat="0" applyFont="0" applyAlignment="0" applyProtection="0"/>
    <xf numFmtId="0" fontId="43" fillId="0" borderId="0"/>
    <xf numFmtId="182" fontId="19" fillId="0" borderId="0"/>
    <xf numFmtId="0" fontId="43" fillId="0" borderId="0"/>
    <xf numFmtId="43" fontId="12" fillId="0" borderId="0" applyFont="0" applyFill="0" applyBorder="0" applyAlignment="0" applyProtection="0"/>
    <xf numFmtId="182" fontId="19" fillId="0" borderId="0"/>
    <xf numFmtId="0" fontId="43" fillId="0" borderId="0"/>
    <xf numFmtId="9" fontId="12" fillId="0" borderId="0" applyFont="0" applyFill="0" applyBorder="0" applyAlignment="0" applyProtection="0"/>
    <xf numFmtId="182" fontId="66" fillId="0" borderId="0"/>
  </cellStyleXfs>
  <cellXfs count="1480">
    <xf numFmtId="0" fontId="0" fillId="0" borderId="0" xfId="0"/>
    <xf numFmtId="0" fontId="8" fillId="0" borderId="9" xfId="0" applyFont="1" applyFill="1" applyBorder="1"/>
    <xf numFmtId="0" fontId="8" fillId="0" borderId="9" xfId="0" applyFont="1" applyFill="1" applyBorder="1" applyAlignment="1">
      <alignment horizontal="center"/>
    </xf>
    <xf numFmtId="0" fontId="8" fillId="0" borderId="8" xfId="0" applyFont="1" applyFill="1" applyBorder="1" applyAlignment="1">
      <alignment horizontal="center"/>
    </xf>
    <xf numFmtId="0" fontId="0" fillId="0" borderId="0" xfId="0" applyFill="1"/>
    <xf numFmtId="0" fontId="0" fillId="0" borderId="0" xfId="0" applyAlignment="1">
      <alignment wrapText="1"/>
    </xf>
    <xf numFmtId="0" fontId="0" fillId="0" borderId="0" xfId="0" applyAlignment="1">
      <alignment vertical="center"/>
    </xf>
    <xf numFmtId="0" fontId="10" fillId="0" borderId="9" xfId="0" applyFont="1" applyBorder="1" applyAlignment="1">
      <alignment horizontal="center" wrapText="1"/>
    </xf>
    <xf numFmtId="0" fontId="10" fillId="0" borderId="15" xfId="0" applyFont="1" applyBorder="1" applyAlignment="1">
      <alignment horizontal="center" wrapText="1"/>
    </xf>
    <xf numFmtId="0" fontId="0" fillId="0" borderId="0" xfId="0" applyBorder="1"/>
    <xf numFmtId="0" fontId="8" fillId="0" borderId="9" xfId="0" applyFont="1" applyBorder="1" applyAlignment="1">
      <alignment horizontal="center"/>
    </xf>
    <xf numFmtId="0" fontId="8" fillId="0" borderId="9" xfId="0" applyFont="1" applyBorder="1"/>
    <xf numFmtId="0" fontId="8" fillId="0" borderId="15" xfId="0" applyFont="1" applyBorder="1"/>
    <xf numFmtId="0" fontId="8" fillId="0" borderId="0" xfId="0" applyFont="1" applyFill="1" applyBorder="1" applyAlignment="1">
      <alignment vertical="top" wrapText="1"/>
    </xf>
    <xf numFmtId="0" fontId="8" fillId="0" borderId="5" xfId="0" applyFont="1" applyBorder="1" applyAlignment="1">
      <alignment horizontal="center"/>
    </xf>
    <xf numFmtId="0" fontId="0" fillId="0" borderId="9" xfId="0" applyBorder="1"/>
    <xf numFmtId="0" fontId="8" fillId="0" borderId="8" xfId="0" applyFont="1" applyFill="1" applyBorder="1"/>
    <xf numFmtId="169" fontId="8" fillId="0" borderId="8" xfId="0" applyNumberFormat="1" applyFont="1" applyFill="1" applyBorder="1" applyAlignment="1">
      <alignment vertical="center"/>
    </xf>
    <xf numFmtId="165" fontId="8" fillId="0" borderId="21" xfId="0" applyNumberFormat="1" applyFont="1" applyFill="1" applyBorder="1" applyAlignment="1"/>
    <xf numFmtId="165" fontId="10" fillId="0" borderId="21" xfId="0" applyNumberFormat="1" applyFont="1" applyFill="1" applyBorder="1" applyAlignment="1"/>
    <xf numFmtId="0" fontId="8" fillId="0" borderId="21" xfId="0" applyFont="1" applyFill="1" applyBorder="1"/>
    <xf numFmtId="0" fontId="8" fillId="0" borderId="0" xfId="0" applyFont="1" applyFill="1" applyAlignment="1">
      <alignment horizontal="left" vertical="center" wrapText="1"/>
    </xf>
    <xf numFmtId="0" fontId="0" fillId="0" borderId="0" xfId="0" applyAlignment="1">
      <alignment horizontal="center"/>
    </xf>
    <xf numFmtId="0" fontId="10" fillId="0" borderId="8" xfId="0" applyFont="1" applyFill="1" applyBorder="1" applyAlignment="1">
      <alignment horizontal="center"/>
    </xf>
    <xf numFmtId="0" fontId="0" fillId="0" borderId="0" xfId="0" applyFill="1" applyAlignment="1">
      <alignment horizontal="center"/>
    </xf>
    <xf numFmtId="0" fontId="8" fillId="0" borderId="9" xfId="0" applyFont="1" applyFill="1" applyBorder="1" applyAlignment="1">
      <alignment vertical="center" wrapText="1"/>
    </xf>
    <xf numFmtId="2" fontId="8" fillId="0" borderId="9" xfId="0" applyNumberFormat="1" applyFont="1" applyFill="1" applyBorder="1" applyAlignment="1">
      <alignment horizontal="center" vertical="center"/>
    </xf>
    <xf numFmtId="0" fontId="8" fillId="0" borderId="0" xfId="0" applyFont="1" applyFill="1" applyAlignment="1">
      <alignment vertical="center"/>
    </xf>
    <xf numFmtId="169" fontId="8" fillId="0" borderId="20" xfId="0" applyNumberFormat="1" applyFont="1" applyFill="1" applyBorder="1" applyAlignment="1">
      <alignment vertical="center"/>
    </xf>
    <xf numFmtId="164" fontId="8" fillId="0" borderId="9" xfId="2" applyNumberFormat="1" applyFont="1" applyFill="1" applyBorder="1" applyAlignment="1">
      <alignment horizontal="right"/>
    </xf>
    <xf numFmtId="169" fontId="8" fillId="0" borderId="8" xfId="0" applyNumberFormat="1" applyFont="1" applyFill="1" applyBorder="1" applyAlignment="1"/>
    <xf numFmtId="0" fontId="8" fillId="0" borderId="9" xfId="0" applyFont="1" applyBorder="1" applyAlignment="1">
      <alignment horizontal="center" wrapText="1"/>
    </xf>
    <xf numFmtId="0" fontId="8" fillId="0" borderId="10" xfId="0" applyFont="1" applyBorder="1" applyAlignment="1">
      <alignment horizontal="center" wrapText="1"/>
    </xf>
    <xf numFmtId="0" fontId="8" fillId="0" borderId="13" xfId="0" applyFont="1" applyFill="1" applyBorder="1" applyAlignment="1">
      <alignment horizontal="center"/>
    </xf>
    <xf numFmtId="0" fontId="8" fillId="0" borderId="0" xfId="0" applyFont="1" applyFill="1" applyBorder="1" applyAlignment="1">
      <alignment horizontal="center" vertical="center" wrapText="1"/>
    </xf>
    <xf numFmtId="0" fontId="8" fillId="0" borderId="0" xfId="0" applyFont="1" applyBorder="1" applyAlignment="1">
      <alignment horizontal="center"/>
    </xf>
    <xf numFmtId="0" fontId="0" fillId="0" borderId="0" xfId="0" applyAlignment="1">
      <alignment horizontal="center" vertical="center"/>
    </xf>
    <xf numFmtId="2" fontId="8" fillId="0" borderId="9" xfId="0" applyNumberFormat="1" applyFont="1" applyFill="1" applyBorder="1" applyAlignment="1">
      <alignment horizontal="center"/>
    </xf>
    <xf numFmtId="44" fontId="8" fillId="0" borderId="8" xfId="0" applyNumberFormat="1" applyFont="1" applyFill="1" applyBorder="1" applyAlignment="1">
      <alignment horizontal="center"/>
    </xf>
    <xf numFmtId="165" fontId="8" fillId="0" borderId="19" xfId="0" applyNumberFormat="1" applyFont="1" applyFill="1" applyBorder="1" applyAlignment="1">
      <alignment horizontal="center"/>
    </xf>
    <xf numFmtId="44" fontId="8" fillId="0" borderId="8" xfId="2" applyFont="1" applyFill="1" applyBorder="1" applyAlignment="1">
      <alignment horizontal="center"/>
    </xf>
    <xf numFmtId="164" fontId="8" fillId="0" borderId="8" xfId="0" applyNumberFormat="1" applyFont="1" applyFill="1" applyBorder="1" applyAlignment="1">
      <alignment horizontal="center"/>
    </xf>
    <xf numFmtId="0" fontId="8" fillId="0" borderId="8" xfId="0" applyNumberFormat="1" applyFont="1" applyFill="1" applyBorder="1" applyAlignment="1">
      <alignment horizontal="center"/>
    </xf>
    <xf numFmtId="3" fontId="8" fillId="0" borderId="19" xfId="0" applyNumberFormat="1" applyFont="1" applyFill="1" applyBorder="1" applyAlignment="1">
      <alignment horizontal="center"/>
    </xf>
    <xf numFmtId="44" fontId="8" fillId="0" borderId="0" xfId="2" applyFont="1" applyBorder="1"/>
    <xf numFmtId="164" fontId="8" fillId="0" borderId="9" xfId="0" applyNumberFormat="1" applyFont="1" applyFill="1" applyBorder="1" applyAlignment="1">
      <alignment horizontal="right"/>
    </xf>
    <xf numFmtId="166" fontId="8" fillId="0" borderId="9" xfId="0" applyNumberFormat="1" applyFont="1" applyFill="1" applyBorder="1" applyAlignment="1">
      <alignment horizontal="center"/>
    </xf>
    <xf numFmtId="0" fontId="0" fillId="0" borderId="9" xfId="0" applyBorder="1" applyAlignment="1">
      <alignment wrapText="1"/>
    </xf>
    <xf numFmtId="0" fontId="8" fillId="0" borderId="0" xfId="0" applyFont="1"/>
    <xf numFmtId="164" fontId="8" fillId="0" borderId="8" xfId="0" applyNumberFormat="1" applyFont="1" applyFill="1" applyBorder="1" applyAlignment="1">
      <alignment horizontal="right"/>
    </xf>
    <xf numFmtId="2" fontId="8" fillId="0" borderId="19" xfId="0" applyNumberFormat="1" applyFont="1" applyFill="1" applyBorder="1" applyAlignment="1">
      <alignment horizontal="center"/>
    </xf>
    <xf numFmtId="44" fontId="8" fillId="0" borderId="0" xfId="2" applyFont="1" applyFill="1" applyBorder="1"/>
    <xf numFmtId="0" fontId="8" fillId="0" borderId="38" xfId="0" applyFont="1" applyFill="1" applyBorder="1" applyAlignment="1">
      <alignment horizontal="center" vertical="center" wrapText="1"/>
    </xf>
    <xf numFmtId="0" fontId="8" fillId="0" borderId="19" xfId="0" applyNumberFormat="1" applyFont="1" applyFill="1" applyBorder="1" applyAlignment="1">
      <alignment horizontal="center"/>
    </xf>
    <xf numFmtId="0" fontId="8" fillId="0" borderId="19" xfId="0" applyNumberFormat="1" applyFont="1" applyFill="1" applyBorder="1" applyAlignment="1">
      <alignment horizontal="right"/>
    </xf>
    <xf numFmtId="44" fontId="8" fillId="0" borderId="21" xfId="2" applyNumberFormat="1" applyFont="1" applyFill="1" applyBorder="1" applyAlignment="1">
      <alignment horizontal="right"/>
    </xf>
    <xf numFmtId="0" fontId="16" fillId="0" borderId="0" xfId="0" applyFont="1" applyFill="1" applyAlignment="1">
      <alignment horizontal="left" vertical="top"/>
    </xf>
    <xf numFmtId="44" fontId="8" fillId="0" borderId="0" xfId="2" applyFont="1" applyFill="1"/>
    <xf numFmtId="0" fontId="14" fillId="0" borderId="19" xfId="0" applyFont="1" applyFill="1" applyBorder="1" applyAlignment="1">
      <alignment vertical="top" wrapText="1"/>
    </xf>
    <xf numFmtId="0" fontId="14" fillId="0" borderId="1" xfId="0" applyFont="1" applyFill="1" applyBorder="1" applyAlignment="1">
      <alignment vertical="top" wrapText="1"/>
    </xf>
    <xf numFmtId="0" fontId="14" fillId="0" borderId="20" xfId="0" applyFont="1" applyFill="1" applyBorder="1" applyAlignment="1">
      <alignment vertical="top" wrapText="1"/>
    </xf>
    <xf numFmtId="165" fontId="8" fillId="0" borderId="8" xfId="1" applyNumberFormat="1" applyFont="1" applyFill="1" applyBorder="1" applyAlignment="1">
      <alignment horizontal="center"/>
    </xf>
    <xf numFmtId="166" fontId="8" fillId="0" borderId="19" xfId="0" applyNumberFormat="1" applyFont="1" applyFill="1" applyBorder="1" applyAlignment="1">
      <alignment horizontal="center"/>
    </xf>
    <xf numFmtId="0" fontId="8" fillId="0" borderId="0" xfId="0" applyFont="1" applyFill="1" applyBorder="1" applyAlignment="1">
      <alignment vertical="center" wrapText="1"/>
    </xf>
    <xf numFmtId="44" fontId="8" fillId="0" borderId="0" xfId="2" applyFont="1" applyFill="1" applyBorder="1" applyAlignment="1">
      <alignment horizontal="center"/>
    </xf>
    <xf numFmtId="0" fontId="8" fillId="0" borderId="21" xfId="0" applyNumberFormat="1" applyFont="1" applyFill="1" applyBorder="1" applyAlignment="1">
      <alignment horizontal="center"/>
    </xf>
    <xf numFmtId="0" fontId="8" fillId="0" borderId="15" xfId="0" applyFont="1" applyFill="1" applyBorder="1" applyAlignment="1">
      <alignment horizontal="center"/>
    </xf>
    <xf numFmtId="0" fontId="8" fillId="0" borderId="20" xfId="0" applyFont="1" applyFill="1" applyBorder="1" applyAlignment="1">
      <alignment vertical="center"/>
    </xf>
    <xf numFmtId="0" fontId="8" fillId="0" borderId="0" xfId="0" applyFont="1" applyFill="1" applyAlignment="1">
      <alignment horizontal="center"/>
    </xf>
    <xf numFmtId="0" fontId="8" fillId="0" borderId="0" xfId="0" applyFont="1" applyFill="1" applyAlignment="1">
      <alignment horizontal="left"/>
    </xf>
    <xf numFmtId="0" fontId="8" fillId="0" borderId="20" xfId="0" applyFont="1" applyFill="1" applyBorder="1" applyAlignment="1">
      <alignment horizontal="center" wrapText="1"/>
    </xf>
    <xf numFmtId="0" fontId="8" fillId="0" borderId="0" xfId="0" applyFont="1" applyFill="1" applyAlignment="1">
      <alignment horizontal="center" wrapText="1"/>
    </xf>
    <xf numFmtId="0" fontId="8" fillId="0" borderId="0" xfId="0" applyFont="1" applyFill="1" applyBorder="1" applyAlignment="1">
      <alignment horizontal="center" wrapText="1"/>
    </xf>
    <xf numFmtId="0" fontId="8" fillId="0" borderId="0" xfId="0" applyFont="1" applyAlignment="1">
      <alignment horizontal="center"/>
    </xf>
    <xf numFmtId="172" fontId="8" fillId="0" borderId="19" xfId="0" applyNumberFormat="1" applyFont="1" applyFill="1" applyBorder="1" applyAlignment="1">
      <alignment horizontal="center"/>
    </xf>
    <xf numFmtId="0" fontId="8" fillId="0" borderId="0" xfId="0" applyFont="1" applyFill="1" applyBorder="1" applyAlignment="1"/>
    <xf numFmtId="165" fontId="8" fillId="0" borderId="19" xfId="1" applyNumberFormat="1" applyFont="1" applyFill="1" applyBorder="1" applyAlignment="1">
      <alignment horizontal="center"/>
    </xf>
    <xf numFmtId="43" fontId="8" fillId="0" borderId="19" xfId="1" applyFont="1" applyFill="1" applyBorder="1" applyAlignment="1">
      <alignment horizontal="center"/>
    </xf>
    <xf numFmtId="1" fontId="8" fillId="0" borderId="19" xfId="0" applyNumberFormat="1" applyFont="1" applyFill="1" applyBorder="1" applyAlignment="1">
      <alignment horizontal="center"/>
    </xf>
    <xf numFmtId="0" fontId="8" fillId="0" borderId="0" xfId="0" applyFont="1" applyFill="1" applyBorder="1" applyAlignment="1">
      <alignment horizontal="center"/>
    </xf>
    <xf numFmtId="165" fontId="8" fillId="0" borderId="19" xfId="1" applyNumberFormat="1" applyFont="1" applyFill="1" applyBorder="1" applyAlignment="1"/>
    <xf numFmtId="43" fontId="8" fillId="0" borderId="19" xfId="1" applyNumberFormat="1" applyFont="1" applyFill="1" applyBorder="1" applyAlignment="1"/>
    <xf numFmtId="0" fontId="8" fillId="0" borderId="19" xfId="1" applyNumberFormat="1" applyFont="1" applyFill="1" applyBorder="1" applyAlignment="1">
      <alignment horizontal="center"/>
    </xf>
    <xf numFmtId="0" fontId="0" fillId="0" borderId="0" xfId="0" applyAlignment="1">
      <alignment horizontal="left" wrapText="1"/>
    </xf>
    <xf numFmtId="0" fontId="23" fillId="0" borderId="49" xfId="7" applyBorder="1" applyAlignment="1">
      <alignment horizontal="center" vertical="center" wrapText="1"/>
    </xf>
    <xf numFmtId="0" fontId="4" fillId="0" borderId="18" xfId="0" applyFont="1" applyBorder="1" applyAlignment="1">
      <alignment horizontal="center" vertical="center" wrapText="1"/>
    </xf>
    <xf numFmtId="0" fontId="23" fillId="0" borderId="18" xfId="7" applyBorder="1" applyAlignment="1">
      <alignment horizontal="center" vertical="center" wrapText="1"/>
    </xf>
    <xf numFmtId="0" fontId="0" fillId="0" borderId="49" xfId="0" applyBorder="1" applyAlignment="1">
      <alignment vertical="center" wrapText="1"/>
    </xf>
    <xf numFmtId="0" fontId="0" fillId="0" borderId="18" xfId="0" applyBorder="1" applyAlignment="1">
      <alignment vertical="center" wrapText="1"/>
    </xf>
    <xf numFmtId="0" fontId="0" fillId="0" borderId="50" xfId="0" applyBorder="1" applyAlignment="1">
      <alignment vertical="center" wrapText="1"/>
    </xf>
    <xf numFmtId="0" fontId="0" fillId="0" borderId="41" xfId="0" applyBorder="1" applyAlignment="1">
      <alignment vertical="center" wrapText="1"/>
    </xf>
    <xf numFmtId="0" fontId="0" fillId="0" borderId="9" xfId="0" applyBorder="1" applyAlignment="1">
      <alignment vertical="top"/>
    </xf>
    <xf numFmtId="0" fontId="0" fillId="0" borderId="9" xfId="0" applyBorder="1" applyAlignment="1">
      <alignment horizontal="left" vertical="center"/>
    </xf>
    <xf numFmtId="0" fontId="0" fillId="0" borderId="9" xfId="0" applyBorder="1" applyAlignment="1">
      <alignment horizontal="center" vertical="center" wrapText="1"/>
    </xf>
    <xf numFmtId="0" fontId="16" fillId="0" borderId="8" xfId="0" applyFont="1" applyBorder="1" applyAlignment="1">
      <alignment horizontal="center" vertical="center" wrapText="1"/>
    </xf>
    <xf numFmtId="0" fontId="11" fillId="0" borderId="8" xfId="0" applyFont="1" applyBorder="1" applyAlignment="1">
      <alignment horizontal="center" vertical="center" wrapText="1"/>
    </xf>
    <xf numFmtId="0" fontId="16" fillId="0" borderId="8" xfId="0" applyNumberFormat="1" applyFont="1" applyBorder="1" applyAlignment="1">
      <alignment horizontal="center" vertical="center" wrapText="1"/>
    </xf>
    <xf numFmtId="0" fontId="16" fillId="0" borderId="8" xfId="0" applyFont="1" applyFill="1" applyBorder="1" applyAlignment="1">
      <alignment horizontal="center" vertical="center" wrapText="1"/>
    </xf>
    <xf numFmtId="1" fontId="8" fillId="0" borderId="9" xfId="0" applyNumberFormat="1" applyFont="1" applyFill="1" applyBorder="1" applyAlignment="1">
      <alignment horizontal="center"/>
    </xf>
    <xf numFmtId="0" fontId="26" fillId="0" borderId="9" xfId="0" applyFont="1" applyFill="1" applyBorder="1"/>
    <xf numFmtId="4" fontId="8" fillId="0" borderId="9" xfId="0" applyNumberFormat="1" applyFont="1" applyFill="1" applyBorder="1" applyAlignment="1">
      <alignment horizontal="center"/>
    </xf>
    <xf numFmtId="2" fontId="0" fillId="0" borderId="9" xfId="0" applyNumberFormat="1" applyFont="1" applyFill="1" applyBorder="1" applyAlignment="1">
      <alignment horizontal="center" vertical="center"/>
    </xf>
    <xf numFmtId="2" fontId="8" fillId="4" borderId="9" xfId="0" applyNumberFormat="1" applyFont="1" applyFill="1" applyBorder="1" applyAlignment="1">
      <alignment horizontal="center" vertical="center"/>
    </xf>
    <xf numFmtId="0" fontId="8" fillId="0" borderId="0" xfId="0" applyNumberFormat="1" applyFont="1"/>
    <xf numFmtId="0" fontId="24" fillId="5" borderId="9" xfId="0" applyFont="1" applyFill="1" applyBorder="1" applyAlignment="1">
      <alignment horizontal="center"/>
    </xf>
    <xf numFmtId="0" fontId="0" fillId="0" borderId="9" xfId="0" applyBorder="1" applyAlignment="1">
      <alignment horizontal="center" vertical="center"/>
    </xf>
    <xf numFmtId="0" fontId="0" fillId="0" borderId="0" xfId="0" applyAlignment="1">
      <alignment horizontal="left"/>
    </xf>
    <xf numFmtId="0" fontId="4" fillId="0" borderId="0" xfId="0" applyFont="1" applyAlignment="1">
      <alignment horizontal="left"/>
    </xf>
    <xf numFmtId="0" fontId="21" fillId="0" borderId="0" xfId="0" applyFont="1"/>
    <xf numFmtId="0" fontId="0" fillId="0" borderId="9" xfId="0" applyBorder="1" applyAlignment="1">
      <alignment horizontal="left" vertical="top" wrapText="1"/>
    </xf>
    <xf numFmtId="164" fontId="8" fillId="0" borderId="0" xfId="0" applyNumberFormat="1" applyFont="1" applyAlignment="1">
      <alignment horizontal="right"/>
    </xf>
    <xf numFmtId="0" fontId="8" fillId="0" borderId="0" xfId="0" applyFont="1" applyAlignment="1">
      <alignment horizontal="right"/>
    </xf>
    <xf numFmtId="0" fontId="8" fillId="0" borderId="0" xfId="0" applyFont="1" applyAlignment="1">
      <alignment horizontal="left" vertical="top" wrapText="1"/>
    </xf>
    <xf numFmtId="0" fontId="8" fillId="0" borderId="0" xfId="0" applyFont="1" applyAlignment="1">
      <alignment horizontal="left" wrapText="1"/>
    </xf>
    <xf numFmtId="0" fontId="8" fillId="0" borderId="0" xfId="0" applyFont="1" applyAlignment="1"/>
    <xf numFmtId="0" fontId="10" fillId="0" borderId="7" xfId="0" applyFont="1" applyBorder="1" applyAlignment="1">
      <alignment horizontal="center" wrapText="1"/>
    </xf>
    <xf numFmtId="0" fontId="10" fillId="0" borderId="12" xfId="0" applyFont="1" applyFill="1" applyBorder="1" applyAlignment="1">
      <alignment horizontal="center" wrapText="1"/>
    </xf>
    <xf numFmtId="0" fontId="10" fillId="0" borderId="0" xfId="0" applyFont="1" applyFill="1" applyBorder="1" applyAlignment="1">
      <alignment horizontal="center" wrapText="1"/>
    </xf>
    <xf numFmtId="0" fontId="8" fillId="0" borderId="7" xfId="0" applyFont="1" applyBorder="1" applyAlignment="1">
      <alignment horizontal="center" wrapText="1"/>
    </xf>
    <xf numFmtId="15" fontId="8" fillId="0" borderId="9" xfId="0" applyNumberFormat="1" applyFont="1" applyBorder="1" applyAlignment="1">
      <alignment horizontal="center" wrapText="1"/>
    </xf>
    <xf numFmtId="0" fontId="8" fillId="0" borderId="7" xfId="0" applyFont="1" applyBorder="1" applyAlignment="1">
      <alignment horizontal="left" wrapText="1"/>
    </xf>
    <xf numFmtId="166" fontId="8" fillId="0" borderId="0" xfId="0" applyNumberFormat="1" applyFont="1" applyAlignment="1">
      <alignment horizontal="center"/>
    </xf>
    <xf numFmtId="166" fontId="8" fillId="0" borderId="0" xfId="0" applyNumberFormat="1" applyFont="1"/>
    <xf numFmtId="0" fontId="8" fillId="0" borderId="0" xfId="0" applyFont="1" applyAlignment="1">
      <alignment wrapText="1"/>
    </xf>
    <xf numFmtId="15" fontId="8" fillId="0" borderId="9" xfId="0" applyNumberFormat="1" applyFont="1" applyBorder="1" applyAlignment="1">
      <alignment horizontal="center"/>
    </xf>
    <xf numFmtId="0" fontId="8" fillId="0" borderId="7" xfId="0" applyFont="1" applyFill="1" applyBorder="1" applyAlignment="1">
      <alignment horizontal="left"/>
    </xf>
    <xf numFmtId="0" fontId="8" fillId="0" borderId="40" xfId="0" applyFont="1" applyFill="1" applyBorder="1" applyAlignment="1">
      <alignment horizontal="left"/>
    </xf>
    <xf numFmtId="0" fontId="8" fillId="2" borderId="28" xfId="0" applyFont="1" applyFill="1" applyBorder="1" applyAlignment="1">
      <alignment horizontal="left"/>
    </xf>
    <xf numFmtId="0" fontId="8" fillId="2" borderId="30" xfId="0" applyFont="1" applyFill="1" applyBorder="1"/>
    <xf numFmtId="0" fontId="8" fillId="2" borderId="30" xfId="0" applyFont="1" applyFill="1" applyBorder="1" applyAlignment="1">
      <alignment horizontal="center"/>
    </xf>
    <xf numFmtId="172" fontId="8" fillId="2" borderId="30" xfId="0" applyNumberFormat="1" applyFont="1" applyFill="1" applyBorder="1" applyAlignment="1">
      <alignment horizontal="center"/>
    </xf>
    <xf numFmtId="166" fontId="10" fillId="2" borderId="41" xfId="0" applyNumberFormat="1" applyFont="1" applyFill="1" applyBorder="1" applyAlignment="1">
      <alignment horizontal="center"/>
    </xf>
    <xf numFmtId="0" fontId="8" fillId="0" borderId="19" xfId="0" applyFont="1" applyFill="1" applyBorder="1" applyAlignment="1">
      <alignment horizontal="center" wrapText="1"/>
    </xf>
    <xf numFmtId="0" fontId="13" fillId="0" borderId="0" xfId="0" applyFont="1" applyFill="1" applyAlignment="1">
      <alignment horizontal="center" wrapText="1"/>
    </xf>
    <xf numFmtId="0" fontId="0" fillId="0" borderId="0" xfId="0" applyFill="1" applyBorder="1" applyAlignment="1">
      <alignment vertical="center" wrapText="1"/>
    </xf>
    <xf numFmtId="164" fontId="8" fillId="0" borderId="0" xfId="0" applyNumberFormat="1" applyFont="1" applyFill="1" applyBorder="1" applyAlignment="1">
      <alignment vertical="top" wrapText="1"/>
    </xf>
    <xf numFmtId="0" fontId="8" fillId="0" borderId="0" xfId="0" applyFont="1" applyFill="1" applyBorder="1" applyAlignment="1">
      <alignment vertical="center"/>
    </xf>
    <xf numFmtId="164" fontId="8" fillId="0" borderId="0" xfId="0" applyNumberFormat="1" applyFont="1" applyFill="1" applyBorder="1" applyAlignment="1">
      <alignment wrapText="1"/>
    </xf>
    <xf numFmtId="0" fontId="8" fillId="0" borderId="19" xfId="0" applyFont="1" applyFill="1" applyBorder="1" applyAlignment="1">
      <alignment vertical="top" wrapText="1"/>
    </xf>
    <xf numFmtId="0" fontId="8" fillId="0" borderId="1" xfId="0" applyFont="1" applyFill="1" applyBorder="1" applyAlignment="1">
      <alignment vertical="top" wrapText="1"/>
    </xf>
    <xf numFmtId="0" fontId="8" fillId="0" borderId="20" xfId="0" applyFont="1" applyFill="1" applyBorder="1" applyAlignment="1">
      <alignment vertical="top" wrapText="1"/>
    </xf>
    <xf numFmtId="39" fontId="8" fillId="0" borderId="8" xfId="0" applyNumberFormat="1" applyFont="1" applyFill="1" applyBorder="1" applyAlignment="1">
      <alignment vertical="center"/>
    </xf>
    <xf numFmtId="15" fontId="8" fillId="0" borderId="15" xfId="0" applyNumberFormat="1" applyFont="1" applyBorder="1" applyAlignment="1">
      <alignment horizontal="center"/>
    </xf>
    <xf numFmtId="0" fontId="8" fillId="0" borderId="13" xfId="0" applyFont="1" applyFill="1" applyBorder="1" applyAlignment="1">
      <alignment horizontal="center"/>
    </xf>
    <xf numFmtId="37" fontId="0" fillId="0" borderId="9" xfId="1" applyNumberFormat="1" applyFont="1" applyFill="1" applyBorder="1" applyAlignment="1">
      <alignment horizontal="center"/>
    </xf>
    <xf numFmtId="0" fontId="0" fillId="0" borderId="0" xfId="0" applyFill="1" applyAlignment="1">
      <alignment horizontal="left"/>
    </xf>
    <xf numFmtId="0" fontId="8" fillId="0" borderId="0" xfId="0" applyFont="1" applyBorder="1"/>
    <xf numFmtId="0" fontId="26" fillId="0" borderId="0" xfId="0" applyFont="1" applyBorder="1"/>
    <xf numFmtId="0" fontId="8" fillId="0" borderId="0" xfId="0" applyNumberFormat="1" applyFont="1" applyBorder="1"/>
    <xf numFmtId="0" fontId="8" fillId="0" borderId="0" xfId="0" applyFont="1" applyFill="1" applyBorder="1" applyAlignment="1">
      <alignment horizontal="left" vertical="center" wrapText="1"/>
    </xf>
    <xf numFmtId="0" fontId="8" fillId="0" borderId="1" xfId="0" applyFont="1" applyFill="1" applyBorder="1" applyAlignment="1">
      <alignment vertical="center" wrapText="1"/>
    </xf>
    <xf numFmtId="165" fontId="8" fillId="0" borderId="1" xfId="1" applyNumberFormat="1" applyFont="1" applyFill="1" applyBorder="1" applyAlignment="1">
      <alignment vertical="center"/>
    </xf>
    <xf numFmtId="0" fontId="10" fillId="0" borderId="19" xfId="0" applyFont="1" applyFill="1" applyBorder="1" applyAlignment="1">
      <alignment horizontal="center" vertical="center" wrapText="1"/>
    </xf>
    <xf numFmtId="0" fontId="3" fillId="0" borderId="0" xfId="0" applyFont="1" applyAlignment="1">
      <alignment horizontal="left" vertical="top" wrapText="1"/>
    </xf>
    <xf numFmtId="0" fontId="19" fillId="0" borderId="0" xfId="6" applyFont="1" applyBorder="1" applyAlignment="1">
      <alignment vertical="center" wrapText="1"/>
    </xf>
    <xf numFmtId="0" fontId="65" fillId="0" borderId="0" xfId="0" applyFont="1" applyFill="1" applyBorder="1" applyAlignment="1">
      <alignment horizontal="center" wrapText="1"/>
    </xf>
    <xf numFmtId="0" fontId="8" fillId="3" borderId="23" xfId="0" applyFont="1" applyFill="1" applyBorder="1" applyAlignment="1">
      <alignment horizontal="center"/>
    </xf>
    <xf numFmtId="2" fontId="8" fillId="0" borderId="10" xfId="0" applyNumberFormat="1" applyFont="1" applyBorder="1" applyAlignment="1">
      <alignment horizontal="center" wrapText="1"/>
    </xf>
    <xf numFmtId="2" fontId="8" fillId="0" borderId="10" xfId="0" applyNumberFormat="1" applyFont="1" applyBorder="1" applyAlignment="1">
      <alignment horizontal="center"/>
    </xf>
    <xf numFmtId="0" fontId="8" fillId="3" borderId="15" xfId="0" applyFont="1" applyFill="1" applyBorder="1" applyAlignment="1">
      <alignment horizontal="center" wrapText="1"/>
    </xf>
    <xf numFmtId="0" fontId="8" fillId="3" borderId="23" xfId="0" applyFont="1" applyFill="1" applyBorder="1" applyAlignment="1">
      <alignment horizontal="center" wrapText="1"/>
    </xf>
    <xf numFmtId="0" fontId="8" fillId="3" borderId="23" xfId="0" applyFont="1" applyFill="1" applyBorder="1"/>
    <xf numFmtId="172" fontId="8" fillId="3" borderId="23" xfId="0" applyNumberFormat="1" applyFont="1" applyFill="1" applyBorder="1" applyAlignment="1">
      <alignment horizontal="center"/>
    </xf>
    <xf numFmtId="8" fontId="8" fillId="0" borderId="8" xfId="0" applyNumberFormat="1" applyFont="1" applyFill="1" applyBorder="1" applyAlignment="1">
      <alignment vertical="center" wrapText="1"/>
    </xf>
    <xf numFmtId="0" fontId="8" fillId="0" borderId="0" xfId="0" applyFont="1" applyFill="1" applyBorder="1" applyAlignment="1">
      <alignment horizontal="left" wrapText="1"/>
    </xf>
    <xf numFmtId="0" fontId="8" fillId="0" borderId="1" xfId="0" applyFont="1" applyFill="1" applyBorder="1" applyAlignment="1">
      <alignment horizontal="left" vertical="top" wrapText="1"/>
    </xf>
    <xf numFmtId="0" fontId="8" fillId="0" borderId="20" xfId="0" applyFont="1" applyFill="1" applyBorder="1" applyAlignment="1">
      <alignment horizontal="left" vertical="top" wrapText="1"/>
    </xf>
    <xf numFmtId="0" fontId="8" fillId="0" borderId="74" xfId="0" applyFont="1" applyFill="1" applyBorder="1" applyAlignment="1">
      <alignment horizontal="center" vertical="center"/>
    </xf>
    <xf numFmtId="0" fontId="8" fillId="0" borderId="19" xfId="0" applyFont="1" applyFill="1" applyBorder="1" applyAlignment="1">
      <alignment horizontal="right"/>
    </xf>
    <xf numFmtId="0" fontId="10" fillId="0" borderId="76" xfId="0" applyFont="1" applyFill="1" applyBorder="1" applyAlignment="1">
      <alignment horizontal="center" vertical="center"/>
    </xf>
    <xf numFmtId="0" fontId="8" fillId="0" borderId="76" xfId="0" applyFont="1" applyFill="1" applyBorder="1" applyAlignment="1">
      <alignment vertical="center"/>
    </xf>
    <xf numFmtId="0" fontId="8" fillId="0" borderId="0" xfId="0" applyFont="1" applyFill="1" applyBorder="1"/>
    <xf numFmtId="0" fontId="8" fillId="0" borderId="80" xfId="0" applyFont="1" applyBorder="1" applyAlignment="1">
      <alignment horizontal="center"/>
    </xf>
    <xf numFmtId="44" fontId="8" fillId="0" borderId="0" xfId="2" applyFont="1" applyFill="1" applyAlignment="1"/>
    <xf numFmtId="0" fontId="10" fillId="0" borderId="80" xfId="0" applyFont="1" applyBorder="1" applyAlignment="1">
      <alignment horizontal="center" wrapText="1"/>
    </xf>
    <xf numFmtId="0" fontId="10" fillId="0" borderId="81" xfId="0" applyFont="1" applyBorder="1" applyAlignment="1">
      <alignment horizontal="center" vertical="center" wrapText="1"/>
    </xf>
    <xf numFmtId="0" fontId="8" fillId="0" borderId="8" xfId="0" applyNumberFormat="1" applyFont="1" applyFill="1" applyBorder="1" applyAlignment="1">
      <alignment vertical="center" wrapText="1"/>
    </xf>
    <xf numFmtId="0" fontId="8" fillId="0" borderId="80" xfId="0" applyFont="1" applyFill="1" applyBorder="1" applyAlignment="1">
      <alignment horizontal="center"/>
    </xf>
    <xf numFmtId="166" fontId="8" fillId="0" borderId="8" xfId="0" applyNumberFormat="1" applyFont="1" applyFill="1" applyBorder="1" applyAlignment="1">
      <alignment horizontal="center"/>
    </xf>
    <xf numFmtId="37" fontId="8" fillId="0" borderId="19" xfId="0" applyNumberFormat="1" applyFont="1" applyFill="1" applyBorder="1" applyAlignment="1">
      <alignment horizontal="center"/>
    </xf>
    <xf numFmtId="44" fontId="8" fillId="0" borderId="8" xfId="0" applyNumberFormat="1" applyFont="1" applyFill="1" applyBorder="1" applyAlignment="1">
      <alignment horizontal="right"/>
    </xf>
    <xf numFmtId="170" fontId="8" fillId="0" borderId="19" xfId="0" applyNumberFormat="1" applyFont="1" applyFill="1" applyBorder="1" applyAlignment="1">
      <alignment horizontal="center"/>
    </xf>
    <xf numFmtId="0" fontId="8" fillId="0" borderId="27" xfId="0" applyFont="1" applyFill="1" applyBorder="1" applyAlignment="1">
      <alignment horizontal="center" wrapText="1"/>
    </xf>
    <xf numFmtId="0" fontId="8" fillId="0" borderId="19" xfId="0" applyFont="1" applyFill="1" applyBorder="1" applyAlignment="1">
      <alignment vertical="center" wrapText="1"/>
    </xf>
    <xf numFmtId="3" fontId="8" fillId="0" borderId="20" xfId="0" applyNumberFormat="1" applyFont="1" applyFill="1" applyBorder="1" applyAlignment="1">
      <alignment vertical="center" wrapText="1"/>
    </xf>
    <xf numFmtId="0" fontId="8" fillId="0" borderId="8" xfId="0" applyFont="1" applyFill="1" applyBorder="1" applyAlignment="1">
      <alignment horizontal="center" vertical="center"/>
    </xf>
    <xf numFmtId="44" fontId="8" fillId="0" borderId="8" xfId="2" applyFont="1" applyFill="1" applyBorder="1" applyAlignment="1">
      <alignment horizontal="center" vertical="center"/>
    </xf>
    <xf numFmtId="0" fontId="8" fillId="0" borderId="78" xfId="0" applyFont="1" applyFill="1" applyBorder="1"/>
    <xf numFmtId="0" fontId="8" fillId="0" borderId="8" xfId="0" applyFont="1" applyFill="1" applyBorder="1" applyAlignment="1">
      <alignment vertical="center"/>
    </xf>
    <xf numFmtId="7" fontId="8" fillId="0" borderId="8" xfId="2" applyNumberFormat="1" applyFont="1" applyFill="1" applyBorder="1" applyAlignment="1">
      <alignment vertical="center"/>
    </xf>
    <xf numFmtId="0" fontId="8" fillId="0" borderId="24" xfId="0" applyFont="1" applyFill="1" applyBorder="1" applyAlignment="1">
      <alignment horizontal="center"/>
    </xf>
    <xf numFmtId="187" fontId="8" fillId="0" borderId="25" xfId="1" applyNumberFormat="1" applyFont="1" applyFill="1" applyBorder="1" applyAlignment="1">
      <alignment wrapText="1"/>
    </xf>
    <xf numFmtId="187" fontId="8" fillId="0" borderId="12" xfId="0" applyNumberFormat="1" applyFont="1" applyFill="1" applyBorder="1" applyAlignment="1">
      <alignment wrapText="1"/>
    </xf>
    <xf numFmtId="0" fontId="8" fillId="0" borderId="5" xfId="0" applyFont="1" applyFill="1" applyBorder="1" applyAlignment="1">
      <alignment horizontal="center"/>
    </xf>
    <xf numFmtId="187" fontId="8" fillId="0" borderId="6" xfId="0" applyNumberFormat="1" applyFont="1" applyFill="1" applyBorder="1" applyAlignment="1">
      <alignment wrapText="1"/>
    </xf>
    <xf numFmtId="0" fontId="8" fillId="0" borderId="27" xfId="0" applyFont="1" applyFill="1" applyBorder="1"/>
    <xf numFmtId="0" fontId="10" fillId="0" borderId="8" xfId="0" applyFont="1" applyFill="1" applyBorder="1" applyAlignment="1">
      <alignment horizontal="center" vertical="center"/>
    </xf>
    <xf numFmtId="8" fontId="8" fillId="0" borderId="8" xfId="0" applyNumberFormat="1" applyFont="1" applyFill="1" applyBorder="1"/>
    <xf numFmtId="44" fontId="8" fillId="0" borderId="8" xfId="2" applyFont="1" applyFill="1" applyBorder="1" applyAlignment="1">
      <alignment vertical="center"/>
    </xf>
    <xf numFmtId="8" fontId="8" fillId="0" borderId="77" xfId="0" applyNumberFormat="1" applyFont="1" applyFill="1" applyBorder="1"/>
    <xf numFmtId="8" fontId="8" fillId="0" borderId="21" xfId="2" applyNumberFormat="1" applyFont="1" applyFill="1" applyBorder="1"/>
    <xf numFmtId="0" fontId="10" fillId="0" borderId="78" xfId="0" applyFont="1" applyFill="1" applyBorder="1" applyAlignment="1">
      <alignment horizontal="center" wrapText="1"/>
    </xf>
    <xf numFmtId="0" fontId="8" fillId="0" borderId="1" xfId="0" applyFont="1" applyFill="1" applyBorder="1" applyAlignment="1">
      <alignment vertical="center"/>
    </xf>
    <xf numFmtId="0" fontId="8" fillId="0" borderId="0" xfId="0" applyFont="1" applyFill="1"/>
    <xf numFmtId="3" fontId="8" fillId="0" borderId="20" xfId="0" applyNumberFormat="1" applyFont="1" applyFill="1" applyBorder="1" applyAlignment="1">
      <alignment vertical="center"/>
    </xf>
    <xf numFmtId="0" fontId="8" fillId="0" borderId="0" xfId="0" applyFont="1" applyFill="1" applyAlignment="1">
      <alignment wrapText="1"/>
    </xf>
    <xf numFmtId="44" fontId="8" fillId="0" borderId="0" xfId="2" applyFont="1" applyFill="1" applyAlignment="1">
      <alignment vertical="center"/>
    </xf>
    <xf numFmtId="0" fontId="8" fillId="0" borderId="0" xfId="0" applyFont="1" applyFill="1" applyAlignment="1">
      <alignment vertical="center" wrapText="1"/>
    </xf>
    <xf numFmtId="0" fontId="8" fillId="0" borderId="0" xfId="0" applyFont="1" applyFill="1" applyAlignment="1"/>
    <xf numFmtId="44" fontId="7" fillId="0" borderId="0" xfId="2" applyFont="1" applyFill="1" applyAlignment="1">
      <alignment horizontal="right" vertical="top"/>
    </xf>
    <xf numFmtId="8" fontId="8" fillId="0" borderId="0" xfId="0" applyNumberFormat="1" applyFont="1" applyFill="1"/>
    <xf numFmtId="167" fontId="8" fillId="0" borderId="78" xfId="0" applyNumberFormat="1" applyFont="1" applyFill="1" applyBorder="1"/>
    <xf numFmtId="9" fontId="8" fillId="0" borderId="0" xfId="3" applyFont="1" applyFill="1" applyAlignment="1">
      <alignment wrapText="1"/>
    </xf>
    <xf numFmtId="44" fontId="8" fillId="0" borderId="0" xfId="2" applyFont="1" applyFill="1" applyBorder="1" applyAlignment="1"/>
    <xf numFmtId="44" fontId="8" fillId="0" borderId="0" xfId="0" applyNumberFormat="1" applyFont="1" applyFill="1" applyAlignment="1">
      <alignment vertical="center"/>
    </xf>
    <xf numFmtId="44" fontId="8" fillId="0" borderId="0" xfId="0" applyNumberFormat="1" applyFont="1" applyFill="1"/>
    <xf numFmtId="164" fontId="8" fillId="0" borderId="0" xfId="0" applyNumberFormat="1" applyFont="1" applyFill="1" applyBorder="1" applyAlignment="1">
      <alignment horizontal="right"/>
    </xf>
    <xf numFmtId="0" fontId="8" fillId="0" borderId="0" xfId="0" applyFont="1" applyFill="1" applyAlignment="1">
      <alignment horizontal="right"/>
    </xf>
    <xf numFmtId="164" fontId="8" fillId="0" borderId="0" xfId="0" applyNumberFormat="1" applyFont="1" applyFill="1" applyAlignment="1">
      <alignment horizontal="right"/>
    </xf>
    <xf numFmtId="0" fontId="8" fillId="0" borderId="0" xfId="0" applyFont="1" applyFill="1" applyBorder="1" applyAlignment="1">
      <alignment horizontal="right"/>
    </xf>
    <xf numFmtId="44" fontId="8" fillId="0" borderId="0" xfId="2" applyFont="1" applyFill="1" applyAlignment="1">
      <alignment wrapText="1"/>
    </xf>
    <xf numFmtId="0" fontId="10" fillId="0" borderId="0" xfId="0" applyFont="1" applyFill="1" applyBorder="1" applyAlignment="1">
      <alignment wrapText="1"/>
    </xf>
    <xf numFmtId="0" fontId="8" fillId="0" borderId="0" xfId="0" applyFont="1" applyFill="1" applyBorder="1" applyAlignment="1">
      <alignment vertical="top"/>
    </xf>
    <xf numFmtId="0" fontId="16" fillId="0" borderId="0" xfId="0" applyFont="1" applyFill="1" applyBorder="1" applyAlignment="1">
      <alignment wrapText="1"/>
    </xf>
    <xf numFmtId="0" fontId="10" fillId="0" borderId="21" xfId="0" applyFont="1" applyFill="1" applyBorder="1" applyAlignment="1">
      <alignment horizontal="right"/>
    </xf>
    <xf numFmtId="44" fontId="8" fillId="0" borderId="21" xfId="2" applyFont="1" applyFill="1" applyBorder="1"/>
    <xf numFmtId="43" fontId="8" fillId="0" borderId="0" xfId="1" applyFont="1" applyFill="1" applyAlignment="1">
      <alignment horizontal="center"/>
    </xf>
    <xf numFmtId="0" fontId="8" fillId="0" borderId="1" xfId="0" applyFont="1" applyFill="1" applyBorder="1" applyAlignment="1">
      <alignment wrapText="1"/>
    </xf>
    <xf numFmtId="44" fontId="8" fillId="0" borderId="0" xfId="0" applyNumberFormat="1" applyFont="1" applyFill="1" applyBorder="1" applyAlignment="1"/>
    <xf numFmtId="9" fontId="8" fillId="0" borderId="0" xfId="3" applyFont="1" applyFill="1" applyBorder="1" applyAlignment="1"/>
    <xf numFmtId="44" fontId="8" fillId="0" borderId="0" xfId="0" applyNumberFormat="1" applyFont="1" applyFill="1" applyAlignment="1"/>
    <xf numFmtId="44" fontId="8" fillId="0" borderId="0" xfId="2" applyFont="1" applyFill="1" applyAlignment="1">
      <alignment horizontal="center"/>
    </xf>
    <xf numFmtId="44" fontId="8" fillId="0" borderId="0" xfId="0" applyNumberFormat="1" applyFont="1" applyFill="1" applyBorder="1" applyAlignment="1">
      <alignment horizontal="left" vertical="top" wrapText="1"/>
    </xf>
    <xf numFmtId="44" fontId="8" fillId="0" borderId="0" xfId="0" applyNumberFormat="1" applyFont="1" applyFill="1" applyBorder="1" applyAlignment="1">
      <alignment vertical="center" wrapText="1"/>
    </xf>
    <xf numFmtId="44" fontId="8" fillId="0" borderId="0" xfId="0" applyNumberFormat="1" applyFont="1" applyFill="1" applyBorder="1" applyAlignment="1">
      <alignment vertical="top" wrapText="1"/>
    </xf>
    <xf numFmtId="0" fontId="10" fillId="0" borderId="36" xfId="0" applyFont="1" applyFill="1" applyBorder="1" applyAlignment="1">
      <alignment horizontal="center"/>
    </xf>
    <xf numFmtId="0" fontId="10" fillId="0" borderId="24" xfId="0" applyFont="1" applyFill="1" applyBorder="1"/>
    <xf numFmtId="164" fontId="10" fillId="0" borderId="24" xfId="0" applyNumberFormat="1" applyFont="1" applyFill="1" applyBorder="1" applyAlignment="1">
      <alignment horizontal="center" wrapText="1"/>
    </xf>
    <xf numFmtId="0" fontId="10" fillId="0" borderId="24" xfId="0" applyFont="1" applyFill="1" applyBorder="1" applyAlignment="1">
      <alignment horizontal="center"/>
    </xf>
    <xf numFmtId="0" fontId="10" fillId="0" borderId="24" xfId="0" applyFont="1" applyFill="1" applyBorder="1" applyAlignment="1">
      <alignment horizontal="center" wrapText="1"/>
    </xf>
    <xf numFmtId="0" fontId="10" fillId="0" borderId="25" xfId="0" applyFont="1" applyFill="1" applyBorder="1" applyAlignment="1">
      <alignment horizontal="center" wrapText="1"/>
    </xf>
    <xf numFmtId="0" fontId="8" fillId="0" borderId="7" xfId="0" applyFont="1" applyFill="1" applyBorder="1" applyAlignment="1">
      <alignment horizontal="center"/>
    </xf>
    <xf numFmtId="2" fontId="8" fillId="0" borderId="12" xfId="0" applyNumberFormat="1" applyFont="1" applyFill="1" applyBorder="1" applyAlignment="1">
      <alignment horizontal="center"/>
    </xf>
    <xf numFmtId="0" fontId="8" fillId="0" borderId="12" xfId="0" applyFont="1" applyFill="1" applyBorder="1" applyAlignment="1">
      <alignment horizontal="center"/>
    </xf>
    <xf numFmtId="0" fontId="8" fillId="0" borderId="4" xfId="0" applyFont="1" applyFill="1" applyBorder="1" applyAlignment="1">
      <alignment horizontal="center"/>
    </xf>
    <xf numFmtId="0" fontId="8" fillId="0" borderId="5" xfId="0" applyFont="1" applyFill="1" applyBorder="1" applyAlignment="1">
      <alignment wrapText="1"/>
    </xf>
    <xf numFmtId="164" fontId="8" fillId="0" borderId="5" xfId="0" applyNumberFormat="1" applyFont="1" applyFill="1" applyBorder="1" applyAlignment="1">
      <alignment horizontal="right"/>
    </xf>
    <xf numFmtId="0" fontId="8" fillId="0" borderId="6" xfId="0" applyFont="1" applyFill="1" applyBorder="1" applyAlignment="1">
      <alignment horizontal="center"/>
    </xf>
    <xf numFmtId="164" fontId="8" fillId="0" borderId="0" xfId="0" applyNumberFormat="1" applyFont="1" applyFill="1" applyBorder="1" applyAlignment="1"/>
    <xf numFmtId="3" fontId="8" fillId="0" borderId="0" xfId="0" applyNumberFormat="1" applyFont="1" applyFill="1" applyBorder="1" applyAlignment="1">
      <alignment vertical="top" wrapText="1"/>
    </xf>
    <xf numFmtId="164" fontId="8" fillId="0" borderId="0" xfId="0" applyNumberFormat="1" applyFont="1" applyFill="1" applyAlignment="1">
      <alignment wrapText="1"/>
    </xf>
    <xf numFmtId="164" fontId="8" fillId="0" borderId="0" xfId="0" applyNumberFormat="1" applyFont="1" applyFill="1" applyBorder="1" applyAlignment="1">
      <alignment vertical="center" wrapText="1"/>
    </xf>
    <xf numFmtId="164" fontId="8" fillId="0" borderId="0" xfId="0" applyNumberFormat="1" applyFont="1" applyFill="1" applyBorder="1" applyAlignment="1">
      <alignment vertical="center"/>
    </xf>
    <xf numFmtId="0" fontId="8" fillId="0" borderId="0" xfId="0" applyFont="1" applyFill="1" applyAlignment="1">
      <alignment horizontal="right" wrapText="1"/>
    </xf>
    <xf numFmtId="164" fontId="8" fillId="0" borderId="0" xfId="0" applyNumberFormat="1" applyFont="1" applyFill="1" applyAlignment="1">
      <alignment horizontal="right" wrapText="1"/>
    </xf>
    <xf numFmtId="15" fontId="10" fillId="0" borderId="0" xfId="0" applyNumberFormat="1" applyFont="1" applyFill="1" applyAlignment="1">
      <alignment horizontal="center"/>
    </xf>
    <xf numFmtId="3" fontId="8" fillId="0" borderId="35" xfId="0" applyNumberFormat="1" applyFont="1" applyFill="1" applyBorder="1" applyAlignment="1">
      <alignment vertical="center"/>
    </xf>
    <xf numFmtId="0" fontId="8" fillId="0" borderId="38" xfId="0" applyFont="1" applyFill="1" applyBorder="1" applyAlignment="1">
      <alignment horizontal="center" vertical="center"/>
    </xf>
    <xf numFmtId="44" fontId="8" fillId="0" borderId="20" xfId="2" applyFont="1" applyFill="1" applyBorder="1" applyAlignment="1">
      <alignment horizontal="center"/>
    </xf>
    <xf numFmtId="0" fontId="10" fillId="0" borderId="1" xfId="0" applyFont="1" applyFill="1" applyBorder="1" applyAlignment="1">
      <alignment horizontal="center" wrapText="1"/>
    </xf>
    <xf numFmtId="164" fontId="8" fillId="0" borderId="0" xfId="0" applyNumberFormat="1" applyFont="1" applyFill="1"/>
    <xf numFmtId="0" fontId="8" fillId="0" borderId="0" xfId="0" applyFont="1" applyFill="1" applyAlignment="1">
      <alignment horizontal="right" vertical="center"/>
    </xf>
    <xf numFmtId="164" fontId="8" fillId="0" borderId="0" xfId="0" applyNumberFormat="1" applyFont="1" applyFill="1" applyAlignment="1">
      <alignment vertical="center"/>
    </xf>
    <xf numFmtId="164" fontId="8" fillId="0" borderId="0" xfId="0" applyNumberFormat="1" applyFont="1" applyFill="1" applyAlignment="1"/>
    <xf numFmtId="0" fontId="10" fillId="0" borderId="0" xfId="0" applyFont="1" applyFill="1" applyBorder="1" applyAlignment="1">
      <alignment horizontal="center" vertical="center"/>
    </xf>
    <xf numFmtId="0" fontId="8" fillId="0" borderId="21" xfId="0" applyFont="1" applyFill="1" applyBorder="1" applyAlignment="1"/>
    <xf numFmtId="3" fontId="8" fillId="0" borderId="21" xfId="0" applyNumberFormat="1" applyFont="1" applyFill="1" applyBorder="1" applyAlignment="1"/>
    <xf numFmtId="44" fontId="8" fillId="0" borderId="0" xfId="0" applyNumberFormat="1" applyFont="1" applyFill="1" applyBorder="1"/>
    <xf numFmtId="0" fontId="8" fillId="0" borderId="0" xfId="0" applyFont="1" applyFill="1" applyAlignment="1">
      <alignment horizontal="left" vertical="top" wrapText="1"/>
    </xf>
    <xf numFmtId="44" fontId="8" fillId="0" borderId="0" xfId="2" applyFont="1" applyFill="1" applyAlignment="1">
      <alignment horizontal="left" wrapText="1"/>
    </xf>
    <xf numFmtId="0" fontId="8" fillId="0" borderId="21" xfId="0" applyFont="1" applyFill="1" applyBorder="1" applyAlignment="1">
      <alignment horizontal="center" vertical="center"/>
    </xf>
    <xf numFmtId="7" fontId="8" fillId="0" borderId="20" xfId="2" applyNumberFormat="1" applyFont="1" applyFill="1" applyBorder="1" applyAlignment="1">
      <alignment horizontal="right"/>
    </xf>
    <xf numFmtId="7" fontId="8" fillId="0" borderId="20" xfId="2" applyNumberFormat="1" applyFont="1" applyFill="1" applyBorder="1" applyAlignment="1">
      <alignment horizontal="center"/>
    </xf>
    <xf numFmtId="9" fontId="8" fillId="0" borderId="0" xfId="3" applyFont="1" applyFill="1" applyAlignment="1">
      <alignment vertical="center"/>
    </xf>
    <xf numFmtId="0" fontId="10" fillId="0" borderId="24" xfId="0" applyFont="1" applyFill="1" applyBorder="1" applyAlignment="1">
      <alignment horizontal="center" vertical="center"/>
    </xf>
    <xf numFmtId="0" fontId="8" fillId="0" borderId="35" xfId="0" applyFont="1" applyFill="1" applyBorder="1" applyAlignment="1">
      <alignment vertical="center"/>
    </xf>
    <xf numFmtId="3" fontId="8" fillId="0" borderId="35" xfId="0" applyNumberFormat="1" applyFont="1" applyFill="1" applyBorder="1" applyAlignment="1">
      <alignment horizontal="center" vertical="center"/>
    </xf>
    <xf numFmtId="0" fontId="10" fillId="0" borderId="0" xfId="0" applyFont="1" applyFill="1" applyBorder="1" applyAlignment="1">
      <alignment horizontal="center" vertical="center" wrapText="1"/>
    </xf>
    <xf numFmtId="44" fontId="8" fillId="0" borderId="0" xfId="0" applyNumberFormat="1" applyFont="1" applyFill="1" applyAlignment="1">
      <alignment horizontal="left" vertical="center" wrapText="1"/>
    </xf>
    <xf numFmtId="43" fontId="8" fillId="0" borderId="19" xfId="0" applyNumberFormat="1" applyFont="1" applyFill="1" applyBorder="1" applyAlignment="1">
      <alignment horizontal="center"/>
    </xf>
    <xf numFmtId="0" fontId="8" fillId="0" borderId="0" xfId="0" applyFont="1" applyFill="1" applyBorder="1" applyAlignment="1">
      <alignment horizontal="center" vertical="center"/>
    </xf>
    <xf numFmtId="0" fontId="10" fillId="0" borderId="0" xfId="0" applyFont="1" applyFill="1" applyBorder="1" applyAlignment="1">
      <alignment horizontal="right" vertical="center"/>
    </xf>
    <xf numFmtId="44" fontId="8" fillId="0" borderId="19" xfId="2" applyFont="1" applyFill="1" applyBorder="1" applyAlignment="1">
      <alignment horizontal="center"/>
    </xf>
    <xf numFmtId="44" fontId="8" fillId="0" borderId="19" xfId="0" applyNumberFormat="1" applyFont="1" applyFill="1" applyBorder="1" applyAlignment="1">
      <alignment horizontal="center"/>
    </xf>
    <xf numFmtId="0" fontId="69" fillId="0" borderId="8" xfId="0" applyNumberFormat="1" applyFont="1" applyFill="1" applyBorder="1" applyAlignment="1" applyProtection="1">
      <alignment horizontal="center"/>
    </xf>
    <xf numFmtId="0" fontId="12" fillId="0" borderId="8" xfId="0" applyNumberFormat="1" applyFont="1" applyFill="1" applyBorder="1" applyAlignment="1" applyProtection="1">
      <alignment horizontal="center"/>
    </xf>
    <xf numFmtId="0" fontId="12" fillId="0" borderId="19" xfId="0" applyNumberFormat="1" applyFont="1" applyFill="1" applyBorder="1" applyAlignment="1" applyProtection="1">
      <alignment horizontal="center"/>
    </xf>
    <xf numFmtId="0" fontId="12" fillId="0" borderId="20" xfId="0" applyNumberFormat="1" applyFont="1" applyFill="1" applyBorder="1" applyAlignment="1" applyProtection="1">
      <alignment horizontal="center"/>
    </xf>
    <xf numFmtId="44" fontId="8" fillId="0" borderId="0" xfId="2" applyFont="1" applyFill="1" applyAlignment="1">
      <alignment horizontal="center" wrapText="1"/>
    </xf>
    <xf numFmtId="0" fontId="8" fillId="0" borderId="0" xfId="0" applyFont="1" applyFill="1" applyAlignment="1">
      <alignment horizontal="center" vertical="center" wrapText="1"/>
    </xf>
    <xf numFmtId="0" fontId="8" fillId="0" borderId="0" xfId="0" applyFont="1" applyFill="1" applyAlignment="1">
      <alignment vertical="top" wrapText="1"/>
    </xf>
    <xf numFmtId="44" fontId="12" fillId="0" borderId="8" xfId="0" applyNumberFormat="1" applyFont="1" applyFill="1" applyBorder="1" applyAlignment="1" applyProtection="1">
      <alignment horizontal="center"/>
    </xf>
    <xf numFmtId="165" fontId="12" fillId="0" borderId="19" xfId="0" applyNumberFormat="1" applyFont="1" applyFill="1" applyBorder="1" applyAlignment="1" applyProtection="1"/>
    <xf numFmtId="44" fontId="8" fillId="0" borderId="0" xfId="2" applyFont="1" applyFill="1" applyBorder="1" applyAlignment="1">
      <alignment wrapText="1"/>
    </xf>
    <xf numFmtId="175" fontId="8" fillId="0" borderId="8" xfId="2" applyNumberFormat="1" applyFont="1" applyFill="1" applyBorder="1" applyAlignment="1">
      <alignment horizontal="center"/>
    </xf>
    <xf numFmtId="5" fontId="8" fillId="0" borderId="8" xfId="2" applyNumberFormat="1" applyFont="1" applyFill="1" applyBorder="1" applyAlignment="1">
      <alignment horizontal="center"/>
    </xf>
    <xf numFmtId="7" fontId="8" fillId="0" borderId="8" xfId="0" applyNumberFormat="1" applyFont="1" applyFill="1" applyBorder="1" applyAlignment="1">
      <alignment horizontal="center"/>
    </xf>
    <xf numFmtId="0" fontId="8" fillId="0" borderId="19" xfId="0" applyFont="1" applyFill="1" applyBorder="1" applyAlignment="1">
      <alignment horizontal="center" vertical="top" wrapText="1"/>
    </xf>
    <xf numFmtId="0" fontId="8" fillId="0" borderId="1" xfId="0" applyFont="1" applyFill="1" applyBorder="1" applyAlignment="1">
      <alignment horizontal="center" vertical="top" wrapText="1"/>
    </xf>
    <xf numFmtId="0" fontId="8" fillId="0" borderId="20" xfId="0" applyFont="1" applyFill="1" applyBorder="1" applyAlignment="1">
      <alignment horizontal="center" vertical="top" wrapText="1"/>
    </xf>
    <xf numFmtId="3" fontId="8" fillId="0" borderId="8" xfId="0" applyNumberFormat="1" applyFont="1" applyFill="1" applyBorder="1" applyAlignment="1">
      <alignment horizontal="center"/>
    </xf>
    <xf numFmtId="181" fontId="8" fillId="0" borderId="8" xfId="0" applyNumberFormat="1" applyFont="1" applyFill="1" applyBorder="1" applyAlignment="1">
      <alignment horizontal="right"/>
    </xf>
    <xf numFmtId="184" fontId="8" fillId="0" borderId="8" xfId="0" applyNumberFormat="1" applyFont="1" applyFill="1" applyBorder="1" applyAlignment="1">
      <alignment horizontal="center"/>
    </xf>
    <xf numFmtId="177" fontId="8" fillId="0" borderId="8" xfId="0" applyNumberFormat="1" applyFont="1" applyFill="1" applyBorder="1" applyAlignment="1">
      <alignment horizontal="center"/>
    </xf>
    <xf numFmtId="0" fontId="8" fillId="0" borderId="0" xfId="0" applyFont="1" applyFill="1" applyBorder="1" applyAlignment="1">
      <alignment horizontal="center" vertical="top" wrapText="1"/>
    </xf>
    <xf numFmtId="172" fontId="14" fillId="0" borderId="0" xfId="0" applyNumberFormat="1" applyFont="1" applyFill="1" applyBorder="1" applyAlignment="1">
      <alignment horizontal="center"/>
    </xf>
    <xf numFmtId="169" fontId="8" fillId="0" borderId="19" xfId="1" applyNumberFormat="1" applyFont="1" applyFill="1" applyBorder="1" applyAlignment="1">
      <alignment horizontal="right"/>
    </xf>
    <xf numFmtId="165" fontId="8" fillId="0" borderId="19" xfId="1" applyNumberFormat="1" applyFont="1" applyFill="1" applyBorder="1" applyAlignment="1">
      <alignment vertical="center"/>
    </xf>
    <xf numFmtId="0" fontId="8" fillId="0" borderId="20" xfId="0" applyFont="1" applyFill="1" applyBorder="1" applyAlignment="1">
      <alignment horizontal="center" vertical="center"/>
    </xf>
    <xf numFmtId="0" fontId="8" fillId="0" borderId="8" xfId="0" applyFont="1" applyFill="1" applyBorder="1" applyAlignment="1">
      <alignment horizontal="center" wrapText="1"/>
    </xf>
    <xf numFmtId="0" fontId="8" fillId="0" borderId="20" xfId="0" applyFont="1" applyFill="1" applyBorder="1" applyAlignment="1">
      <alignment horizontal="center" vertical="center" wrapText="1"/>
    </xf>
    <xf numFmtId="164" fontId="8" fillId="0" borderId="8" xfId="0" applyNumberFormat="1" applyFont="1" applyFill="1" applyBorder="1" applyAlignment="1">
      <alignment horizontal="center" vertical="center"/>
    </xf>
    <xf numFmtId="0" fontId="8" fillId="0" borderId="0" xfId="0" applyFont="1" applyFill="1" applyAlignment="1">
      <alignment vertical="top"/>
    </xf>
    <xf numFmtId="9" fontId="8" fillId="0" borderId="19" xfId="0" applyNumberFormat="1" applyFont="1" applyFill="1" applyBorder="1" applyAlignment="1">
      <alignment horizontal="center"/>
    </xf>
    <xf numFmtId="44" fontId="10" fillId="0" borderId="0" xfId="2" applyFont="1" applyFill="1" applyBorder="1" applyAlignment="1">
      <alignment horizontal="center" vertical="center"/>
    </xf>
    <xf numFmtId="44" fontId="8" fillId="0" borderId="8" xfId="0" applyNumberFormat="1" applyFont="1" applyFill="1" applyBorder="1" applyAlignment="1">
      <alignment horizontal="center" wrapText="1"/>
    </xf>
    <xf numFmtId="164" fontId="8" fillId="0" borderId="8" xfId="0" applyNumberFormat="1" applyFont="1" applyFill="1" applyBorder="1" applyAlignment="1">
      <alignment horizontal="center" wrapText="1"/>
    </xf>
    <xf numFmtId="178" fontId="8" fillId="0" borderId="19" xfId="0" applyNumberFormat="1" applyFont="1" applyFill="1" applyBorder="1" applyAlignment="1">
      <alignment horizontal="center"/>
    </xf>
    <xf numFmtId="177" fontId="8" fillId="0" borderId="8" xfId="2" applyNumberFormat="1" applyFont="1" applyFill="1" applyBorder="1" applyAlignment="1">
      <alignment horizontal="center"/>
    </xf>
    <xf numFmtId="44" fontId="8" fillId="0" borderId="8" xfId="2" applyNumberFormat="1" applyFont="1" applyFill="1" applyBorder="1" applyAlignment="1">
      <alignment horizontal="center"/>
    </xf>
    <xf numFmtId="180" fontId="8" fillId="0" borderId="8" xfId="2" applyNumberFormat="1" applyFont="1" applyFill="1" applyBorder="1" applyAlignment="1">
      <alignment horizontal="center"/>
    </xf>
    <xf numFmtId="180" fontId="8" fillId="0" borderId="8" xfId="2" applyNumberFormat="1" applyFont="1" applyFill="1" applyBorder="1" applyAlignment="1">
      <alignment horizontal="center" vertical="center"/>
    </xf>
    <xf numFmtId="166" fontId="8" fillId="0" borderId="63" xfId="0" applyNumberFormat="1" applyFont="1" applyBorder="1" applyAlignment="1">
      <alignment horizontal="center"/>
    </xf>
    <xf numFmtId="0" fontId="7" fillId="0" borderId="26" xfId="4" applyFont="1" applyBorder="1"/>
    <xf numFmtId="0" fontId="7" fillId="0" borderId="0" xfId="4" applyFont="1"/>
    <xf numFmtId="49" fontId="10" fillId="0" borderId="44" xfId="5" applyNumberFormat="1" applyFont="1" applyBorder="1" applyAlignment="1">
      <alignment horizontal="center" vertical="center" wrapText="1"/>
    </xf>
    <xf numFmtId="49" fontId="10" fillId="0" borderId="45" xfId="5" applyNumberFormat="1" applyFont="1" applyBorder="1" applyAlignment="1">
      <alignment horizontal="center" vertical="center" wrapText="1"/>
    </xf>
    <xf numFmtId="49" fontId="10" fillId="0" borderId="29" xfId="5" applyNumberFormat="1" applyFont="1" applyBorder="1" applyAlignment="1">
      <alignment horizontal="center" vertical="center" wrapText="1"/>
    </xf>
    <xf numFmtId="0" fontId="8" fillId="0" borderId="26" xfId="4" applyFont="1" applyBorder="1" applyAlignment="1">
      <alignment horizontal="center" vertical="top" wrapText="1"/>
    </xf>
    <xf numFmtId="0" fontId="8" fillId="0" borderId="0" xfId="4" applyFont="1" applyAlignment="1">
      <alignment horizontal="center" vertical="top" wrapText="1"/>
    </xf>
    <xf numFmtId="0" fontId="8" fillId="0" borderId="20" xfId="4" applyFont="1" applyBorder="1" applyAlignment="1">
      <alignment horizontal="center"/>
    </xf>
    <xf numFmtId="0" fontId="8" fillId="0" borderId="8" xfId="4" applyFont="1" applyBorder="1" applyAlignment="1">
      <alignment horizontal="center"/>
    </xf>
    <xf numFmtId="0" fontId="8" fillId="0" borderId="25" xfId="4" applyFont="1" applyBorder="1" applyAlignment="1">
      <alignment horizontal="center"/>
    </xf>
    <xf numFmtId="0" fontId="8" fillId="0" borderId="11" xfId="4" applyFont="1" applyBorder="1" applyAlignment="1">
      <alignment horizontal="center"/>
    </xf>
    <xf numFmtId="0" fontId="8" fillId="0" borderId="42" xfId="4" applyFont="1" applyBorder="1" applyAlignment="1">
      <alignment horizontal="center"/>
    </xf>
    <xf numFmtId="166" fontId="8" fillId="3" borderId="42" xfId="4" applyNumberFormat="1" applyFont="1" applyFill="1" applyBorder="1" applyAlignment="1">
      <alignment horizontal="center"/>
    </xf>
    <xf numFmtId="0" fontId="8" fillId="0" borderId="81" xfId="4" applyFont="1" applyBorder="1" applyAlignment="1">
      <alignment horizontal="center"/>
    </xf>
    <xf numFmtId="0" fontId="8" fillId="0" borderId="12" xfId="4" applyFont="1" applyBorder="1" applyAlignment="1">
      <alignment horizontal="center"/>
    </xf>
    <xf numFmtId="0" fontId="8" fillId="0" borderId="80" xfId="4" applyFont="1" applyBorder="1" applyAlignment="1">
      <alignment horizontal="center"/>
    </xf>
    <xf numFmtId="0" fontId="8" fillId="0" borderId="43" xfId="4" applyFont="1" applyBorder="1" applyAlignment="1">
      <alignment horizontal="center"/>
    </xf>
    <xf numFmtId="166" fontId="8" fillId="3" borderId="48" xfId="4" applyNumberFormat="1" applyFont="1" applyFill="1" applyBorder="1" applyAlignment="1">
      <alignment horizontal="center"/>
    </xf>
    <xf numFmtId="0" fontId="8" fillId="0" borderId="81" xfId="4" quotePrefix="1" applyFont="1" applyBorder="1" applyAlignment="1">
      <alignment horizontal="center"/>
    </xf>
    <xf numFmtId="0" fontId="10" fillId="0" borderId="12" xfId="0" applyFont="1" applyBorder="1" applyAlignment="1">
      <alignment horizontal="center" wrapText="1"/>
    </xf>
    <xf numFmtId="0" fontId="20" fillId="3" borderId="42" xfId="0" applyFont="1" applyFill="1" applyBorder="1" applyAlignment="1">
      <alignment horizontal="center"/>
    </xf>
    <xf numFmtId="0" fontId="8" fillId="0" borderId="26" xfId="0" applyFont="1" applyBorder="1"/>
    <xf numFmtId="0" fontId="10" fillId="0" borderId="81" xfId="0" applyFont="1" applyBorder="1" applyAlignment="1">
      <alignment horizontal="center" wrapText="1"/>
    </xf>
    <xf numFmtId="0" fontId="10" fillId="0" borderId="82" xfId="0" applyFont="1" applyBorder="1" applyAlignment="1">
      <alignment horizontal="center" wrapText="1"/>
    </xf>
    <xf numFmtId="0" fontId="10" fillId="0" borderId="43" xfId="0" applyFont="1" applyBorder="1" applyAlignment="1">
      <alignment horizontal="center" wrapText="1"/>
    </xf>
    <xf numFmtId="0" fontId="10" fillId="3" borderId="42" xfId="0" applyFont="1" applyFill="1" applyBorder="1" applyAlignment="1">
      <alignment horizontal="center" wrapText="1"/>
    </xf>
    <xf numFmtId="0" fontId="10" fillId="0" borderId="6" xfId="0" applyFont="1" applyBorder="1" applyAlignment="1">
      <alignment horizontal="center" vertical="center" wrapText="1"/>
    </xf>
    <xf numFmtId="0" fontId="10" fillId="0" borderId="73" xfId="0" applyFont="1" applyBorder="1" applyAlignment="1">
      <alignment horizontal="center" vertical="center" wrapText="1"/>
    </xf>
    <xf numFmtId="0" fontId="10" fillId="0" borderId="5" xfId="0" applyFont="1" applyBorder="1" applyAlignment="1">
      <alignment horizontal="center" vertical="center"/>
    </xf>
    <xf numFmtId="0" fontId="10" fillId="0" borderId="5" xfId="0" applyFont="1" applyBorder="1" applyAlignment="1">
      <alignment horizontal="center" vertical="center" wrapText="1"/>
    </xf>
    <xf numFmtId="172" fontId="10" fillId="0" borderId="5" xfId="0" applyNumberFormat="1" applyFont="1" applyBorder="1" applyAlignment="1">
      <alignment horizontal="center" vertical="center" wrapText="1"/>
    </xf>
    <xf numFmtId="0" fontId="10" fillId="0" borderId="46" xfId="0" applyFont="1" applyBorder="1" applyAlignment="1">
      <alignment horizontal="center" vertical="center" wrapText="1"/>
    </xf>
    <xf numFmtId="0" fontId="10" fillId="3" borderId="47" xfId="0" applyFont="1" applyFill="1" applyBorder="1" applyAlignment="1">
      <alignment horizontal="center" vertical="center" wrapText="1"/>
    </xf>
    <xf numFmtId="0" fontId="8" fillId="0" borderId="7" xfId="0" applyFont="1" applyBorder="1" applyAlignment="1">
      <alignment horizontal="center"/>
    </xf>
    <xf numFmtId="0" fontId="8" fillId="0" borderId="80" xfId="0" applyFont="1" applyBorder="1" applyAlignment="1">
      <alignment horizontal="left" indent="1"/>
    </xf>
    <xf numFmtId="0" fontId="8" fillId="0" borderId="12" xfId="0" applyFont="1" applyBorder="1" applyAlignment="1">
      <alignment horizontal="center"/>
    </xf>
    <xf numFmtId="0" fontId="10" fillId="0" borderId="0" xfId="0" applyFont="1"/>
    <xf numFmtId="179" fontId="8" fillId="0" borderId="0" xfId="0" applyNumberFormat="1" applyFont="1"/>
    <xf numFmtId="49" fontId="8" fillId="0" borderId="0" xfId="0" applyNumberFormat="1" applyFont="1"/>
    <xf numFmtId="7" fontId="8" fillId="0" borderId="0" xfId="2" applyNumberFormat="1" applyFont="1" applyFill="1" applyAlignment="1"/>
    <xf numFmtId="8" fontId="8" fillId="0" borderId="0" xfId="2" applyNumberFormat="1" applyFont="1" applyFill="1" applyAlignment="1"/>
    <xf numFmtId="164" fontId="8" fillId="0" borderId="0" xfId="2" applyNumberFormat="1" applyFont="1" applyFill="1" applyAlignment="1"/>
    <xf numFmtId="44" fontId="10" fillId="0" borderId="0" xfId="2" applyFont="1" applyFill="1" applyAlignment="1">
      <alignment wrapText="1"/>
    </xf>
    <xf numFmtId="8" fontId="8" fillId="0" borderId="0" xfId="2" applyNumberFormat="1" applyFont="1" applyFill="1" applyBorder="1" applyAlignment="1">
      <alignment horizontal="center" wrapText="1"/>
    </xf>
    <xf numFmtId="8" fontId="8" fillId="0" borderId="0" xfId="2" applyNumberFormat="1" applyFont="1" applyFill="1"/>
    <xf numFmtId="164" fontId="8" fillId="0" borderId="0" xfId="2" applyNumberFormat="1" applyFont="1" applyFill="1"/>
    <xf numFmtId="0" fontId="8" fillId="0" borderId="0" xfId="0" applyFont="1" applyAlignment="1">
      <alignment wrapText="1"/>
    </xf>
    <xf numFmtId="15" fontId="8" fillId="0" borderId="79" xfId="0" applyNumberFormat="1" applyFont="1" applyBorder="1" applyAlignment="1">
      <alignment horizontal="center"/>
    </xf>
    <xf numFmtId="172" fontId="8" fillId="3" borderId="78" xfId="0" applyNumberFormat="1" applyFont="1" applyFill="1" applyBorder="1" applyAlignment="1">
      <alignment horizontal="center"/>
    </xf>
    <xf numFmtId="3" fontId="8" fillId="0" borderId="1" xfId="0" applyNumberFormat="1" applyFont="1" applyFill="1" applyBorder="1" applyAlignment="1">
      <alignment vertical="center"/>
    </xf>
    <xf numFmtId="44" fontId="8" fillId="0" borderId="0" xfId="2" applyFont="1" applyFill="1" applyAlignment="1">
      <alignment horizontal="left"/>
    </xf>
    <xf numFmtId="164" fontId="8" fillId="0" borderId="0" xfId="0" applyNumberFormat="1" applyFont="1" applyFill="1" applyAlignment="1">
      <alignment horizontal="left"/>
    </xf>
    <xf numFmtId="0" fontId="8" fillId="0" borderId="10" xfId="0" applyFont="1" applyFill="1" applyBorder="1" applyAlignment="1">
      <alignment horizontal="center"/>
    </xf>
    <xf numFmtId="0" fontId="8" fillId="0" borderId="31" xfId="0" applyFont="1" applyFill="1" applyBorder="1" applyAlignment="1">
      <alignment horizontal="center"/>
    </xf>
    <xf numFmtId="0" fontId="8" fillId="0" borderId="0" xfId="0" applyFont="1" applyAlignment="1">
      <alignment wrapText="1"/>
    </xf>
    <xf numFmtId="0" fontId="8" fillId="0" borderId="79" xfId="0" applyFont="1" applyBorder="1"/>
    <xf numFmtId="172" fontId="8" fillId="0" borderId="8" xfId="0" applyNumberFormat="1" applyFont="1" applyFill="1" applyBorder="1" applyAlignment="1">
      <alignment horizontal="center"/>
    </xf>
    <xf numFmtId="166" fontId="8" fillId="0" borderId="12" xfId="0" applyNumberFormat="1" applyFont="1" applyFill="1" applyBorder="1" applyAlignment="1">
      <alignment horizontal="center"/>
    </xf>
    <xf numFmtId="172" fontId="8" fillId="0" borderId="13" xfId="0" applyNumberFormat="1" applyFont="1" applyFill="1" applyBorder="1" applyAlignment="1">
      <alignment horizontal="center"/>
    </xf>
    <xf numFmtId="172" fontId="8" fillId="0" borderId="22" xfId="0" applyNumberFormat="1" applyFont="1" applyFill="1" applyBorder="1" applyAlignment="1">
      <alignment horizontal="center"/>
    </xf>
    <xf numFmtId="172" fontId="8" fillId="0" borderId="81" xfId="0" applyNumberFormat="1" applyFont="1" applyFill="1" applyBorder="1" applyAlignment="1">
      <alignment horizontal="center"/>
    </xf>
    <xf numFmtId="172" fontId="8" fillId="3" borderId="8" xfId="0" applyNumberFormat="1" applyFont="1" applyFill="1" applyBorder="1" applyAlignment="1">
      <alignment horizontal="center"/>
    </xf>
    <xf numFmtId="0" fontId="8" fillId="3" borderId="78" xfId="0" applyFont="1" applyFill="1" applyBorder="1" applyAlignment="1">
      <alignment horizontal="center"/>
    </xf>
    <xf numFmtId="0" fontId="8" fillId="3" borderId="8" xfId="0" applyFont="1" applyFill="1" applyBorder="1" applyAlignment="1">
      <alignment horizontal="center"/>
    </xf>
    <xf numFmtId="0" fontId="0" fillId="3" borderId="0" xfId="0" applyFill="1" applyAlignment="1"/>
    <xf numFmtId="0" fontId="71" fillId="0" borderId="51" xfId="8" applyFont="1" applyFill="1" applyBorder="1" applyAlignment="1">
      <alignment horizontal="center" vertical="center" wrapText="1"/>
    </xf>
    <xf numFmtId="188" fontId="8" fillId="0" borderId="75" xfId="1" applyNumberFormat="1" applyFont="1" applyFill="1" applyBorder="1" applyAlignment="1">
      <alignment vertical="center"/>
    </xf>
    <xf numFmtId="0" fontId="12" fillId="0" borderId="1" xfId="0" applyFont="1" applyFill="1" applyBorder="1" applyAlignment="1">
      <alignment horizontal="center" vertical="center" wrapText="1"/>
    </xf>
    <xf numFmtId="0" fontId="12" fillId="0" borderId="1" xfId="0" applyFont="1" applyFill="1" applyBorder="1" applyAlignment="1">
      <alignment horizontal="left" vertical="center" wrapText="1"/>
    </xf>
    <xf numFmtId="0" fontId="12" fillId="0" borderId="2" xfId="0" applyFont="1" applyFill="1" applyBorder="1" applyAlignment="1">
      <alignment horizontal="center" vertical="center" wrapText="1"/>
    </xf>
    <xf numFmtId="0" fontId="12" fillId="0" borderId="2" xfId="0" applyFont="1" applyFill="1" applyBorder="1" applyAlignment="1">
      <alignment horizontal="left" vertical="center" wrapText="1"/>
    </xf>
    <xf numFmtId="0" fontId="10" fillId="0" borderId="0" xfId="0" applyFont="1" applyFill="1" applyBorder="1" applyAlignment="1">
      <alignment vertical="center" wrapText="1"/>
    </xf>
    <xf numFmtId="37" fontId="8" fillId="0" borderId="0" xfId="1" applyNumberFormat="1" applyFont="1" applyFill="1" applyBorder="1" applyAlignment="1">
      <alignment vertical="center"/>
    </xf>
    <xf numFmtId="0" fontId="8" fillId="0" borderId="19" xfId="0" applyFont="1" applyFill="1" applyBorder="1" applyAlignment="1">
      <alignment horizontal="center" vertical="center"/>
    </xf>
    <xf numFmtId="0" fontId="8" fillId="0" borderId="19" xfId="0" applyFont="1" applyFill="1" applyBorder="1" applyAlignment="1">
      <alignment horizontal="center" vertical="center" wrapText="1"/>
    </xf>
    <xf numFmtId="166" fontId="8" fillId="0" borderId="5" xfId="0" applyNumberFormat="1" applyFont="1" applyFill="1" applyBorder="1" applyAlignment="1">
      <alignment horizontal="center"/>
    </xf>
    <xf numFmtId="3" fontId="12" fillId="0" borderId="1" xfId="0" applyNumberFormat="1" applyFont="1" applyFill="1" applyBorder="1" applyAlignment="1">
      <alignment horizontal="right" vertical="center" wrapText="1"/>
    </xf>
    <xf numFmtId="3" fontId="12" fillId="0" borderId="2" xfId="0" applyNumberFormat="1" applyFont="1" applyFill="1" applyBorder="1" applyAlignment="1">
      <alignment horizontal="right" vertical="center" wrapText="1"/>
    </xf>
    <xf numFmtId="164" fontId="8" fillId="0" borderId="0" xfId="0" applyNumberFormat="1" applyFont="1" applyFill="1" applyBorder="1" applyAlignment="1">
      <alignment horizontal="right" vertical="center"/>
    </xf>
    <xf numFmtId="0" fontId="8" fillId="0" borderId="84" xfId="0" applyFont="1" applyBorder="1" applyAlignment="1">
      <alignment horizontal="left" indent="1"/>
    </xf>
    <xf numFmtId="0" fontId="8" fillId="0" borderId="84" xfId="0" applyFont="1" applyBorder="1" applyAlignment="1">
      <alignment horizontal="center"/>
    </xf>
    <xf numFmtId="0" fontId="8" fillId="0" borderId="83" xfId="4" applyFont="1" applyBorder="1" applyAlignment="1">
      <alignment horizontal="center"/>
    </xf>
    <xf numFmtId="0" fontId="8" fillId="0" borderId="84" xfId="4" applyFont="1" applyBorder="1" applyAlignment="1">
      <alignment horizontal="center"/>
    </xf>
    <xf numFmtId="44" fontId="8" fillId="0" borderId="0" xfId="2" applyNumberFormat="1" applyFont="1" applyFill="1" applyAlignment="1"/>
    <xf numFmtId="164" fontId="8" fillId="0" borderId="0" xfId="2" applyNumberFormat="1" applyFont="1" applyFill="1" applyAlignment="1">
      <alignment horizontal="right"/>
    </xf>
    <xf numFmtId="44" fontId="8" fillId="0" borderId="0" xfId="2" applyFont="1" applyFill="1" applyAlignment="1">
      <alignment horizontal="right"/>
    </xf>
    <xf numFmtId="7" fontId="8" fillId="0" borderId="8" xfId="2" applyNumberFormat="1" applyFont="1" applyFill="1" applyBorder="1" applyAlignment="1">
      <alignment horizontal="right"/>
    </xf>
    <xf numFmtId="44" fontId="8" fillId="0" borderId="0" xfId="0" applyNumberFormat="1" applyFont="1" applyFill="1" applyBorder="1" applyAlignment="1">
      <alignment horizontal="left" wrapText="1"/>
    </xf>
    <xf numFmtId="8" fontId="8" fillId="0" borderId="0" xfId="0" applyNumberFormat="1" applyFont="1" applyFill="1" applyBorder="1" applyAlignment="1">
      <alignment wrapText="1"/>
    </xf>
    <xf numFmtId="166" fontId="8" fillId="0" borderId="0" xfId="0" applyNumberFormat="1" applyFont="1" applyFill="1" applyBorder="1" applyAlignment="1">
      <alignment horizontal="center" wrapText="1"/>
    </xf>
    <xf numFmtId="0" fontId="8" fillId="0" borderId="0" xfId="0" applyNumberFormat="1" applyFont="1" applyFill="1" applyBorder="1" applyAlignment="1">
      <alignment horizontal="center" wrapText="1"/>
    </xf>
    <xf numFmtId="164" fontId="8" fillId="0" borderId="0" xfId="0" applyNumberFormat="1" applyFont="1" applyFill="1" applyBorder="1" applyAlignment="1">
      <alignment horizontal="right" wrapText="1"/>
    </xf>
    <xf numFmtId="165" fontId="8" fillId="0" borderId="8" xfId="1" applyNumberFormat="1" applyFont="1" applyFill="1" applyBorder="1" applyAlignment="1">
      <alignment vertical="center"/>
    </xf>
    <xf numFmtId="0" fontId="8" fillId="0" borderId="0" xfId="0" applyFont="1" applyFill="1" applyBorder="1" applyAlignment="1">
      <alignment horizontal="left"/>
    </xf>
    <xf numFmtId="184" fontId="8" fillId="0" borderId="0" xfId="2" applyNumberFormat="1" applyFont="1" applyFill="1" applyAlignment="1"/>
    <xf numFmtId="0" fontId="10" fillId="0" borderId="35" xfId="0" applyFont="1" applyFill="1" applyBorder="1" applyAlignment="1">
      <alignment horizontal="center" vertical="center" wrapText="1"/>
    </xf>
    <xf numFmtId="0" fontId="8" fillId="0" borderId="0" xfId="0" applyFont="1" applyFill="1" applyBorder="1" applyAlignment="1">
      <alignment horizontal="center"/>
    </xf>
    <xf numFmtId="0" fontId="10" fillId="0" borderId="8" xfId="0" applyFont="1" applyFill="1" applyBorder="1" applyAlignment="1">
      <alignment horizontal="center" wrapText="1"/>
    </xf>
    <xf numFmtId="0" fontId="8" fillId="0" borderId="0" xfId="0" applyFont="1" applyFill="1" applyAlignment="1">
      <alignment horizontal="left" wrapText="1"/>
    </xf>
    <xf numFmtId="0" fontId="8" fillId="0" borderId="0" xfId="0" applyFont="1" applyFill="1" applyBorder="1" applyAlignment="1">
      <alignment horizontal="left" vertical="top" wrapText="1"/>
    </xf>
    <xf numFmtId="0" fontId="8" fillId="0" borderId="9" xfId="0" applyFont="1" applyFill="1" applyBorder="1" applyAlignment="1">
      <alignment wrapText="1"/>
    </xf>
    <xf numFmtId="0" fontId="8" fillId="0" borderId="9" xfId="0" applyFont="1" applyFill="1" applyBorder="1" applyAlignment="1"/>
    <xf numFmtId="0" fontId="8" fillId="0" borderId="0" xfId="0" applyFont="1" applyFill="1" applyBorder="1" applyAlignment="1">
      <alignment wrapText="1"/>
    </xf>
    <xf numFmtId="0" fontId="8" fillId="0" borderId="0" xfId="0" applyFont="1" applyFill="1" applyAlignment="1">
      <alignment horizontal="center" vertical="center"/>
    </xf>
    <xf numFmtId="0" fontId="8" fillId="0" borderId="74" xfId="0" applyFont="1" applyFill="1" applyBorder="1" applyAlignment="1">
      <alignment horizontal="center" vertical="center" wrapText="1"/>
    </xf>
    <xf numFmtId="165" fontId="8" fillId="0" borderId="0" xfId="1" applyNumberFormat="1" applyFont="1" applyFill="1" applyBorder="1" applyAlignment="1">
      <alignment vertical="center"/>
    </xf>
    <xf numFmtId="8" fontId="8" fillId="0" borderId="0" xfId="2" applyNumberFormat="1" applyFont="1" applyFill="1" applyBorder="1"/>
    <xf numFmtId="0" fontId="8" fillId="0" borderId="21" xfId="0" applyFont="1" applyFill="1" applyBorder="1" applyAlignment="1">
      <alignment vertical="center" wrapText="1"/>
    </xf>
    <xf numFmtId="44" fontId="8" fillId="0" borderId="0" xfId="2" applyNumberFormat="1" applyFont="1" applyFill="1"/>
    <xf numFmtId="0" fontId="10" fillId="0" borderId="39" xfId="0" applyFont="1" applyFill="1" applyBorder="1" applyAlignment="1">
      <alignment horizontal="center" vertical="center"/>
    </xf>
    <xf numFmtId="0" fontId="10" fillId="0" borderId="91" xfId="0" applyFont="1" applyFill="1" applyBorder="1" applyAlignment="1">
      <alignment horizontal="center" vertical="center"/>
    </xf>
    <xf numFmtId="0" fontId="8" fillId="0" borderId="91" xfId="0" applyFont="1" applyFill="1" applyBorder="1" applyAlignment="1">
      <alignment horizontal="center" vertical="center"/>
    </xf>
    <xf numFmtId="0" fontId="8" fillId="0" borderId="91" xfId="0" applyFont="1" applyFill="1" applyBorder="1" applyAlignment="1">
      <alignment vertical="center"/>
    </xf>
    <xf numFmtId="0" fontId="8" fillId="0" borderId="91" xfId="0" applyFont="1" applyFill="1" applyBorder="1" applyAlignment="1">
      <alignment horizontal="center" vertical="center" wrapText="1"/>
    </xf>
    <xf numFmtId="165" fontId="8" fillId="0" borderId="91" xfId="1" applyNumberFormat="1" applyFont="1" applyFill="1" applyBorder="1" applyAlignment="1">
      <alignment vertical="center"/>
    </xf>
    <xf numFmtId="184" fontId="3" fillId="0" borderId="0" xfId="2" applyNumberFormat="1" applyFont="1" applyFill="1" applyAlignment="1"/>
    <xf numFmtId="165" fontId="8" fillId="0" borderId="91" xfId="1" applyNumberFormat="1" applyFont="1" applyFill="1" applyBorder="1" applyAlignment="1">
      <alignment horizontal="center" vertical="center"/>
    </xf>
    <xf numFmtId="165" fontId="8" fillId="0" borderId="91" xfId="0" applyNumberFormat="1" applyFont="1" applyFill="1" applyBorder="1" applyAlignment="1">
      <alignment horizontal="center" vertical="center"/>
    </xf>
    <xf numFmtId="44" fontId="8" fillId="0" borderId="91" xfId="2" applyFont="1" applyFill="1" applyBorder="1" applyAlignment="1">
      <alignment vertical="center"/>
    </xf>
    <xf numFmtId="169" fontId="8" fillId="0" borderId="91" xfId="0" applyNumberFormat="1" applyFont="1" applyFill="1" applyBorder="1" applyAlignment="1">
      <alignment horizontal="center" vertical="center"/>
    </xf>
    <xf numFmtId="169" fontId="8" fillId="0" borderId="91" xfId="0" applyNumberFormat="1" applyFont="1" applyFill="1" applyBorder="1" applyAlignment="1">
      <alignment vertical="center"/>
    </xf>
    <xf numFmtId="44" fontId="8" fillId="0" borderId="91" xfId="2" applyNumberFormat="1" applyFont="1" applyFill="1" applyBorder="1" applyAlignment="1">
      <alignment vertical="center"/>
    </xf>
    <xf numFmtId="165" fontId="8" fillId="0" borderId="8" xfId="1" applyNumberFormat="1" applyFont="1" applyFill="1" applyBorder="1" applyAlignment="1">
      <alignment horizontal="center" vertical="center"/>
    </xf>
    <xf numFmtId="0" fontId="8" fillId="0" borderId="91" xfId="0" applyFont="1" applyFill="1" applyBorder="1" applyAlignment="1">
      <alignment horizontal="center"/>
    </xf>
    <xf numFmtId="165" fontId="8" fillId="0" borderId="91" xfId="0" applyNumberFormat="1" applyFont="1" applyFill="1" applyBorder="1" applyAlignment="1">
      <alignment horizontal="right"/>
    </xf>
    <xf numFmtId="44" fontId="8" fillId="0" borderId="91" xfId="2" applyFont="1" applyFill="1" applyBorder="1" applyAlignment="1"/>
    <xf numFmtId="37" fontId="8" fillId="0" borderId="91" xfId="0" applyNumberFormat="1" applyFont="1" applyFill="1" applyBorder="1" applyAlignment="1">
      <alignment horizontal="center"/>
    </xf>
    <xf numFmtId="169" fontId="8" fillId="0" borderId="91" xfId="0" applyNumberFormat="1" applyFont="1" applyFill="1" applyBorder="1" applyAlignment="1"/>
    <xf numFmtId="8" fontId="8" fillId="0" borderId="91" xfId="2" applyNumberFormat="1" applyFont="1" applyFill="1" applyBorder="1" applyAlignment="1"/>
    <xf numFmtId="3" fontId="8" fillId="0" borderId="8" xfId="0" applyNumberFormat="1" applyFont="1" applyFill="1" applyBorder="1" applyAlignment="1">
      <alignment vertical="center"/>
    </xf>
    <xf numFmtId="44" fontId="8" fillId="0" borderId="91" xfId="2" applyFont="1" applyFill="1" applyBorder="1" applyAlignment="1">
      <alignment horizontal="center"/>
    </xf>
    <xf numFmtId="0" fontId="8" fillId="0" borderId="91" xfId="0" applyNumberFormat="1" applyFont="1" applyFill="1" applyBorder="1" applyAlignment="1">
      <alignment horizontal="center"/>
    </xf>
    <xf numFmtId="169" fontId="8" fillId="0" borderId="91" xfId="0" applyNumberFormat="1" applyFont="1" applyFill="1" applyBorder="1" applyAlignment="1">
      <alignment horizontal="center"/>
    </xf>
    <xf numFmtId="3" fontId="8" fillId="0" borderId="91" xfId="0" applyNumberFormat="1" applyFont="1" applyFill="1" applyBorder="1" applyAlignment="1">
      <alignment horizontal="center"/>
    </xf>
    <xf numFmtId="0" fontId="8" fillId="0" borderId="91" xfId="0" applyFont="1" applyFill="1" applyBorder="1" applyAlignment="1">
      <alignment vertical="center" wrapText="1"/>
    </xf>
    <xf numFmtId="0" fontId="8" fillId="0" borderId="91" xfId="0" applyFont="1" applyFill="1" applyBorder="1"/>
    <xf numFmtId="8" fontId="8" fillId="0" borderId="91" xfId="2" applyNumberFormat="1" applyFont="1" applyFill="1" applyBorder="1"/>
    <xf numFmtId="44" fontId="8" fillId="0" borderId="91" xfId="2" applyFont="1" applyFill="1" applyBorder="1" applyAlignment="1">
      <alignment horizontal="center" vertical="center"/>
    </xf>
    <xf numFmtId="3" fontId="8" fillId="0" borderId="91" xfId="0" applyNumberFormat="1" applyFont="1" applyFill="1" applyBorder="1" applyAlignment="1">
      <alignment horizontal="center" vertical="center"/>
    </xf>
    <xf numFmtId="0" fontId="8" fillId="0" borderId="91" xfId="0" applyNumberFormat="1" applyFont="1" applyFill="1" applyBorder="1" applyAlignment="1">
      <alignment horizontal="center" vertical="center"/>
    </xf>
    <xf numFmtId="8" fontId="8" fillId="0" borderId="91" xfId="2" applyNumberFormat="1" applyFont="1" applyFill="1" applyBorder="1" applyAlignment="1">
      <alignment vertical="center"/>
    </xf>
    <xf numFmtId="165" fontId="8" fillId="0" borderId="91" xfId="0" applyNumberFormat="1" applyFont="1" applyFill="1" applyBorder="1" applyAlignment="1">
      <alignment vertical="center" wrapText="1"/>
    </xf>
    <xf numFmtId="0" fontId="10" fillId="0" borderId="85" xfId="0" applyFont="1" applyFill="1" applyBorder="1" applyAlignment="1">
      <alignment horizontal="center" vertical="center"/>
    </xf>
    <xf numFmtId="0" fontId="69" fillId="0" borderId="88" xfId="0" applyFont="1" applyFill="1" applyBorder="1" applyAlignment="1">
      <alignment horizontal="center" vertical="center" wrapText="1"/>
    </xf>
    <xf numFmtId="0" fontId="10" fillId="0" borderId="88" xfId="0" applyFont="1" applyFill="1" applyBorder="1" applyAlignment="1">
      <alignment horizontal="center" vertical="center"/>
    </xf>
    <xf numFmtId="0" fontId="8" fillId="0" borderId="52" xfId="0" applyFont="1" applyFill="1" applyBorder="1" applyAlignment="1">
      <alignment horizontal="center"/>
    </xf>
    <xf numFmtId="0" fontId="10" fillId="0" borderId="27" xfId="0" applyFont="1" applyFill="1" applyBorder="1" applyAlignment="1">
      <alignment horizontal="center" vertical="center"/>
    </xf>
    <xf numFmtId="0" fontId="8" fillId="0" borderId="53" xfId="0" applyFont="1" applyFill="1" applyBorder="1" applyAlignment="1">
      <alignment horizontal="center" vertical="center" wrapText="1"/>
    </xf>
    <xf numFmtId="0" fontId="10" fillId="0" borderId="78" xfId="0" applyFont="1" applyFill="1" applyBorder="1" applyAlignment="1">
      <alignment horizontal="center" vertical="center" wrapText="1"/>
    </xf>
    <xf numFmtId="167" fontId="8" fillId="0" borderId="19" xfId="0" applyNumberFormat="1" applyFont="1" applyFill="1" applyBorder="1" applyAlignment="1">
      <alignment horizontal="center"/>
    </xf>
    <xf numFmtId="0" fontId="8" fillId="0" borderId="86" xfId="0" applyFont="1" applyFill="1" applyBorder="1" applyAlignment="1">
      <alignment horizontal="left"/>
    </xf>
    <xf numFmtId="0" fontId="8" fillId="0" borderId="52" xfId="0" applyFont="1" applyFill="1" applyBorder="1" applyAlignment="1">
      <alignment horizontal="left"/>
    </xf>
    <xf numFmtId="0" fontId="8" fillId="0" borderId="87" xfId="0" applyFont="1" applyFill="1" applyBorder="1" applyAlignment="1">
      <alignment horizontal="left"/>
    </xf>
    <xf numFmtId="0" fontId="8" fillId="0" borderId="28" xfId="0" applyFont="1" applyFill="1" applyBorder="1" applyAlignment="1">
      <alignment horizontal="left"/>
    </xf>
    <xf numFmtId="0" fontId="8" fillId="0" borderId="30" xfId="0" applyFont="1" applyFill="1" applyBorder="1" applyAlignment="1">
      <alignment horizontal="left"/>
    </xf>
    <xf numFmtId="0" fontId="8" fillId="0" borderId="41" xfId="0" applyFont="1" applyFill="1" applyBorder="1" applyAlignment="1">
      <alignment horizontal="left"/>
    </xf>
    <xf numFmtId="0" fontId="8" fillId="0" borderId="92" xfId="0" applyFont="1" applyFill="1" applyBorder="1" applyAlignment="1">
      <alignment horizontal="left" vertical="top" wrapText="1"/>
    </xf>
    <xf numFmtId="0" fontId="8" fillId="0" borderId="92" xfId="0" applyFont="1" applyFill="1" applyBorder="1" applyAlignment="1">
      <alignment horizontal="left" vertical="center" wrapText="1"/>
    </xf>
    <xf numFmtId="0" fontId="8" fillId="0" borderId="16" xfId="0" applyFont="1" applyFill="1" applyBorder="1" applyAlignment="1">
      <alignment horizontal="center"/>
    </xf>
    <xf numFmtId="0" fontId="8" fillId="0" borderId="17" xfId="0" applyFont="1" applyFill="1" applyBorder="1" applyAlignment="1">
      <alignment horizontal="center"/>
    </xf>
    <xf numFmtId="0" fontId="8" fillId="0" borderId="18" xfId="0" applyFont="1" applyFill="1" applyBorder="1" applyAlignment="1">
      <alignment horizontal="center"/>
    </xf>
    <xf numFmtId="0" fontId="8" fillId="0" borderId="93" xfId="0" applyFont="1" applyFill="1" applyBorder="1" applyAlignment="1">
      <alignment horizontal="left" vertical="top" wrapText="1"/>
    </xf>
    <xf numFmtId="0" fontId="8" fillId="0" borderId="92" xfId="0" applyFont="1" applyFill="1" applyBorder="1" applyAlignment="1">
      <alignment horizontal="left" wrapText="1"/>
    </xf>
    <xf numFmtId="0" fontId="10" fillId="0" borderId="19" xfId="0" applyFont="1" applyFill="1" applyBorder="1" applyAlignment="1">
      <alignment horizontal="center"/>
    </xf>
    <xf numFmtId="0" fontId="10" fillId="0" borderId="20" xfId="0" applyFont="1" applyFill="1" applyBorder="1" applyAlignment="1">
      <alignment horizontal="center"/>
    </xf>
    <xf numFmtId="0" fontId="8" fillId="0" borderId="8" xfId="0" applyFont="1" applyFill="1" applyBorder="1" applyAlignment="1">
      <alignment horizontal="center" vertical="center" wrapText="1"/>
    </xf>
    <xf numFmtId="0" fontId="8" fillId="0" borderId="16" xfId="0" applyFont="1" applyFill="1" applyBorder="1" applyAlignment="1">
      <alignment horizontal="left"/>
    </xf>
    <xf numFmtId="0" fontId="8" fillId="0" borderId="17" xfId="0" applyFont="1" applyFill="1" applyBorder="1" applyAlignment="1">
      <alignment horizontal="left"/>
    </xf>
    <xf numFmtId="0" fontId="8" fillId="0" borderId="18" xfId="0" applyFont="1" applyFill="1" applyBorder="1" applyAlignment="1">
      <alignment horizontal="left"/>
    </xf>
    <xf numFmtId="0" fontId="8" fillId="0" borderId="21" xfId="0" applyFont="1" applyFill="1" applyBorder="1" applyAlignment="1">
      <alignment horizontal="center"/>
    </xf>
    <xf numFmtId="0" fontId="8" fillId="0" borderId="53" xfId="0" applyFont="1" applyFill="1" applyBorder="1" applyAlignment="1">
      <alignment horizontal="center"/>
    </xf>
    <xf numFmtId="0" fontId="8" fillId="0" borderId="0" xfId="0" applyFont="1" applyFill="1" applyBorder="1" applyAlignment="1">
      <alignment horizontal="center"/>
    </xf>
    <xf numFmtId="0" fontId="8" fillId="0" borderId="27" xfId="0" applyFont="1" applyFill="1" applyBorder="1" applyAlignment="1">
      <alignment horizontal="center"/>
    </xf>
    <xf numFmtId="0" fontId="8" fillId="0" borderId="19" xfId="0" applyFont="1" applyFill="1" applyBorder="1" applyAlignment="1">
      <alignment horizontal="center"/>
    </xf>
    <xf numFmtId="0" fontId="8" fillId="0" borderId="1" xfId="0" applyFont="1" applyFill="1" applyBorder="1" applyAlignment="1">
      <alignment horizontal="center"/>
    </xf>
    <xf numFmtId="0" fontId="8" fillId="0" borderId="20" xfId="0" applyFont="1" applyFill="1" applyBorder="1" applyAlignment="1">
      <alignment horizontal="center"/>
    </xf>
    <xf numFmtId="0" fontId="8" fillId="0" borderId="21" xfId="0" applyFont="1" applyFill="1" applyBorder="1" applyAlignment="1">
      <alignment horizontal="left" wrapText="1"/>
    </xf>
    <xf numFmtId="0" fontId="10" fillId="0" borderId="20" xfId="0" applyFont="1" applyFill="1" applyBorder="1" applyAlignment="1">
      <alignment horizontal="center" wrapText="1"/>
    </xf>
    <xf numFmtId="0" fontId="69" fillId="0" borderId="1" xfId="0" applyFont="1" applyFill="1" applyBorder="1" applyAlignment="1">
      <alignment horizontal="center" vertical="center" wrapText="1"/>
    </xf>
    <xf numFmtId="0" fontId="10" fillId="0" borderId="20" xfId="0" applyFont="1" applyFill="1" applyBorder="1" applyAlignment="1">
      <alignment horizontal="center" vertical="center"/>
    </xf>
    <xf numFmtId="0" fontId="10" fillId="0" borderId="19" xfId="0" applyFont="1" applyFill="1" applyBorder="1" applyAlignment="1">
      <alignment horizontal="center" wrapText="1"/>
    </xf>
    <xf numFmtId="0" fontId="8" fillId="0" borderId="0" xfId="0" applyFont="1" applyFill="1" applyBorder="1" applyAlignment="1">
      <alignment horizontal="left" vertical="top" wrapText="1"/>
    </xf>
    <xf numFmtId="0" fontId="8" fillId="0" borderId="21" xfId="0" applyFont="1" applyFill="1" applyBorder="1" applyAlignment="1">
      <alignment horizontal="left"/>
    </xf>
    <xf numFmtId="0" fontId="8" fillId="0" borderId="91" xfId="0" applyFont="1" applyFill="1" applyBorder="1" applyAlignment="1">
      <alignment horizontal="left"/>
    </xf>
    <xf numFmtId="166" fontId="8" fillId="0" borderId="91" xfId="0" applyNumberFormat="1" applyFont="1" applyFill="1" applyBorder="1" applyAlignment="1">
      <alignment horizontal="center" vertical="center" wrapText="1"/>
    </xf>
    <xf numFmtId="0" fontId="8" fillId="0" borderId="91" xfId="0" applyFont="1" applyFill="1" applyBorder="1" applyAlignment="1">
      <alignment horizontal="left" wrapText="1"/>
    </xf>
    <xf numFmtId="0" fontId="10" fillId="0" borderId="91" xfId="0" applyFont="1" applyFill="1" applyBorder="1" applyAlignment="1">
      <alignment horizontal="center" wrapText="1"/>
    </xf>
    <xf numFmtId="0" fontId="10" fillId="0" borderId="91" xfId="0" applyFont="1" applyFill="1" applyBorder="1" applyAlignment="1">
      <alignment horizontal="center"/>
    </xf>
    <xf numFmtId="0" fontId="10" fillId="0" borderId="91" xfId="0" applyFont="1" applyFill="1" applyBorder="1" applyAlignment="1">
      <alignment horizontal="center" vertical="center" wrapText="1"/>
    </xf>
    <xf numFmtId="0" fontId="8" fillId="0" borderId="19" xfId="0" applyFont="1" applyFill="1" applyBorder="1" applyAlignment="1">
      <alignment wrapText="1"/>
    </xf>
    <xf numFmtId="166" fontId="8" fillId="0" borderId="91" xfId="0" applyNumberFormat="1" applyFont="1" applyFill="1" applyBorder="1" applyAlignment="1">
      <alignment horizontal="center" wrapText="1"/>
    </xf>
    <xf numFmtId="0" fontId="8" fillId="0" borderId="91" xfId="0" applyFont="1" applyFill="1" applyBorder="1" applyAlignment="1">
      <alignment horizontal="left" vertical="center" wrapText="1"/>
    </xf>
    <xf numFmtId="0" fontId="8" fillId="0" borderId="21" xfId="0" applyFont="1" applyFill="1" applyBorder="1" applyAlignment="1">
      <alignment horizontal="left" vertical="top" wrapText="1"/>
    </xf>
    <xf numFmtId="0" fontId="8" fillId="0" borderId="92" xfId="0" applyFont="1" applyFill="1" applyBorder="1" applyAlignment="1">
      <alignment horizontal="left"/>
    </xf>
    <xf numFmtId="0" fontId="69" fillId="0" borderId="2" xfId="0" applyFont="1" applyFill="1" applyBorder="1" applyAlignment="1">
      <alignment horizontal="center" vertical="center" wrapText="1"/>
    </xf>
    <xf numFmtId="0" fontId="10" fillId="0" borderId="91" xfId="0" applyFont="1" applyFill="1" applyBorder="1" applyAlignment="1">
      <alignment horizontal="center" wrapText="1"/>
    </xf>
    <xf numFmtId="0" fontId="8" fillId="0" borderId="91" xfId="0" applyNumberFormat="1" applyFont="1" applyFill="1" applyBorder="1"/>
    <xf numFmtId="0" fontId="8" fillId="0" borderId="5" xfId="0" applyFont="1" applyFill="1" applyBorder="1"/>
    <xf numFmtId="165" fontId="10" fillId="0" borderId="5" xfId="0" applyNumberFormat="1" applyFont="1" applyFill="1" applyBorder="1" applyAlignment="1"/>
    <xf numFmtId="0" fontId="8" fillId="0" borderId="96" xfId="0" applyFont="1" applyFill="1" applyBorder="1" applyAlignment="1">
      <alignment horizontal="center" vertical="center" wrapText="1"/>
    </xf>
    <xf numFmtId="8" fontId="8" fillId="0" borderId="96" xfId="0" applyNumberFormat="1" applyFont="1" applyFill="1" applyBorder="1" applyAlignment="1">
      <alignment wrapText="1"/>
    </xf>
    <xf numFmtId="0" fontId="8" fillId="0" borderId="96" xfId="0" applyFont="1" applyFill="1" applyBorder="1" applyAlignment="1">
      <alignment horizontal="center" wrapText="1"/>
    </xf>
    <xf numFmtId="0" fontId="8" fillId="0" borderId="96" xfId="0" applyNumberFormat="1" applyFont="1" applyFill="1" applyBorder="1" applyAlignment="1">
      <alignment horizontal="center" wrapText="1"/>
    </xf>
    <xf numFmtId="166" fontId="8" fillId="0" borderId="97" xfId="0" applyNumberFormat="1" applyFont="1" applyFill="1" applyBorder="1" applyAlignment="1">
      <alignment horizontal="center" wrapText="1"/>
    </xf>
    <xf numFmtId="164" fontId="8" fillId="0" borderId="96" xfId="0" applyNumberFormat="1" applyFont="1" applyFill="1" applyBorder="1" applyAlignment="1">
      <alignment horizontal="right" wrapText="1"/>
    </xf>
    <xf numFmtId="0" fontId="12" fillId="0" borderId="1" xfId="0" applyFont="1" applyFill="1" applyBorder="1" applyAlignment="1">
      <alignment horizontal="right" vertical="center" wrapText="1"/>
    </xf>
    <xf numFmtId="8" fontId="8" fillId="0" borderId="92" xfId="0" applyNumberFormat="1" applyFont="1" applyFill="1" applyBorder="1" applyAlignment="1">
      <alignment wrapText="1"/>
    </xf>
    <xf numFmtId="0" fontId="10" fillId="0" borderId="96" xfId="0" applyFont="1" applyFill="1" applyBorder="1" applyAlignment="1">
      <alignment horizontal="center" wrapText="1"/>
    </xf>
    <xf numFmtId="0" fontId="8" fillId="0" borderId="49" xfId="0" applyFont="1" applyFill="1" applyBorder="1" applyAlignment="1">
      <alignment horizontal="center" wrapText="1"/>
    </xf>
    <xf numFmtId="8" fontId="8" fillId="0" borderId="0" xfId="2" applyNumberFormat="1" applyFont="1" applyFill="1" applyBorder="1" applyAlignment="1">
      <alignment wrapText="1"/>
    </xf>
    <xf numFmtId="7" fontId="8" fillId="0" borderId="0" xfId="2" applyNumberFormat="1" applyFont="1" applyFill="1" applyBorder="1" applyAlignment="1">
      <alignment wrapText="1"/>
    </xf>
    <xf numFmtId="44" fontId="8" fillId="0" borderId="0" xfId="2" applyFont="1" applyFill="1" applyBorder="1" applyAlignment="1">
      <alignment horizontal="center" wrapText="1"/>
    </xf>
    <xf numFmtId="8" fontId="8" fillId="0" borderId="0" xfId="2" applyNumberFormat="1" applyFont="1" applyFill="1" applyBorder="1" applyAlignment="1">
      <alignment vertical="top" wrapText="1"/>
    </xf>
    <xf numFmtId="44" fontId="8" fillId="0" borderId="0" xfId="2" applyFont="1" applyFill="1" applyBorder="1" applyAlignment="1">
      <alignment vertical="top" wrapText="1"/>
    </xf>
    <xf numFmtId="44" fontId="8" fillId="0" borderId="0" xfId="2" applyFont="1" applyFill="1" applyBorder="1" applyAlignment="1">
      <alignment horizontal="left" wrapText="1"/>
    </xf>
    <xf numFmtId="44" fontId="8" fillId="0" borderId="0" xfId="2" applyFont="1" applyFill="1" applyBorder="1" applyAlignment="1">
      <alignment horizontal="left" vertical="top" wrapText="1"/>
    </xf>
    <xf numFmtId="0" fontId="10" fillId="0" borderId="95" xfId="0" applyFont="1" applyFill="1" applyBorder="1" applyAlignment="1">
      <alignment horizontal="center" vertical="center"/>
    </xf>
    <xf numFmtId="0" fontId="10" fillId="0" borderId="92" xfId="0" applyFont="1" applyFill="1" applyBorder="1" applyAlignment="1">
      <alignment vertical="center" wrapText="1"/>
    </xf>
    <xf numFmtId="0" fontId="8" fillId="0" borderId="92" xfId="0" applyFont="1" applyFill="1" applyBorder="1" applyAlignment="1">
      <alignment horizontal="center" vertical="center"/>
    </xf>
    <xf numFmtId="0" fontId="8" fillId="0" borderId="95" xfId="0" applyFont="1" applyFill="1" applyBorder="1" applyAlignment="1">
      <alignment vertical="center"/>
    </xf>
    <xf numFmtId="0" fontId="8" fillId="0" borderId="92" xfId="0" applyFont="1" applyFill="1" applyBorder="1" applyAlignment="1">
      <alignment horizontal="center" vertical="center" wrapText="1"/>
    </xf>
    <xf numFmtId="188" fontId="8" fillId="0" borderId="94" xfId="1" applyNumberFormat="1" applyFont="1" applyFill="1" applyBorder="1" applyAlignment="1">
      <alignment vertical="center"/>
    </xf>
    <xf numFmtId="0" fontId="10" fillId="0" borderId="7" xfId="0" applyFont="1" applyFill="1" applyBorder="1" applyAlignment="1">
      <alignment horizontal="center" wrapText="1"/>
    </xf>
    <xf numFmtId="0" fontId="8" fillId="0" borderId="7" xfId="0" applyFont="1" applyFill="1" applyBorder="1" applyAlignment="1">
      <alignment horizontal="center" vertical="center" wrapText="1"/>
    </xf>
    <xf numFmtId="8" fontId="8" fillId="0" borderId="91" xfId="0" applyNumberFormat="1" applyFont="1" applyFill="1" applyBorder="1" applyAlignment="1">
      <alignment wrapText="1"/>
    </xf>
    <xf numFmtId="0" fontId="8" fillId="0" borderId="91" xfId="0" applyFont="1" applyFill="1" applyBorder="1" applyAlignment="1">
      <alignment horizontal="center" wrapText="1"/>
    </xf>
    <xf numFmtId="0" fontId="8" fillId="0" borderId="91" xfId="0" applyNumberFormat="1" applyFont="1" applyFill="1" applyBorder="1" applyAlignment="1">
      <alignment horizontal="center" wrapText="1"/>
    </xf>
    <xf numFmtId="166" fontId="8" fillId="0" borderId="92" xfId="0" applyNumberFormat="1" applyFont="1" applyFill="1" applyBorder="1" applyAlignment="1">
      <alignment horizontal="center" wrapText="1"/>
    </xf>
    <xf numFmtId="164" fontId="8" fillId="0" borderId="91" xfId="0" applyNumberFormat="1" applyFont="1" applyFill="1" applyBorder="1" applyAlignment="1">
      <alignment horizontal="right" wrapText="1"/>
    </xf>
    <xf numFmtId="0" fontId="8" fillId="0" borderId="12" xfId="0" applyFont="1" applyFill="1" applyBorder="1" applyAlignment="1">
      <alignment horizontal="center" wrapText="1"/>
    </xf>
    <xf numFmtId="0" fontId="8" fillId="0" borderId="94" xfId="0" applyFont="1" applyFill="1" applyBorder="1" applyAlignment="1">
      <alignment vertical="center" wrapText="1"/>
    </xf>
    <xf numFmtId="0" fontId="8" fillId="0" borderId="94" xfId="0" applyFont="1" applyFill="1" applyBorder="1" applyAlignment="1">
      <alignment horizontal="center" vertical="center" wrapText="1"/>
    </xf>
    <xf numFmtId="165" fontId="8" fillId="0" borderId="94" xfId="1" applyNumberFormat="1" applyFont="1" applyFill="1" applyBorder="1" applyAlignment="1">
      <alignment vertical="center"/>
    </xf>
    <xf numFmtId="37" fontId="8" fillId="0" borderId="94" xfId="1" applyNumberFormat="1" applyFont="1" applyFill="1" applyBorder="1" applyAlignment="1">
      <alignment vertical="center"/>
    </xf>
    <xf numFmtId="0" fontId="8" fillId="0" borderId="95" xfId="0" applyFont="1" applyFill="1" applyBorder="1" applyAlignment="1">
      <alignment horizontal="center" vertical="center"/>
    </xf>
    <xf numFmtId="165" fontId="8" fillId="0" borderId="95" xfId="1" applyNumberFormat="1" applyFont="1" applyFill="1" applyBorder="1" applyAlignment="1">
      <alignment vertical="center"/>
    </xf>
    <xf numFmtId="165" fontId="8" fillId="0" borderId="95" xfId="1" applyNumberFormat="1" applyFont="1" applyFill="1" applyBorder="1" applyAlignment="1">
      <alignment horizontal="center" vertical="center"/>
    </xf>
    <xf numFmtId="0" fontId="8" fillId="0" borderId="92" xfId="0" applyFont="1" applyFill="1" applyBorder="1" applyAlignment="1">
      <alignment vertical="center" wrapText="1"/>
    </xf>
    <xf numFmtId="0" fontId="10" fillId="0" borderId="97" xfId="0" applyFont="1" applyFill="1" applyBorder="1" applyAlignment="1">
      <alignment horizontal="center" wrapText="1"/>
    </xf>
    <xf numFmtId="0" fontId="8" fillId="0" borderId="7" xfId="0" applyFont="1" applyFill="1" applyBorder="1" applyAlignment="1">
      <alignment horizontal="center" vertical="center"/>
    </xf>
    <xf numFmtId="165" fontId="8" fillId="0" borderId="91" xfId="0" applyNumberFormat="1" applyFont="1" applyFill="1" applyBorder="1" applyAlignment="1">
      <alignment vertical="center"/>
    </xf>
    <xf numFmtId="0" fontId="8" fillId="0" borderId="12" xfId="0" applyFont="1" applyFill="1" applyBorder="1" applyAlignment="1">
      <alignment horizontal="center" vertical="center"/>
    </xf>
    <xf numFmtId="165" fontId="8" fillId="0" borderId="92" xfId="0" applyNumberFormat="1" applyFont="1" applyFill="1" applyBorder="1" applyAlignment="1">
      <alignment horizontal="center"/>
    </xf>
    <xf numFmtId="165" fontId="8" fillId="0" borderId="94" xfId="0" applyNumberFormat="1" applyFont="1" applyFill="1" applyBorder="1" applyAlignment="1">
      <alignment horizontal="center"/>
    </xf>
    <xf numFmtId="165" fontId="8" fillId="0" borderId="95" xfId="0" applyNumberFormat="1" applyFont="1" applyFill="1" applyBorder="1" applyAlignment="1">
      <alignment horizontal="center"/>
    </xf>
    <xf numFmtId="0" fontId="10" fillId="0" borderId="91" xfId="0" applyFont="1" applyFill="1" applyBorder="1" applyAlignment="1">
      <alignment horizontal="right"/>
    </xf>
    <xf numFmtId="165" fontId="8" fillId="0" borderId="94" xfId="1" applyNumberFormat="1" applyFont="1" applyFill="1" applyBorder="1" applyAlignment="1">
      <alignment horizontal="center" vertical="center"/>
    </xf>
    <xf numFmtId="0" fontId="8" fillId="0" borderId="94" xfId="0" applyFont="1" applyFill="1" applyBorder="1" applyAlignment="1">
      <alignment horizontal="left"/>
    </xf>
    <xf numFmtId="0" fontId="8" fillId="0" borderId="95" xfId="0" applyFont="1" applyFill="1" applyBorder="1" applyAlignment="1">
      <alignment horizontal="left"/>
    </xf>
    <xf numFmtId="44" fontId="8" fillId="0" borderId="92" xfId="2" applyFont="1" applyFill="1" applyBorder="1" applyAlignment="1">
      <alignment horizontal="center"/>
    </xf>
    <xf numFmtId="2" fontId="8" fillId="0" borderId="91" xfId="2" applyNumberFormat="1" applyFont="1" applyFill="1" applyBorder="1" applyAlignment="1">
      <alignment horizontal="center"/>
    </xf>
    <xf numFmtId="0" fontId="8" fillId="0" borderId="12" xfId="0" applyFont="1" applyFill="1" applyBorder="1"/>
    <xf numFmtId="0" fontId="8" fillId="0" borderId="7" xfId="0" applyFont="1" applyFill="1" applyBorder="1" applyAlignment="1">
      <alignment horizontal="center" wrapText="1"/>
    </xf>
    <xf numFmtId="165" fontId="8" fillId="0" borderId="92" xfId="0" applyNumberFormat="1" applyFont="1" applyFill="1" applyBorder="1" applyAlignment="1">
      <alignment wrapText="1"/>
    </xf>
    <xf numFmtId="165" fontId="8" fillId="0" borderId="94" xfId="0" applyNumberFormat="1" applyFont="1" applyFill="1" applyBorder="1" applyAlignment="1">
      <alignment wrapText="1"/>
    </xf>
    <xf numFmtId="165" fontId="8" fillId="0" borderId="95" xfId="0" applyNumberFormat="1" applyFont="1" applyFill="1" applyBorder="1" applyAlignment="1">
      <alignment wrapText="1"/>
    </xf>
    <xf numFmtId="0" fontId="8" fillId="0" borderId="91" xfId="0" applyFont="1" applyFill="1" applyBorder="1" applyAlignment="1">
      <alignment wrapText="1"/>
    </xf>
    <xf numFmtId="0" fontId="8" fillId="0" borderId="91" xfId="0" applyFont="1" applyFill="1" applyBorder="1" applyAlignment="1">
      <alignment horizontal="right" wrapText="1"/>
    </xf>
    <xf numFmtId="44" fontId="8" fillId="0" borderId="91" xfId="2" applyNumberFormat="1" applyFont="1" applyFill="1" applyBorder="1" applyAlignment="1">
      <alignment wrapText="1"/>
    </xf>
    <xf numFmtId="0" fontId="8" fillId="0" borderId="101" xfId="0" applyFont="1" applyFill="1" applyBorder="1" applyAlignment="1">
      <alignment horizontal="center"/>
    </xf>
    <xf numFmtId="166" fontId="8" fillId="0" borderId="91" xfId="0" applyNumberFormat="1" applyFont="1" applyFill="1" applyBorder="1"/>
    <xf numFmtId="0" fontId="8" fillId="0" borderId="102" xfId="0" applyFont="1" applyFill="1" applyBorder="1" applyAlignment="1">
      <alignment horizontal="center"/>
    </xf>
    <xf numFmtId="44" fontId="8" fillId="0" borderId="91" xfId="2" applyNumberFormat="1" applyFont="1" applyFill="1" applyBorder="1"/>
    <xf numFmtId="0" fontId="10" fillId="0" borderId="92" xfId="0" applyFont="1" applyFill="1" applyBorder="1" applyAlignment="1">
      <alignment vertical="center"/>
    </xf>
    <xf numFmtId="0" fontId="8" fillId="0" borderId="94" xfId="0" applyFont="1" applyFill="1" applyBorder="1" applyAlignment="1">
      <alignment vertical="center"/>
    </xf>
    <xf numFmtId="0" fontId="10" fillId="0" borderId="7" xfId="0" applyFont="1" applyFill="1" applyBorder="1" applyAlignment="1">
      <alignment horizontal="center"/>
    </xf>
    <xf numFmtId="0" fontId="8" fillId="0" borderId="92" xfId="0" applyFont="1" applyFill="1" applyBorder="1"/>
    <xf numFmtId="0" fontId="8" fillId="0" borderId="91" xfId="0" applyFont="1" applyFill="1" applyBorder="1" applyAlignment="1">
      <alignment horizontal="right"/>
    </xf>
    <xf numFmtId="44" fontId="8" fillId="0" borderId="91" xfId="2" applyFont="1" applyFill="1" applyBorder="1"/>
    <xf numFmtId="165" fontId="10" fillId="0" borderId="91" xfId="0" applyNumberFormat="1" applyFont="1" applyFill="1" applyBorder="1" applyAlignment="1"/>
    <xf numFmtId="0" fontId="10" fillId="0" borderId="7" xfId="0" applyFont="1" applyFill="1" applyBorder="1" applyAlignment="1">
      <alignment horizontal="center" vertical="center"/>
    </xf>
    <xf numFmtId="0" fontId="10" fillId="0" borderId="92" xfId="0" applyFont="1" applyFill="1" applyBorder="1" applyAlignment="1">
      <alignment horizontal="center" vertical="center"/>
    </xf>
    <xf numFmtId="0" fontId="10" fillId="0" borderId="92" xfId="0" applyFont="1" applyFill="1" applyBorder="1" applyAlignment="1">
      <alignment horizontal="center"/>
    </xf>
    <xf numFmtId="0" fontId="8" fillId="0" borderId="7" xfId="0" applyFont="1" applyFill="1" applyBorder="1" applyAlignment="1">
      <alignment horizontal="left" vertical="center"/>
    </xf>
    <xf numFmtId="44" fontId="8" fillId="0" borderId="91" xfId="0" applyNumberFormat="1" applyFont="1" applyFill="1" applyBorder="1" applyAlignment="1">
      <alignment horizontal="left" vertical="center"/>
    </xf>
    <xf numFmtId="0" fontId="8" fillId="0" borderId="91" xfId="0" applyFont="1" applyFill="1" applyBorder="1" applyAlignment="1">
      <alignment horizontal="left" vertical="center"/>
    </xf>
    <xf numFmtId="3" fontId="8" fillId="0" borderId="91" xfId="0" applyNumberFormat="1" applyFont="1" applyFill="1" applyBorder="1" applyAlignment="1">
      <alignment horizontal="left" vertical="center"/>
    </xf>
    <xf numFmtId="166" fontId="8" fillId="0" borderId="91" xfId="0" applyNumberFormat="1" applyFont="1" applyFill="1" applyBorder="1" applyAlignment="1">
      <alignment horizontal="left" vertical="center"/>
    </xf>
    <xf numFmtId="2" fontId="8" fillId="0" borderId="91" xfId="0" applyNumberFormat="1" applyFont="1" applyFill="1" applyBorder="1" applyAlignment="1">
      <alignment horizontal="left" vertical="center"/>
    </xf>
    <xf numFmtId="0" fontId="8" fillId="0" borderId="12" xfId="0" applyFont="1" applyFill="1" applyBorder="1" applyAlignment="1">
      <alignment horizontal="left" vertical="center"/>
    </xf>
    <xf numFmtId="0" fontId="8" fillId="0" borderId="7" xfId="0" applyFont="1" applyFill="1" applyBorder="1"/>
    <xf numFmtId="0" fontId="8" fillId="0" borderId="92" xfId="0" applyFont="1" applyFill="1" applyBorder="1" applyAlignment="1"/>
    <xf numFmtId="0" fontId="8" fillId="0" borderId="94" xfId="0" applyFont="1" applyFill="1" applyBorder="1" applyAlignment="1"/>
    <xf numFmtId="0" fontId="8" fillId="0" borderId="95" xfId="0" applyFont="1" applyFill="1" applyBorder="1" applyAlignment="1"/>
    <xf numFmtId="44" fontId="8" fillId="0" borderId="91" xfId="0" applyNumberFormat="1" applyFont="1" applyFill="1" applyBorder="1"/>
    <xf numFmtId="0" fontId="8" fillId="0" borderId="95" xfId="0" applyFont="1" applyFill="1" applyBorder="1" applyAlignment="1">
      <alignment horizontal="left" wrapText="1"/>
    </xf>
    <xf numFmtId="0" fontId="14" fillId="0" borderId="85" xfId="0" applyFont="1" applyFill="1" applyBorder="1" applyAlignment="1">
      <alignment horizontal="left" wrapText="1"/>
    </xf>
    <xf numFmtId="0" fontId="8" fillId="0" borderId="94" xfId="0" applyFont="1" applyFill="1" applyBorder="1" applyAlignment="1">
      <alignment horizontal="left" wrapText="1"/>
    </xf>
    <xf numFmtId="2" fontId="8" fillId="0" borderId="91" xfId="0" applyNumberFormat="1" applyFont="1" applyFill="1" applyBorder="1" applyAlignment="1">
      <alignment horizontal="center" vertical="center"/>
    </xf>
    <xf numFmtId="2" fontId="8" fillId="0" borderId="91" xfId="2" applyNumberFormat="1" applyFont="1" applyFill="1" applyBorder="1" applyAlignment="1">
      <alignment horizontal="center" vertical="center"/>
    </xf>
    <xf numFmtId="0" fontId="10" fillId="0" borderId="91" xfId="0" applyFont="1" applyFill="1" applyBorder="1"/>
    <xf numFmtId="0" fontId="8" fillId="0" borderId="85" xfId="0" applyFont="1" applyFill="1" applyBorder="1" applyAlignment="1">
      <alignment horizontal="left"/>
    </xf>
    <xf numFmtId="0" fontId="10" fillId="0" borderId="104" xfId="0" applyFont="1" applyFill="1" applyBorder="1" applyAlignment="1">
      <alignment horizontal="center" vertical="center"/>
    </xf>
    <xf numFmtId="165" fontId="8" fillId="0" borderId="96" xfId="0" applyNumberFormat="1" applyFont="1" applyFill="1" applyBorder="1" applyAlignment="1">
      <alignment horizontal="center"/>
    </xf>
    <xf numFmtId="165" fontId="8" fillId="0" borderId="96" xfId="0" applyNumberFormat="1" applyFont="1" applyFill="1" applyBorder="1"/>
    <xf numFmtId="165" fontId="10" fillId="0" borderId="96" xfId="0" applyNumberFormat="1" applyFont="1" applyFill="1" applyBorder="1" applyAlignment="1">
      <alignment horizontal="center"/>
    </xf>
    <xf numFmtId="44" fontId="8" fillId="0" borderId="96" xfId="2" applyNumberFormat="1" applyFont="1" applyFill="1" applyBorder="1" applyAlignment="1">
      <alignment vertical="center"/>
    </xf>
    <xf numFmtId="0" fontId="8" fillId="0" borderId="106" xfId="0" applyFont="1" applyFill="1" applyBorder="1" applyAlignment="1">
      <alignment horizontal="center" vertical="center"/>
    </xf>
    <xf numFmtId="165" fontId="8" fillId="0" borderId="92" xfId="0" applyNumberFormat="1" applyFont="1" applyFill="1" applyBorder="1" applyAlignment="1">
      <alignment vertical="center"/>
    </xf>
    <xf numFmtId="44" fontId="8" fillId="0" borderId="94" xfId="2" applyFont="1" applyFill="1" applyBorder="1" applyAlignment="1">
      <alignment vertical="center"/>
    </xf>
    <xf numFmtId="169" fontId="8" fillId="0" borderId="94" xfId="0" applyNumberFormat="1" applyFont="1" applyFill="1" applyBorder="1" applyAlignment="1">
      <alignment horizontal="center" vertical="center"/>
    </xf>
    <xf numFmtId="165" fontId="8" fillId="0" borderId="92" xfId="0" applyNumberFormat="1" applyFont="1" applyFill="1" applyBorder="1" applyAlignment="1"/>
    <xf numFmtId="165" fontId="8" fillId="0" borderId="94" xfId="0" applyNumberFormat="1" applyFont="1" applyFill="1" applyBorder="1" applyAlignment="1"/>
    <xf numFmtId="165" fontId="8" fillId="0" borderId="95" xfId="0" applyNumberFormat="1" applyFont="1" applyFill="1" applyBorder="1" applyAlignment="1"/>
    <xf numFmtId="3" fontId="8" fillId="0" borderId="91" xfId="0" applyNumberFormat="1" applyFont="1" applyFill="1" applyBorder="1" applyAlignment="1">
      <alignment vertical="center"/>
    </xf>
    <xf numFmtId="37" fontId="8" fillId="0" borderId="91" xfId="2" applyNumberFormat="1" applyFont="1" applyFill="1" applyBorder="1" applyAlignment="1">
      <alignment horizontal="center"/>
    </xf>
    <xf numFmtId="44" fontId="8" fillId="0" borderId="91" xfId="0" applyNumberFormat="1" applyFont="1" applyFill="1" applyBorder="1" applyAlignment="1">
      <alignment horizontal="center"/>
    </xf>
    <xf numFmtId="44" fontId="8" fillId="0" borderId="91" xfId="2" applyNumberFormat="1" applyFont="1" applyFill="1" applyBorder="1" applyAlignment="1">
      <alignment horizontal="center"/>
    </xf>
    <xf numFmtId="0" fontId="10" fillId="0" borderId="94" xfId="0" applyFont="1" applyFill="1" applyBorder="1" applyAlignment="1">
      <alignment vertical="center"/>
    </xf>
    <xf numFmtId="3" fontId="8" fillId="0" borderId="94" xfId="0" applyNumberFormat="1" applyFont="1" applyFill="1" applyBorder="1" applyAlignment="1">
      <alignment vertical="center"/>
    </xf>
    <xf numFmtId="3" fontId="8" fillId="0" borderId="94" xfId="1" applyNumberFormat="1" applyFont="1" applyFill="1" applyBorder="1" applyAlignment="1">
      <alignment vertical="center"/>
    </xf>
    <xf numFmtId="0" fontId="10" fillId="0" borderId="92" xfId="0" applyFont="1" applyFill="1" applyBorder="1" applyAlignment="1">
      <alignment horizontal="left"/>
    </xf>
    <xf numFmtId="0" fontId="10" fillId="0" borderId="94" xfId="0" applyFont="1" applyFill="1" applyBorder="1" applyAlignment="1">
      <alignment horizontal="left"/>
    </xf>
    <xf numFmtId="0" fontId="10" fillId="0" borderId="95" xfId="0" applyFont="1" applyFill="1" applyBorder="1" applyAlignment="1">
      <alignment horizontal="left"/>
    </xf>
    <xf numFmtId="166" fontId="8" fillId="0" borderId="92" xfId="0" applyNumberFormat="1" applyFont="1" applyFill="1" applyBorder="1"/>
    <xf numFmtId="44" fontId="8" fillId="0" borderId="78" xfId="2" applyNumberFormat="1" applyFont="1" applyFill="1" applyBorder="1" applyAlignment="1">
      <alignment horizontal="right"/>
    </xf>
    <xf numFmtId="0" fontId="8" fillId="0" borderId="92" xfId="0" applyFont="1" applyFill="1" applyBorder="1" applyAlignment="1">
      <alignment horizontal="center"/>
    </xf>
    <xf numFmtId="39" fontId="8" fillId="0" borderId="91" xfId="2" applyNumberFormat="1" applyFont="1" applyFill="1" applyBorder="1" applyAlignment="1">
      <alignment horizontal="center"/>
    </xf>
    <xf numFmtId="44" fontId="8" fillId="0" borderId="92" xfId="0" applyNumberFormat="1" applyFont="1" applyFill="1" applyBorder="1" applyAlignment="1">
      <alignment horizontal="center"/>
    </xf>
    <xf numFmtId="164" fontId="8" fillId="0" borderId="12" xfId="0" applyNumberFormat="1" applyFont="1" applyFill="1" applyBorder="1" applyAlignment="1">
      <alignment horizontal="center"/>
    </xf>
    <xf numFmtId="44" fontId="8" fillId="0" borderId="92" xfId="0" applyNumberFormat="1" applyFont="1" applyFill="1" applyBorder="1"/>
    <xf numFmtId="165" fontId="8" fillId="0" borderId="91" xfId="0" applyNumberFormat="1" applyFont="1" applyFill="1" applyBorder="1" applyAlignment="1">
      <alignment horizontal="center"/>
    </xf>
    <xf numFmtId="164" fontId="8" fillId="0" borderId="91" xfId="2" applyNumberFormat="1" applyFont="1" applyFill="1" applyBorder="1" applyAlignment="1">
      <alignment horizontal="right"/>
    </xf>
    <xf numFmtId="0" fontId="8" fillId="0" borderId="91" xfId="0" applyFont="1" applyFill="1" applyBorder="1" applyAlignment="1"/>
    <xf numFmtId="0" fontId="10" fillId="0" borderId="91" xfId="0" applyFont="1" applyFill="1" applyBorder="1" applyAlignment="1"/>
    <xf numFmtId="165" fontId="8" fillId="0" borderId="91" xfId="0" applyNumberFormat="1" applyFont="1" applyFill="1" applyBorder="1" applyAlignment="1"/>
    <xf numFmtId="0" fontId="8" fillId="0" borderId="105" xfId="0" applyFont="1" applyFill="1" applyBorder="1" applyAlignment="1">
      <alignment horizontal="center" vertical="center" wrapText="1"/>
    </xf>
    <xf numFmtId="0" fontId="8" fillId="0" borderId="106" xfId="0" applyFont="1" applyFill="1" applyBorder="1" applyAlignment="1">
      <alignment horizontal="center" wrapText="1"/>
    </xf>
    <xf numFmtId="0" fontId="8" fillId="0" borderId="91" xfId="0" applyFont="1" applyFill="1" applyBorder="1" applyAlignment="1">
      <alignment horizontal="left" vertical="top" wrapText="1"/>
    </xf>
    <xf numFmtId="0" fontId="8" fillId="0" borderId="12" xfId="0" applyFont="1" applyFill="1" applyBorder="1" applyAlignment="1">
      <alignment horizontal="left" vertical="top" wrapText="1"/>
    </xf>
    <xf numFmtId="44" fontId="8" fillId="0" borderId="91" xfId="0" applyNumberFormat="1" applyFont="1" applyFill="1" applyBorder="1" applyAlignment="1">
      <alignment wrapText="1"/>
    </xf>
    <xf numFmtId="0" fontId="8" fillId="0" borderId="92" xfId="0" applyFont="1" applyFill="1" applyBorder="1" applyAlignment="1">
      <alignment horizontal="center" wrapText="1"/>
    </xf>
    <xf numFmtId="0" fontId="8" fillId="0" borderId="95" xfId="0" applyFont="1" applyFill="1" applyBorder="1" applyAlignment="1">
      <alignment horizontal="center" wrapText="1"/>
    </xf>
    <xf numFmtId="44" fontId="8" fillId="0" borderId="95" xfId="2" applyFont="1" applyFill="1" applyBorder="1" applyAlignment="1"/>
    <xf numFmtId="44" fontId="8" fillId="0" borderId="94" xfId="2" applyFont="1" applyFill="1" applyBorder="1"/>
    <xf numFmtId="0" fontId="8" fillId="0" borderId="94" xfId="0" applyFont="1" applyFill="1" applyBorder="1" applyAlignment="1">
      <alignment horizontal="center"/>
    </xf>
    <xf numFmtId="0" fontId="8" fillId="0" borderId="95" xfId="0" applyFont="1" applyFill="1" applyBorder="1" applyAlignment="1">
      <alignment horizontal="center"/>
    </xf>
    <xf numFmtId="0" fontId="10" fillId="0" borderId="95" xfId="0" applyFont="1" applyFill="1" applyBorder="1" applyAlignment="1">
      <alignment horizontal="center" wrapText="1"/>
    </xf>
    <xf numFmtId="8" fontId="8" fillId="0" borderId="0" xfId="0" applyNumberFormat="1" applyFont="1" applyFill="1" applyBorder="1"/>
    <xf numFmtId="0" fontId="8" fillId="0" borderId="94" xfId="0" applyNumberFormat="1" applyFont="1" applyFill="1" applyBorder="1" applyAlignment="1">
      <alignment horizontal="right" vertical="center"/>
    </xf>
    <xf numFmtId="3" fontId="8" fillId="0" borderId="92" xfId="0" applyNumberFormat="1" applyFont="1" applyFill="1" applyBorder="1"/>
    <xf numFmtId="3" fontId="8" fillId="0" borderId="53" xfId="0" applyNumberFormat="1" applyFont="1" applyFill="1" applyBorder="1"/>
    <xf numFmtId="2" fontId="8" fillId="0" borderId="91" xfId="0" applyNumberFormat="1" applyFont="1" applyFill="1" applyBorder="1" applyAlignment="1">
      <alignment horizontal="center"/>
    </xf>
    <xf numFmtId="0" fontId="10" fillId="0" borderId="0" xfId="0" applyFont="1" applyFill="1" applyBorder="1" applyAlignment="1">
      <alignment horizontal="center"/>
    </xf>
    <xf numFmtId="44" fontId="8" fillId="0" borderId="94" xfId="2" applyFont="1" applyFill="1" applyBorder="1" applyAlignment="1">
      <alignment horizontal="center"/>
    </xf>
    <xf numFmtId="0" fontId="8" fillId="0" borderId="94" xfId="0" applyFont="1" applyFill="1" applyBorder="1" applyAlignment="1">
      <alignment horizontal="center" vertical="center"/>
    </xf>
    <xf numFmtId="169" fontId="8" fillId="0" borderId="95" xfId="0" applyNumberFormat="1" applyFont="1" applyFill="1" applyBorder="1" applyAlignment="1">
      <alignment horizontal="center" vertical="center"/>
    </xf>
    <xf numFmtId="166" fontId="8" fillId="0" borderId="91" xfId="0" applyNumberFormat="1" applyFont="1" applyFill="1" applyBorder="1" applyAlignment="1">
      <alignment horizontal="right" vertical="center" wrapText="1"/>
    </xf>
    <xf numFmtId="3" fontId="8" fillId="0" borderId="0" xfId="0" applyNumberFormat="1" applyFont="1" applyFill="1" applyBorder="1"/>
    <xf numFmtId="0" fontId="8" fillId="0" borderId="92" xfId="0" applyFont="1" applyFill="1" applyBorder="1" applyAlignment="1">
      <alignment horizontal="left" vertical="center"/>
    </xf>
    <xf numFmtId="0" fontId="8" fillId="0" borderId="93" xfId="0" applyFont="1" applyFill="1" applyBorder="1" applyAlignment="1">
      <alignment vertical="center"/>
    </xf>
    <xf numFmtId="0" fontId="8" fillId="0" borderId="94" xfId="0" applyFont="1" applyFill="1" applyBorder="1" applyAlignment="1">
      <alignment horizontal="left" vertical="center"/>
    </xf>
    <xf numFmtId="0" fontId="8" fillId="0" borderId="95" xfId="0" applyFont="1" applyFill="1" applyBorder="1" applyAlignment="1">
      <alignment horizontal="left" vertical="center"/>
    </xf>
    <xf numFmtId="0" fontId="8" fillId="0" borderId="11" xfId="0" applyFont="1" applyFill="1" applyBorder="1" applyAlignment="1">
      <alignment horizontal="center"/>
    </xf>
    <xf numFmtId="0" fontId="8" fillId="0" borderId="95" xfId="0" applyFont="1" applyFill="1" applyBorder="1" applyAlignment="1">
      <alignment wrapText="1"/>
    </xf>
    <xf numFmtId="44" fontId="8" fillId="0" borderId="91" xfId="2" applyFont="1" applyFill="1" applyBorder="1" applyAlignment="1">
      <alignment horizontal="center" wrapText="1"/>
    </xf>
    <xf numFmtId="164" fontId="8" fillId="0" borderId="91" xfId="2" applyNumberFormat="1" applyFont="1" applyFill="1" applyBorder="1" applyAlignment="1">
      <alignment horizontal="center"/>
    </xf>
    <xf numFmtId="164" fontId="8" fillId="0" borderId="91" xfId="2" applyNumberFormat="1" applyFont="1" applyFill="1" applyBorder="1"/>
    <xf numFmtId="0" fontId="8" fillId="0" borderId="105" xfId="0" applyFont="1" applyFill="1" applyBorder="1" applyAlignment="1">
      <alignment horizontal="center"/>
    </xf>
    <xf numFmtId="165" fontId="8" fillId="0" borderId="96" xfId="0" applyNumberFormat="1" applyFont="1" applyFill="1" applyBorder="1" applyAlignment="1"/>
    <xf numFmtId="0" fontId="8" fillId="0" borderId="96" xfId="0" applyFont="1" applyFill="1" applyBorder="1" applyAlignment="1"/>
    <xf numFmtId="0" fontId="10" fillId="0" borderId="96" xfId="0" applyFont="1" applyFill="1" applyBorder="1" applyAlignment="1">
      <alignment horizontal="center"/>
    </xf>
    <xf numFmtId="8" fontId="8" fillId="0" borderId="96" xfId="2" applyNumberFormat="1" applyFont="1" applyFill="1" applyBorder="1" applyAlignment="1"/>
    <xf numFmtId="0" fontId="8" fillId="0" borderId="106" xfId="0" applyFont="1" applyFill="1" applyBorder="1" applyAlignment="1">
      <alignment horizontal="center"/>
    </xf>
    <xf numFmtId="0" fontId="8" fillId="0" borderId="96" xfId="0" applyFont="1" applyFill="1" applyBorder="1" applyAlignment="1">
      <alignment vertical="center" wrapText="1"/>
    </xf>
    <xf numFmtId="170" fontId="8" fillId="0" borderId="96" xfId="0" applyNumberFormat="1" applyFont="1" applyFill="1" applyBorder="1" applyAlignment="1">
      <alignment vertical="center" wrapText="1"/>
    </xf>
    <xf numFmtId="0" fontId="8" fillId="0" borderId="96" xfId="0" applyFont="1" applyFill="1" applyBorder="1"/>
    <xf numFmtId="8" fontId="8" fillId="0" borderId="96" xfId="2" applyNumberFormat="1" applyFont="1" applyFill="1" applyBorder="1"/>
    <xf numFmtId="165" fontId="8" fillId="0" borderId="0" xfId="1" applyNumberFormat="1" applyFont="1" applyFill="1" applyBorder="1" applyAlignment="1">
      <alignment horizontal="center"/>
    </xf>
    <xf numFmtId="166" fontId="8" fillId="0" borderId="92" xfId="0" applyNumberFormat="1" applyFont="1" applyFill="1" applyBorder="1" applyAlignment="1">
      <alignment horizontal="center"/>
    </xf>
    <xf numFmtId="8" fontId="8" fillId="0" borderId="91" xfId="2" applyNumberFormat="1" applyFont="1" applyFill="1" applyBorder="1" applyAlignment="1">
      <alignment horizontal="right"/>
    </xf>
    <xf numFmtId="165" fontId="8" fillId="0" borderId="91" xfId="1" applyNumberFormat="1" applyFont="1" applyFill="1" applyBorder="1" applyAlignment="1">
      <alignment horizontal="center"/>
    </xf>
    <xf numFmtId="0" fontId="10" fillId="0" borderId="95" xfId="0" applyFont="1" applyFill="1" applyBorder="1" applyAlignment="1">
      <alignment horizontal="center" vertical="center" wrapText="1"/>
    </xf>
    <xf numFmtId="8" fontId="8" fillId="0" borderId="91" xfId="0" applyNumberFormat="1" applyFont="1" applyFill="1" applyBorder="1" applyAlignment="1">
      <alignment vertical="center" wrapText="1"/>
    </xf>
    <xf numFmtId="0" fontId="8" fillId="0" borderId="91" xfId="0" applyNumberFormat="1" applyFont="1" applyFill="1" applyBorder="1" applyAlignment="1">
      <alignment vertical="center" wrapText="1"/>
    </xf>
    <xf numFmtId="0" fontId="8" fillId="0" borderId="12" xfId="0" applyFont="1" applyFill="1" applyBorder="1" applyAlignment="1">
      <alignment horizontal="center" vertical="center" wrapText="1"/>
    </xf>
    <xf numFmtId="9" fontId="8" fillId="0" borderId="92" xfId="0" applyNumberFormat="1" applyFont="1" applyFill="1" applyBorder="1"/>
    <xf numFmtId="0" fontId="8" fillId="0" borderId="92" xfId="0" applyNumberFormat="1" applyFont="1" applyFill="1" applyBorder="1"/>
    <xf numFmtId="9" fontId="8" fillId="0" borderId="91" xfId="0" applyNumberFormat="1" applyFont="1" applyFill="1" applyBorder="1"/>
    <xf numFmtId="0" fontId="14" fillId="0" borderId="91" xfId="0" applyFont="1" applyFill="1" applyBorder="1" applyAlignment="1">
      <alignment horizontal="center" vertical="center"/>
    </xf>
    <xf numFmtId="0" fontId="8" fillId="0" borderId="96" xfId="0" applyFont="1" applyFill="1" applyBorder="1" applyAlignment="1">
      <alignment horizontal="center"/>
    </xf>
    <xf numFmtId="2" fontId="8" fillId="0" borderId="95" xfId="0" applyNumberFormat="1" applyFont="1" applyFill="1" applyBorder="1" applyAlignment="1">
      <alignment horizontal="center"/>
    </xf>
    <xf numFmtId="0" fontId="8" fillId="0" borderId="97" xfId="0" applyFont="1" applyFill="1" applyBorder="1" applyAlignment="1">
      <alignment horizontal="center" vertical="center" wrapText="1"/>
    </xf>
    <xf numFmtId="165" fontId="8" fillId="0" borderId="94" xfId="0" applyNumberFormat="1" applyFont="1" applyFill="1" applyBorder="1" applyAlignment="1">
      <alignment vertical="center" wrapText="1"/>
    </xf>
    <xf numFmtId="0" fontId="8" fillId="0" borderId="95" xfId="0" applyFont="1" applyFill="1" applyBorder="1" applyAlignment="1">
      <alignment vertical="center" wrapText="1"/>
    </xf>
    <xf numFmtId="3" fontId="8" fillId="0" borderId="91" xfId="0" applyNumberFormat="1" applyFont="1" applyFill="1" applyBorder="1" applyAlignment="1">
      <alignment horizontal="center" vertical="center" wrapText="1"/>
    </xf>
    <xf numFmtId="8" fontId="8" fillId="0" borderId="95" xfId="0" applyNumberFormat="1" applyFont="1" applyFill="1" applyBorder="1" applyAlignment="1">
      <alignment horizontal="right" vertical="center" wrapText="1"/>
    </xf>
    <xf numFmtId="0" fontId="8" fillId="0" borderId="92" xfId="0" applyFont="1" applyFill="1" applyBorder="1" applyAlignment="1">
      <alignment horizontal="center" vertical="center"/>
    </xf>
    <xf numFmtId="44" fontId="8" fillId="0" borderId="92" xfId="2" applyFont="1" applyFill="1" applyBorder="1" applyAlignment="1">
      <alignment vertical="center"/>
    </xf>
    <xf numFmtId="166" fontId="8" fillId="0" borderId="92" xfId="0" applyNumberFormat="1" applyFont="1" applyFill="1" applyBorder="1" applyAlignment="1">
      <alignment horizontal="center" vertical="center" wrapText="1"/>
    </xf>
    <xf numFmtId="166" fontId="8" fillId="0" borderId="95" xfId="0" applyNumberFormat="1" applyFont="1" applyFill="1" applyBorder="1" applyAlignment="1">
      <alignment horizontal="center" vertical="center" wrapText="1"/>
    </xf>
    <xf numFmtId="0" fontId="10" fillId="0" borderId="95" xfId="0" applyFont="1" applyFill="1" applyBorder="1" applyAlignment="1">
      <alignment vertical="center"/>
    </xf>
    <xf numFmtId="0" fontId="10" fillId="0" borderId="11" xfId="0" applyFont="1" applyFill="1" applyBorder="1" applyAlignment="1">
      <alignment horizontal="center"/>
    </xf>
    <xf numFmtId="3" fontId="8" fillId="0" borderId="92" xfId="0" applyNumberFormat="1" applyFont="1" applyFill="1" applyBorder="1" applyAlignment="1">
      <alignment horizontal="center"/>
    </xf>
    <xf numFmtId="16" fontId="8" fillId="0" borderId="7" xfId="0" quotePrefix="1" applyNumberFormat="1" applyFont="1" applyFill="1" applyBorder="1" applyAlignment="1">
      <alignment horizontal="center"/>
    </xf>
    <xf numFmtId="39" fontId="8" fillId="0" borderId="91" xfId="2" applyNumberFormat="1" applyFont="1" applyFill="1" applyBorder="1" applyAlignment="1">
      <alignment horizontal="right"/>
    </xf>
    <xf numFmtId="39" fontId="8" fillId="0" borderId="91" xfId="2" applyNumberFormat="1" applyFont="1" applyFill="1" applyBorder="1"/>
    <xf numFmtId="167" fontId="8" fillId="0" borderId="91" xfId="1" applyNumberFormat="1" applyFont="1" applyFill="1" applyBorder="1"/>
    <xf numFmtId="166" fontId="8" fillId="0" borderId="91" xfId="0" applyNumberFormat="1" applyFont="1" applyFill="1" applyBorder="1" applyAlignment="1">
      <alignment horizontal="center"/>
    </xf>
    <xf numFmtId="185" fontId="8" fillId="0" borderId="91" xfId="1" applyNumberFormat="1" applyFont="1" applyFill="1" applyBorder="1"/>
    <xf numFmtId="165" fontId="10" fillId="0" borderId="91" xfId="0" applyNumberFormat="1" applyFont="1" applyFill="1" applyBorder="1"/>
    <xf numFmtId="165" fontId="8" fillId="0" borderId="94" xfId="1" applyNumberFormat="1" applyFont="1" applyFill="1" applyBorder="1" applyAlignment="1">
      <alignment horizontal="center"/>
    </xf>
    <xf numFmtId="0" fontId="8" fillId="0" borderId="94" xfId="0" applyNumberFormat="1" applyFont="1" applyFill="1" applyBorder="1" applyAlignment="1">
      <alignment horizontal="center" vertical="center"/>
    </xf>
    <xf numFmtId="0" fontId="8" fillId="0" borderId="95" xfId="0" applyNumberFormat="1" applyFont="1" applyFill="1" applyBorder="1" applyAlignment="1">
      <alignment horizontal="center" vertical="center"/>
    </xf>
    <xf numFmtId="0" fontId="8" fillId="0" borderId="92" xfId="0" applyNumberFormat="1" applyFont="1" applyFill="1" applyBorder="1" applyAlignment="1">
      <alignment horizontal="center"/>
    </xf>
    <xf numFmtId="170" fontId="8" fillId="0" borderId="92" xfId="0" applyNumberFormat="1" applyFont="1" applyFill="1" applyBorder="1" applyAlignment="1">
      <alignment horizontal="center"/>
    </xf>
    <xf numFmtId="166" fontId="8" fillId="0" borderId="91" xfId="2" applyNumberFormat="1" applyFont="1" applyFill="1" applyBorder="1" applyAlignment="1">
      <alignment horizontal="center"/>
    </xf>
    <xf numFmtId="0" fontId="10" fillId="0" borderId="91" xfId="0" applyNumberFormat="1" applyFont="1" applyFill="1" applyBorder="1"/>
    <xf numFmtId="166" fontId="8" fillId="0" borderId="95" xfId="0" applyNumberFormat="1" applyFont="1" applyFill="1" applyBorder="1" applyAlignment="1">
      <alignment horizontal="center"/>
    </xf>
    <xf numFmtId="171" fontId="8" fillId="0" borderId="92" xfId="0" applyNumberFormat="1" applyFont="1" applyFill="1" applyBorder="1" applyAlignment="1">
      <alignment horizontal="center"/>
    </xf>
    <xf numFmtId="0" fontId="10" fillId="0" borderId="78" xfId="0" applyFont="1" applyFill="1" applyBorder="1" applyAlignment="1"/>
    <xf numFmtId="2" fontId="10" fillId="0" borderId="91" xfId="0" applyNumberFormat="1" applyFont="1" applyFill="1" applyBorder="1" applyAlignment="1">
      <alignment horizontal="center"/>
    </xf>
    <xf numFmtId="3" fontId="8" fillId="0" borderId="0" xfId="0" applyNumberFormat="1" applyFont="1" applyFill="1" applyBorder="1" applyAlignment="1">
      <alignment horizontal="center"/>
    </xf>
    <xf numFmtId="0" fontId="8" fillId="0" borderId="26" xfId="0" applyFont="1" applyFill="1" applyBorder="1" applyAlignment="1">
      <alignment horizontal="center"/>
    </xf>
    <xf numFmtId="0" fontId="8" fillId="0" borderId="87" xfId="0" applyFont="1" applyFill="1" applyBorder="1" applyAlignment="1">
      <alignment horizontal="center"/>
    </xf>
    <xf numFmtId="1" fontId="8" fillId="0" borderId="92" xfId="0" applyNumberFormat="1" applyFont="1" applyFill="1" applyBorder="1" applyAlignment="1">
      <alignment horizontal="center"/>
    </xf>
    <xf numFmtId="0" fontId="10" fillId="0" borderId="100" xfId="0" applyFont="1" applyFill="1" applyBorder="1" applyAlignment="1">
      <alignment horizontal="center"/>
    </xf>
    <xf numFmtId="39" fontId="8" fillId="0" borderId="91" xfId="1" applyNumberFormat="1" applyFont="1" applyFill="1" applyBorder="1"/>
    <xf numFmtId="164" fontId="8" fillId="0" borderId="91" xfId="0" applyNumberFormat="1" applyFont="1" applyFill="1" applyBorder="1" applyAlignment="1">
      <alignment horizontal="right"/>
    </xf>
    <xf numFmtId="2" fontId="8" fillId="0" borderId="92" xfId="0" applyNumberFormat="1" applyFont="1" applyFill="1" applyBorder="1" applyAlignment="1">
      <alignment horizontal="center"/>
    </xf>
    <xf numFmtId="44" fontId="8" fillId="0" borderId="91" xfId="2" applyFont="1" applyFill="1" applyBorder="1" applyAlignment="1">
      <alignment horizontal="right"/>
    </xf>
    <xf numFmtId="0" fontId="10" fillId="0" borderId="12" xfId="0" applyFont="1" applyFill="1" applyBorder="1" applyAlignment="1">
      <alignment horizontal="center"/>
    </xf>
    <xf numFmtId="3" fontId="8" fillId="0" borderId="91" xfId="0" applyNumberFormat="1" applyFont="1" applyFill="1" applyBorder="1"/>
    <xf numFmtId="173" fontId="8" fillId="0" borderId="92" xfId="0" applyNumberFormat="1" applyFont="1" applyFill="1" applyBorder="1"/>
    <xf numFmtId="0" fontId="8" fillId="0" borderId="104" xfId="0" applyFont="1" applyFill="1" applyBorder="1" applyAlignment="1">
      <alignment horizontal="center"/>
    </xf>
    <xf numFmtId="44" fontId="8" fillId="0" borderId="92" xfId="2" applyFont="1" applyFill="1" applyBorder="1"/>
    <xf numFmtId="188" fontId="8" fillId="0" borderId="95" xfId="1" applyNumberFormat="1" applyFont="1" applyFill="1" applyBorder="1" applyAlignment="1">
      <alignment horizontal="right" vertical="center"/>
    </xf>
    <xf numFmtId="44" fontId="8" fillId="0" borderId="95" xfId="2" applyFont="1" applyFill="1" applyBorder="1" applyAlignment="1">
      <alignment horizontal="left" wrapText="1"/>
    </xf>
    <xf numFmtId="174" fontId="8" fillId="0" borderId="91" xfId="2" applyNumberFormat="1" applyFont="1" applyFill="1" applyBorder="1"/>
    <xf numFmtId="0" fontId="10" fillId="0" borderId="92" xfId="0" applyFont="1" applyFill="1" applyBorder="1" applyAlignment="1">
      <alignment horizontal="right"/>
    </xf>
    <xf numFmtId="0" fontId="10" fillId="0" borderId="94" xfId="0" applyFont="1" applyFill="1" applyBorder="1" applyAlignment="1">
      <alignment horizontal="right"/>
    </xf>
    <xf numFmtId="0" fontId="10" fillId="0" borderId="95" xfId="0" applyFont="1" applyFill="1" applyBorder="1" applyAlignment="1">
      <alignment horizontal="right"/>
    </xf>
    <xf numFmtId="2" fontId="8" fillId="0" borderId="78" xfId="0" applyNumberFormat="1" applyFont="1" applyFill="1" applyBorder="1" applyAlignment="1">
      <alignment horizontal="center"/>
    </xf>
    <xf numFmtId="3" fontId="8" fillId="0" borderId="95" xfId="0" applyNumberFormat="1" applyFont="1" applyFill="1" applyBorder="1" applyAlignment="1">
      <alignment vertical="center"/>
    </xf>
    <xf numFmtId="44" fontId="8" fillId="0" borderId="91" xfId="2" applyFont="1" applyFill="1" applyBorder="1" applyAlignment="1">
      <alignment wrapText="1"/>
    </xf>
    <xf numFmtId="0" fontId="8" fillId="0" borderId="108" xfId="0" applyFont="1" applyFill="1" applyBorder="1"/>
    <xf numFmtId="44" fontId="8" fillId="0" borderId="91" xfId="2" applyNumberFormat="1" applyFont="1" applyFill="1" applyBorder="1" applyAlignment="1">
      <alignment horizontal="right"/>
    </xf>
    <xf numFmtId="0" fontId="8" fillId="0" borderId="85" xfId="0" applyFont="1" applyFill="1" applyBorder="1" applyAlignment="1">
      <alignment horizontal="center"/>
    </xf>
    <xf numFmtId="0" fontId="8" fillId="0" borderId="94" xfId="0" applyFont="1" applyFill="1" applyBorder="1"/>
    <xf numFmtId="0" fontId="8" fillId="0" borderId="94" xfId="0" applyFont="1" applyFill="1" applyBorder="1" applyAlignment="1">
      <alignment horizontal="right"/>
    </xf>
    <xf numFmtId="165" fontId="8" fillId="0" borderId="91" xfId="0" applyNumberFormat="1" applyFont="1" applyFill="1" applyBorder="1" applyAlignment="1">
      <alignment horizontal="right" vertical="center"/>
    </xf>
    <xf numFmtId="37" fontId="8" fillId="0" borderId="91" xfId="0" applyNumberFormat="1" applyFont="1" applyFill="1" applyBorder="1" applyAlignment="1">
      <alignment horizontal="center" vertical="center"/>
    </xf>
    <xf numFmtId="44" fontId="8" fillId="0" borderId="91" xfId="0" applyNumberFormat="1" applyFont="1" applyFill="1" applyBorder="1" applyAlignment="1">
      <alignment horizontal="right" vertical="center"/>
    </xf>
    <xf numFmtId="0" fontId="8" fillId="0" borderId="95" xfId="0" applyFont="1" applyFill="1" applyBorder="1"/>
    <xf numFmtId="3" fontId="8" fillId="0" borderId="95" xfId="0" applyNumberFormat="1" applyFont="1" applyFill="1" applyBorder="1" applyAlignment="1">
      <alignment horizontal="right" vertical="center"/>
    </xf>
    <xf numFmtId="0" fontId="8" fillId="0" borderId="94" xfId="0" applyFont="1" applyFill="1" applyBorder="1" applyAlignment="1">
      <alignment horizontal="left" vertical="center" wrapText="1"/>
    </xf>
    <xf numFmtId="0" fontId="8" fillId="0" borderId="95" xfId="0" applyFont="1" applyFill="1" applyBorder="1" applyAlignment="1">
      <alignment horizontal="left" vertical="center" wrapText="1"/>
    </xf>
    <xf numFmtId="3" fontId="8" fillId="0" borderId="91" xfId="0" applyNumberFormat="1" applyFont="1" applyFill="1" applyBorder="1" applyAlignment="1"/>
    <xf numFmtId="166" fontId="8" fillId="0" borderId="91" xfId="0" applyNumberFormat="1" applyFont="1" applyFill="1" applyBorder="1" applyAlignment="1"/>
    <xf numFmtId="3" fontId="8" fillId="0" borderId="91" xfId="0" applyNumberFormat="1" applyFont="1" applyFill="1" applyBorder="1" applyAlignment="1">
      <alignment vertical="center" wrapText="1"/>
    </xf>
    <xf numFmtId="8" fontId="8" fillId="0" borderId="95" xfId="0" applyNumberFormat="1" applyFont="1" applyFill="1" applyBorder="1" applyAlignment="1">
      <alignment vertical="center" wrapText="1"/>
    </xf>
    <xf numFmtId="8" fontId="8" fillId="0" borderId="91" xfId="2" applyNumberFormat="1" applyFont="1" applyFill="1" applyBorder="1" applyAlignment="1">
      <alignment horizontal="right" vertical="center"/>
    </xf>
    <xf numFmtId="0" fontId="10" fillId="0" borderId="85" xfId="0" applyFont="1" applyFill="1" applyBorder="1" applyAlignment="1">
      <alignment horizontal="center" vertical="center" wrapText="1"/>
    </xf>
    <xf numFmtId="3" fontId="8" fillId="0" borderId="94" xfId="0" applyNumberFormat="1" applyFont="1" applyFill="1" applyBorder="1" applyAlignment="1">
      <alignment vertical="center" wrapText="1"/>
    </xf>
    <xf numFmtId="44" fontId="8" fillId="0" borderId="96" xfId="2" applyFont="1" applyFill="1" applyBorder="1"/>
    <xf numFmtId="3" fontId="8" fillId="0" borderId="94" xfId="0" applyNumberFormat="1" applyFont="1" applyFill="1" applyBorder="1" applyAlignment="1"/>
    <xf numFmtId="0" fontId="14" fillId="0" borderId="110" xfId="0" applyFont="1" applyFill="1" applyBorder="1" applyAlignment="1">
      <alignment horizontal="left" vertical="top" wrapText="1"/>
    </xf>
    <xf numFmtId="0" fontId="10" fillId="0" borderId="95" xfId="0" applyFont="1" applyFill="1" applyBorder="1" applyAlignment="1">
      <alignment vertical="center" wrapText="1"/>
    </xf>
    <xf numFmtId="37" fontId="8" fillId="0" borderId="92" xfId="2" applyNumberFormat="1" applyFont="1" applyFill="1" applyBorder="1"/>
    <xf numFmtId="172" fontId="8" fillId="0" borderId="91" xfId="0" applyNumberFormat="1" applyFont="1" applyFill="1" applyBorder="1" applyAlignment="1">
      <alignment horizontal="center"/>
    </xf>
    <xf numFmtId="166" fontId="8" fillId="0" borderId="92" xfId="0" applyNumberFormat="1" applyFont="1" applyFill="1" applyBorder="1" applyAlignment="1">
      <alignment horizontal="center" vertical="center"/>
    </xf>
    <xf numFmtId="166" fontId="8" fillId="0" borderId="95" xfId="0" applyNumberFormat="1" applyFont="1" applyFill="1" applyBorder="1" applyAlignment="1">
      <alignment horizontal="center" vertical="center"/>
    </xf>
    <xf numFmtId="0" fontId="14" fillId="0" borderId="7" xfId="0" applyFont="1" applyFill="1" applyBorder="1" applyAlignment="1">
      <alignment horizontal="center"/>
    </xf>
    <xf numFmtId="0" fontId="14" fillId="0" borderId="92" xfId="0" applyFont="1" applyFill="1" applyBorder="1" applyAlignment="1">
      <alignment horizontal="left"/>
    </xf>
    <xf numFmtId="0" fontId="14" fillId="0" borderId="94" xfId="0" applyFont="1" applyFill="1" applyBorder="1" applyAlignment="1">
      <alignment horizontal="left"/>
    </xf>
    <xf numFmtId="0" fontId="14" fillId="0" borderId="95" xfId="0" applyFont="1" applyFill="1" applyBorder="1" applyAlignment="1">
      <alignment horizontal="left"/>
    </xf>
    <xf numFmtId="3" fontId="8" fillId="0" borderId="94" xfId="0" applyNumberFormat="1" applyFont="1" applyFill="1" applyBorder="1" applyAlignment="1">
      <alignment horizontal="right" vertical="center"/>
    </xf>
    <xf numFmtId="44" fontId="8" fillId="0" borderId="91" xfId="2" applyFont="1" applyFill="1" applyBorder="1" applyAlignment="1">
      <alignment horizontal="left" wrapText="1"/>
    </xf>
    <xf numFmtId="0" fontId="8" fillId="0" borderId="95" xfId="0" applyFont="1" applyFill="1" applyBorder="1" applyAlignment="1">
      <alignment horizontal="center" vertical="center" wrapText="1"/>
    </xf>
    <xf numFmtId="3" fontId="8" fillId="0" borderId="94" xfId="0" applyNumberFormat="1" applyFont="1" applyFill="1" applyBorder="1" applyAlignment="1">
      <alignment horizontal="right" vertical="center" wrapText="1"/>
    </xf>
    <xf numFmtId="3" fontId="8" fillId="0" borderId="92" xfId="0" applyNumberFormat="1" applyFont="1" applyFill="1" applyBorder="1" applyAlignment="1"/>
    <xf numFmtId="0" fontId="14" fillId="0" borderId="94" xfId="0" applyFont="1" applyFill="1" applyBorder="1" applyAlignment="1"/>
    <xf numFmtId="7" fontId="8" fillId="0" borderId="91" xfId="2" applyNumberFormat="1" applyFont="1" applyFill="1" applyBorder="1" applyAlignment="1">
      <alignment horizontal="right"/>
    </xf>
    <xf numFmtId="7" fontId="8" fillId="0" borderId="0" xfId="2" applyNumberFormat="1" applyFont="1" applyFill="1" applyBorder="1" applyAlignment="1">
      <alignment horizontal="right"/>
    </xf>
    <xf numFmtId="7" fontId="8" fillId="0" borderId="95" xfId="2" applyNumberFormat="1" applyFont="1" applyFill="1" applyBorder="1" applyAlignment="1">
      <alignment horizontal="right" wrapText="1"/>
    </xf>
    <xf numFmtId="7" fontId="8" fillId="0" borderId="92" xfId="2" applyNumberFormat="1" applyFont="1" applyFill="1" applyBorder="1"/>
    <xf numFmtId="7" fontId="8" fillId="0" borderId="92" xfId="0" applyNumberFormat="1" applyFont="1" applyFill="1" applyBorder="1"/>
    <xf numFmtId="0" fontId="14" fillId="0" borderId="91" xfId="0" applyFont="1" applyFill="1" applyBorder="1" applyAlignment="1"/>
    <xf numFmtId="7" fontId="8" fillId="0" borderId="91" xfId="2" applyNumberFormat="1" applyFont="1" applyFill="1" applyBorder="1"/>
    <xf numFmtId="0" fontId="14" fillId="0" borderId="91" xfId="0" applyFont="1" applyFill="1" applyBorder="1" applyAlignment="1">
      <alignment horizontal="left"/>
    </xf>
    <xf numFmtId="7" fontId="8" fillId="0" borderId="91" xfId="2" applyNumberFormat="1" applyFont="1" applyFill="1" applyBorder="1" applyAlignment="1">
      <alignment horizontal="center"/>
    </xf>
    <xf numFmtId="7" fontId="8" fillId="0" borderId="95" xfId="2" applyNumberFormat="1" applyFont="1" applyFill="1" applyBorder="1" applyAlignment="1">
      <alignment horizontal="center" wrapText="1"/>
    </xf>
    <xf numFmtId="7" fontId="8" fillId="0" borderId="91" xfId="2" applyNumberFormat="1" applyFont="1" applyFill="1" applyBorder="1" applyAlignment="1">
      <alignment horizontal="right" vertical="center"/>
    </xf>
    <xf numFmtId="166" fontId="8" fillId="0" borderId="92" xfId="0" applyNumberFormat="1" applyFont="1" applyFill="1" applyBorder="1" applyAlignment="1">
      <alignment vertical="center"/>
    </xf>
    <xf numFmtId="166" fontId="8" fillId="0" borderId="94" xfId="0" applyNumberFormat="1" applyFont="1" applyFill="1" applyBorder="1" applyAlignment="1">
      <alignment horizontal="center" vertical="center"/>
    </xf>
    <xf numFmtId="165" fontId="8" fillId="0" borderId="91" xfId="1" applyNumberFormat="1" applyFont="1" applyFill="1" applyBorder="1" applyAlignment="1">
      <alignment horizontal="right" vertical="center"/>
    </xf>
    <xf numFmtId="165" fontId="8" fillId="0" borderId="0" xfId="1" applyNumberFormat="1" applyFont="1" applyFill="1" applyBorder="1" applyAlignment="1">
      <alignment horizontal="right" vertical="center"/>
    </xf>
    <xf numFmtId="0" fontId="10" fillId="0" borderId="92" xfId="0" applyFont="1" applyFill="1" applyBorder="1" applyAlignment="1">
      <alignment horizontal="center" wrapText="1"/>
    </xf>
    <xf numFmtId="2" fontId="8" fillId="0" borderId="91" xfId="0" applyNumberFormat="1" applyFont="1" applyFill="1" applyBorder="1" applyAlignment="1">
      <alignment horizontal="center" vertical="center" wrapText="1"/>
    </xf>
    <xf numFmtId="8" fontId="8" fillId="0" borderId="91" xfId="0" applyNumberFormat="1" applyFont="1" applyFill="1" applyBorder="1" applyAlignment="1">
      <alignment horizontal="right" vertical="center" wrapText="1"/>
    </xf>
    <xf numFmtId="0" fontId="8" fillId="0" borderId="91" xfId="0" applyFont="1" applyFill="1" applyBorder="1" applyAlignment="1">
      <alignment horizontal="right" vertical="center" wrapText="1"/>
    </xf>
    <xf numFmtId="0" fontId="8" fillId="0" borderId="91" xfId="0" applyFont="1" applyFill="1" applyBorder="1" applyAlignment="1">
      <alignment horizontal="right" vertical="center"/>
    </xf>
    <xf numFmtId="8" fontId="8" fillId="0" borderId="92" xfId="0" applyNumberFormat="1" applyFont="1" applyFill="1" applyBorder="1" applyAlignment="1">
      <alignment vertical="center" wrapText="1"/>
    </xf>
    <xf numFmtId="0" fontId="8" fillId="0" borderId="91" xfId="0" applyNumberFormat="1" applyFont="1" applyFill="1" applyBorder="1" applyAlignment="1">
      <alignment horizontal="center" vertical="center" wrapText="1"/>
    </xf>
    <xf numFmtId="0" fontId="8" fillId="0" borderId="97" xfId="0" applyNumberFormat="1" applyFont="1" applyFill="1" applyBorder="1" applyAlignment="1">
      <alignment horizontal="center"/>
    </xf>
    <xf numFmtId="0" fontId="8" fillId="0" borderId="110" xfId="0" applyFont="1" applyFill="1" applyBorder="1" applyAlignment="1">
      <alignment horizontal="center"/>
    </xf>
    <xf numFmtId="2" fontId="8" fillId="0" borderId="91" xfId="0" applyNumberFormat="1" applyFont="1" applyFill="1" applyBorder="1" applyAlignment="1">
      <alignment horizontal="center" wrapText="1"/>
    </xf>
    <xf numFmtId="165" fontId="10" fillId="0" borderId="91" xfId="0" applyNumberFormat="1" applyFont="1" applyFill="1" applyBorder="1" applyAlignment="1">
      <alignment horizontal="right"/>
    </xf>
    <xf numFmtId="0" fontId="10" fillId="0" borderId="91" xfId="0" applyNumberFormat="1" applyFont="1" applyFill="1" applyBorder="1" applyAlignment="1">
      <alignment horizontal="right"/>
    </xf>
    <xf numFmtId="44" fontId="8" fillId="0" borderId="91" xfId="2" applyFont="1" applyFill="1" applyBorder="1" applyAlignment="1">
      <alignment horizontal="center" vertical="center" wrapText="1"/>
    </xf>
    <xf numFmtId="165" fontId="8" fillId="0" borderId="95" xfId="1" applyNumberFormat="1" applyFont="1" applyFill="1" applyBorder="1" applyAlignment="1">
      <alignment horizontal="right" vertical="center" wrapText="1"/>
    </xf>
    <xf numFmtId="0" fontId="10" fillId="0" borderId="36" xfId="0" applyFont="1" applyFill="1" applyBorder="1" applyAlignment="1">
      <alignment horizontal="center" vertical="center"/>
    </xf>
    <xf numFmtId="44" fontId="8" fillId="0" borderId="95" xfId="2" applyFont="1" applyFill="1" applyBorder="1" applyAlignment="1">
      <alignment horizontal="center"/>
    </xf>
    <xf numFmtId="0" fontId="8" fillId="0" borderId="91" xfId="2" applyNumberFormat="1" applyFont="1" applyFill="1" applyBorder="1"/>
    <xf numFmtId="8" fontId="8" fillId="0" borderId="92" xfId="0" applyNumberFormat="1" applyFont="1" applyFill="1" applyBorder="1" applyAlignment="1">
      <alignment horizontal="right" vertical="center" wrapText="1"/>
    </xf>
    <xf numFmtId="0" fontId="10" fillId="0" borderId="78" xfId="0" applyFont="1" applyFill="1" applyBorder="1" applyAlignment="1">
      <alignment horizontal="center"/>
    </xf>
    <xf numFmtId="0" fontId="10" fillId="0" borderId="91" xfId="0" applyNumberFormat="1" applyFont="1" applyFill="1" applyBorder="1" applyAlignment="1">
      <alignment horizontal="center" wrapText="1"/>
    </xf>
    <xf numFmtId="176" fontId="8" fillId="0" borderId="92" xfId="2" applyNumberFormat="1" applyFont="1" applyFill="1" applyBorder="1" applyAlignment="1">
      <alignment horizontal="center"/>
    </xf>
    <xf numFmtId="7" fontId="8" fillId="0" borderId="92" xfId="2" applyNumberFormat="1" applyFont="1" applyFill="1" applyBorder="1" applyAlignment="1">
      <alignment horizontal="center"/>
    </xf>
    <xf numFmtId="17" fontId="8" fillId="0" borderId="7" xfId="0" quotePrefix="1" applyNumberFormat="1" applyFont="1" applyFill="1" applyBorder="1" applyAlignment="1">
      <alignment horizontal="center"/>
    </xf>
    <xf numFmtId="4" fontId="8" fillId="0" borderId="91" xfId="0" applyNumberFormat="1" applyFont="1" applyFill="1" applyBorder="1" applyAlignment="1">
      <alignment horizontal="center"/>
    </xf>
    <xf numFmtId="17" fontId="8" fillId="0" borderId="105" xfId="0" quotePrefix="1" applyNumberFormat="1" applyFont="1" applyFill="1" applyBorder="1" applyAlignment="1">
      <alignment horizontal="center"/>
    </xf>
    <xf numFmtId="44" fontId="8" fillId="0" borderId="95" xfId="0" applyNumberFormat="1" applyFont="1" applyFill="1" applyBorder="1" applyAlignment="1">
      <alignment horizontal="right" vertical="center" wrapText="1"/>
    </xf>
    <xf numFmtId="0" fontId="8" fillId="0" borderId="89" xfId="0" applyFont="1" applyFill="1" applyBorder="1" applyAlignment="1">
      <alignment horizontal="center" vertical="center" wrapText="1"/>
    </xf>
    <xf numFmtId="0" fontId="8" fillId="0" borderId="93" xfId="0" applyFont="1" applyFill="1" applyBorder="1" applyAlignment="1">
      <alignment horizontal="center" vertical="center" wrapText="1"/>
    </xf>
    <xf numFmtId="0" fontId="8" fillId="0" borderId="90" xfId="0" applyFont="1" applyFill="1" applyBorder="1" applyAlignment="1">
      <alignment horizontal="center" vertical="center" wrapText="1"/>
    </xf>
    <xf numFmtId="9" fontId="8" fillId="0" borderId="91" xfId="0" applyNumberFormat="1" applyFont="1" applyFill="1" applyBorder="1" applyAlignment="1">
      <alignment horizontal="center"/>
    </xf>
    <xf numFmtId="0" fontId="10" fillId="0" borderId="53" xfId="0" applyFont="1" applyFill="1" applyBorder="1" applyAlignment="1">
      <alignment horizontal="center" wrapText="1"/>
    </xf>
    <xf numFmtId="44" fontId="8" fillId="0" borderId="91" xfId="2" applyFont="1" applyFill="1" applyBorder="1" applyAlignment="1">
      <alignment vertical="center" wrapText="1"/>
    </xf>
    <xf numFmtId="44" fontId="8" fillId="0" borderId="91" xfId="0" applyNumberFormat="1" applyFont="1" applyFill="1" applyBorder="1" applyAlignment="1">
      <alignment vertical="center" wrapText="1"/>
    </xf>
    <xf numFmtId="165" fontId="8" fillId="0" borderId="89" xfId="0" applyNumberFormat="1" applyFont="1" applyFill="1" applyBorder="1" applyAlignment="1">
      <alignment horizontal="center"/>
    </xf>
    <xf numFmtId="165" fontId="8" fillId="0" borderId="93" xfId="0" applyNumberFormat="1" applyFont="1" applyFill="1" applyBorder="1" applyAlignment="1">
      <alignment horizontal="center"/>
    </xf>
    <xf numFmtId="165" fontId="8" fillId="0" borderId="90" xfId="0" applyNumberFormat="1" applyFont="1" applyFill="1" applyBorder="1" applyAlignment="1">
      <alignment horizontal="center"/>
    </xf>
    <xf numFmtId="0" fontId="10" fillId="0" borderId="107" xfId="0" applyFont="1" applyFill="1" applyBorder="1" applyAlignment="1">
      <alignment horizontal="center" vertical="center" wrapText="1"/>
    </xf>
    <xf numFmtId="49" fontId="8" fillId="0" borderId="7" xfId="0" applyNumberFormat="1" applyFont="1" applyFill="1" applyBorder="1" applyAlignment="1">
      <alignment horizontal="center"/>
    </xf>
    <xf numFmtId="0" fontId="8" fillId="0" borderId="7" xfId="0" quotePrefix="1" applyFont="1" applyFill="1" applyBorder="1" applyAlignment="1">
      <alignment horizontal="center"/>
    </xf>
    <xf numFmtId="0" fontId="10" fillId="0" borderId="92" xfId="0" applyFont="1" applyFill="1" applyBorder="1" applyAlignment="1">
      <alignment horizontal="left" wrapText="1"/>
    </xf>
    <xf numFmtId="0" fontId="10" fillId="0" borderId="94" xfId="0" applyFont="1" applyFill="1" applyBorder="1" applyAlignment="1">
      <alignment horizontal="left" wrapText="1"/>
    </xf>
    <xf numFmtId="0" fontId="10" fillId="0" borderId="95" xfId="0" applyFont="1" applyFill="1" applyBorder="1" applyAlignment="1">
      <alignment horizontal="left" wrapText="1"/>
    </xf>
    <xf numFmtId="0" fontId="14" fillId="0" borderId="85" xfId="0" applyFont="1" applyFill="1" applyBorder="1" applyAlignment="1">
      <alignment horizontal="left"/>
    </xf>
    <xf numFmtId="0" fontId="14" fillId="0" borderId="7" xfId="0" applyFont="1" applyFill="1" applyBorder="1" applyAlignment="1">
      <alignment horizontal="left"/>
    </xf>
    <xf numFmtId="3" fontId="8" fillId="0" borderId="95" xfId="0" applyNumberFormat="1" applyFont="1" applyFill="1" applyBorder="1" applyAlignment="1">
      <alignment vertical="center" wrapText="1"/>
    </xf>
    <xf numFmtId="0" fontId="8" fillId="0" borderId="94" xfId="0" applyFont="1" applyFill="1" applyBorder="1" applyAlignment="1">
      <alignment horizontal="right" vertical="center"/>
    </xf>
    <xf numFmtId="0" fontId="69" fillId="0" borderId="85" xfId="0" applyNumberFormat="1" applyFont="1" applyFill="1" applyBorder="1" applyAlignment="1" applyProtection="1">
      <alignment horizontal="center" vertical="center"/>
    </xf>
    <xf numFmtId="0" fontId="69" fillId="0" borderId="95" xfId="0" applyNumberFormat="1" applyFont="1" applyFill="1" applyBorder="1" applyAlignment="1" applyProtection="1">
      <alignment horizontal="center" vertical="center"/>
    </xf>
    <xf numFmtId="0" fontId="12" fillId="0" borderId="92" xfId="0" applyNumberFormat="1" applyFont="1" applyFill="1" applyBorder="1" applyAlignment="1" applyProtection="1">
      <alignment horizontal="center" vertical="center"/>
    </xf>
    <xf numFmtId="0" fontId="12" fillId="0" borderId="95" xfId="0" applyNumberFormat="1" applyFont="1" applyFill="1" applyBorder="1" applyAlignment="1" applyProtection="1">
      <alignment horizontal="center" vertical="center"/>
    </xf>
    <xf numFmtId="165" fontId="12" fillId="0" borderId="94" xfId="0" applyNumberFormat="1" applyFont="1" applyFill="1" applyBorder="1" applyAlignment="1" applyProtection="1">
      <alignment vertical="center"/>
    </xf>
    <xf numFmtId="0" fontId="69" fillId="0" borderId="7" xfId="0" applyNumberFormat="1" applyFont="1" applyFill="1" applyBorder="1" applyAlignment="1" applyProtection="1">
      <alignment horizontal="center"/>
    </xf>
    <xf numFmtId="0" fontId="69" fillId="0" borderId="91" xfId="0" applyNumberFormat="1" applyFont="1" applyFill="1" applyBorder="1" applyAlignment="1" applyProtection="1">
      <alignment horizontal="center" wrapText="1"/>
    </xf>
    <xf numFmtId="16" fontId="12" fillId="0" borderId="7" xfId="0" quotePrefix="1" applyNumberFormat="1" applyFont="1" applyFill="1" applyBorder="1" applyAlignment="1" applyProtection="1">
      <alignment horizontal="center"/>
    </xf>
    <xf numFmtId="44" fontId="12" fillId="0" borderId="91" xfId="0" applyNumberFormat="1" applyFont="1" applyFill="1" applyBorder="1" applyAlignment="1" applyProtection="1">
      <alignment horizontal="center"/>
    </xf>
    <xf numFmtId="0" fontId="12" fillId="0" borderId="91" xfId="0" applyNumberFormat="1" applyFont="1" applyFill="1" applyBorder="1" applyAlignment="1" applyProtection="1">
      <alignment horizontal="center"/>
    </xf>
    <xf numFmtId="0" fontId="12" fillId="0" borderId="12" xfId="0" applyNumberFormat="1" applyFont="1" applyFill="1" applyBorder="1" applyAlignment="1" applyProtection="1">
      <alignment horizontal="center"/>
    </xf>
    <xf numFmtId="17" fontId="12" fillId="0" borderId="7" xfId="0" quotePrefix="1" applyNumberFormat="1" applyFont="1" applyFill="1" applyBorder="1" applyAlignment="1" applyProtection="1">
      <alignment horizontal="center"/>
    </xf>
    <xf numFmtId="166" fontId="12" fillId="0" borderId="91" xfId="0" applyNumberFormat="1" applyFont="1" applyFill="1" applyBorder="1" applyAlignment="1" applyProtection="1">
      <alignment horizontal="center"/>
    </xf>
    <xf numFmtId="0" fontId="12" fillId="0" borderId="7" xfId="0" applyNumberFormat="1" applyFont="1" applyFill="1" applyBorder="1" applyAlignment="1" applyProtection="1">
      <alignment horizontal="center"/>
    </xf>
    <xf numFmtId="0" fontId="12" fillId="0" borderId="91" xfId="0" applyNumberFormat="1" applyFont="1" applyFill="1" applyBorder="1" applyAlignment="1" applyProtection="1"/>
    <xf numFmtId="44" fontId="12" fillId="0" borderId="91" xfId="0" applyNumberFormat="1" applyFont="1" applyFill="1" applyBorder="1" applyAlignment="1" applyProtection="1"/>
    <xf numFmtId="0" fontId="12" fillId="0" borderId="95" xfId="0" applyNumberFormat="1" applyFont="1" applyFill="1" applyBorder="1" applyAlignment="1" applyProtection="1">
      <alignment vertical="center"/>
    </xf>
    <xf numFmtId="165" fontId="12" fillId="0" borderId="94" xfId="0" applyNumberFormat="1" applyFont="1" applyFill="1" applyBorder="1" applyAlignment="1" applyProtection="1">
      <alignment horizontal="right" vertical="center"/>
    </xf>
    <xf numFmtId="0" fontId="69" fillId="0" borderId="91" xfId="0" applyNumberFormat="1" applyFont="1" applyFill="1" applyBorder="1" applyAlignment="1" applyProtection="1">
      <alignment horizontal="right"/>
    </xf>
    <xf numFmtId="165" fontId="8" fillId="0" borderId="94" xfId="1" applyNumberFormat="1" applyFont="1" applyFill="1" applyBorder="1" applyAlignment="1">
      <alignment horizontal="right" vertical="center"/>
    </xf>
    <xf numFmtId="183" fontId="8" fillId="0" borderId="91" xfId="0" applyNumberFormat="1" applyFont="1" applyFill="1" applyBorder="1" applyAlignment="1">
      <alignment horizontal="center"/>
    </xf>
    <xf numFmtId="165" fontId="10" fillId="0" borderId="96" xfId="0" applyNumberFormat="1" applyFont="1" applyFill="1" applyBorder="1" applyAlignment="1"/>
    <xf numFmtId="16" fontId="8" fillId="0" borderId="105" xfId="0" quotePrefix="1" applyNumberFormat="1" applyFont="1" applyFill="1" applyBorder="1" applyAlignment="1">
      <alignment horizontal="center"/>
    </xf>
    <xf numFmtId="44" fontId="8" fillId="0" borderId="96" xfId="2" applyFont="1" applyFill="1" applyBorder="1" applyAlignment="1">
      <alignment horizontal="center"/>
    </xf>
    <xf numFmtId="0" fontId="8" fillId="0" borderId="78" xfId="0" applyFont="1" applyFill="1" applyBorder="1" applyAlignment="1">
      <alignment horizontal="center"/>
    </xf>
    <xf numFmtId="2" fontId="8" fillId="0" borderId="96" xfId="0" applyNumberFormat="1" applyFont="1" applyFill="1" applyBorder="1" applyAlignment="1">
      <alignment horizontal="center"/>
    </xf>
    <xf numFmtId="0" fontId="8" fillId="0" borderId="7" xfId="0" quotePrefix="1" applyNumberFormat="1" applyFont="1" applyFill="1" applyBorder="1" applyAlignment="1">
      <alignment horizontal="center"/>
    </xf>
    <xf numFmtId="44" fontId="8" fillId="0" borderId="96" xfId="2" applyNumberFormat="1" applyFont="1" applyFill="1" applyBorder="1" applyAlignment="1">
      <alignment horizontal="center"/>
    </xf>
    <xf numFmtId="165" fontId="8" fillId="0" borderId="94" xfId="1" applyNumberFormat="1" applyFont="1" applyFill="1" applyBorder="1" applyAlignment="1"/>
    <xf numFmtId="0" fontId="12" fillId="0" borderId="11" xfId="0" applyNumberFormat="1" applyFont="1" applyFill="1" applyBorder="1" applyAlignment="1" applyProtection="1">
      <alignment horizontal="center"/>
    </xf>
    <xf numFmtId="0" fontId="12" fillId="0" borderId="92" xfId="0" applyNumberFormat="1" applyFont="1" applyFill="1" applyBorder="1" applyAlignment="1" applyProtection="1">
      <alignment horizontal="center"/>
    </xf>
    <xf numFmtId="0" fontId="12" fillId="0" borderId="95" xfId="0" applyNumberFormat="1" applyFont="1" applyFill="1" applyBorder="1" applyAlignment="1" applyProtection="1">
      <alignment horizontal="center"/>
    </xf>
    <xf numFmtId="16" fontId="12" fillId="0" borderId="7" xfId="0" applyNumberFormat="1" applyFont="1" applyFill="1" applyBorder="1" applyAlignment="1" applyProtection="1">
      <alignment horizontal="center"/>
    </xf>
    <xf numFmtId="44" fontId="8" fillId="0" borderId="91" xfId="2" applyFont="1" applyFill="1" applyBorder="1" applyAlignment="1">
      <alignment horizontal="left"/>
    </xf>
    <xf numFmtId="164" fontId="8" fillId="0" borderId="91" xfId="0" applyNumberFormat="1" applyFont="1" applyFill="1" applyBorder="1" applyAlignment="1">
      <alignment horizontal="center"/>
    </xf>
    <xf numFmtId="9" fontId="8" fillId="0" borderId="92" xfId="3" applyFont="1" applyFill="1" applyBorder="1" applyAlignment="1">
      <alignment horizontal="center"/>
    </xf>
    <xf numFmtId="165" fontId="8" fillId="0" borderId="92" xfId="1" applyNumberFormat="1" applyFont="1" applyFill="1" applyBorder="1" applyAlignment="1">
      <alignment horizontal="center"/>
    </xf>
    <xf numFmtId="0" fontId="29" fillId="0" borderId="91" xfId="0" applyFont="1" applyFill="1" applyBorder="1" applyAlignment="1">
      <alignment horizontal="center" wrapText="1"/>
    </xf>
    <xf numFmtId="0" fontId="8" fillId="0" borderId="92" xfId="3" applyNumberFormat="1" applyFont="1" applyFill="1" applyBorder="1" applyAlignment="1">
      <alignment horizontal="center"/>
    </xf>
    <xf numFmtId="44" fontId="8" fillId="0" borderId="78" xfId="0" applyNumberFormat="1" applyFont="1" applyFill="1" applyBorder="1" applyAlignment="1">
      <alignment horizontal="center"/>
    </xf>
    <xf numFmtId="44" fontId="8" fillId="0" borderId="78" xfId="2" applyFont="1" applyFill="1" applyBorder="1" applyAlignment="1">
      <alignment horizontal="center"/>
    </xf>
    <xf numFmtId="16" fontId="8" fillId="0" borderId="104" xfId="0" quotePrefix="1" applyNumberFormat="1" applyFont="1" applyFill="1" applyBorder="1" applyAlignment="1">
      <alignment horizontal="center"/>
    </xf>
    <xf numFmtId="0" fontId="8" fillId="0" borderId="92" xfId="0" applyFont="1" applyFill="1" applyBorder="1" applyAlignment="1">
      <alignment horizontal="center" vertical="top" wrapText="1"/>
    </xf>
    <xf numFmtId="0" fontId="8" fillId="0" borderId="94" xfId="0" applyFont="1" applyFill="1" applyBorder="1" applyAlignment="1">
      <alignment horizontal="center" vertical="top" wrapText="1"/>
    </xf>
    <xf numFmtId="0" fontId="8" fillId="0" borderId="95" xfId="0" applyFont="1" applyFill="1" applyBorder="1" applyAlignment="1">
      <alignment horizontal="center" vertical="top" wrapText="1"/>
    </xf>
    <xf numFmtId="172" fontId="8" fillId="0" borderId="91" xfId="0" applyNumberFormat="1" applyFont="1" applyFill="1" applyBorder="1" applyAlignment="1">
      <alignment horizontal="center" vertical="center" wrapText="1"/>
    </xf>
    <xf numFmtId="8" fontId="8" fillId="0" borderId="91" xfId="2" applyNumberFormat="1" applyFont="1" applyFill="1" applyBorder="1" applyAlignment="1">
      <alignment horizontal="right" vertical="center" wrapText="1"/>
    </xf>
    <xf numFmtId="0" fontId="8" fillId="0" borderId="102" xfId="0" applyFont="1" applyFill="1" applyBorder="1" applyAlignment="1">
      <alignment horizontal="left" vertical="top" wrapText="1"/>
    </xf>
    <xf numFmtId="44" fontId="8" fillId="0" borderId="94" xfId="2" applyFont="1" applyFill="1" applyBorder="1" applyAlignment="1">
      <alignment horizontal="left"/>
    </xf>
    <xf numFmtId="17" fontId="8" fillId="0" borderId="85" xfId="0" quotePrefix="1" applyNumberFormat="1" applyFont="1" applyFill="1" applyBorder="1" applyAlignment="1">
      <alignment horizontal="center"/>
    </xf>
    <xf numFmtId="0" fontId="8" fillId="0" borderId="90" xfId="0" applyFont="1" applyFill="1" applyBorder="1" applyAlignment="1">
      <alignment horizontal="left"/>
    </xf>
    <xf numFmtId="0" fontId="8" fillId="0" borderId="103" xfId="0" applyFont="1" applyFill="1" applyBorder="1" applyAlignment="1">
      <alignment horizontal="left"/>
    </xf>
    <xf numFmtId="0" fontId="8" fillId="0" borderId="93" xfId="0" applyFont="1" applyFill="1" applyBorder="1" applyAlignment="1">
      <alignment horizontal="left"/>
    </xf>
    <xf numFmtId="165" fontId="8" fillId="0" borderId="94" xfId="1" applyNumberFormat="1" applyFont="1" applyFill="1" applyBorder="1" applyAlignment="1">
      <alignment horizontal="center" vertical="top"/>
    </xf>
    <xf numFmtId="165" fontId="8" fillId="0" borderId="94" xfId="0" applyNumberFormat="1" applyFont="1" applyFill="1" applyBorder="1" applyAlignment="1">
      <alignment horizontal="center" wrapText="1"/>
    </xf>
    <xf numFmtId="43" fontId="8" fillId="0" borderId="94" xfId="1" applyNumberFormat="1" applyFont="1" applyFill="1" applyBorder="1" applyAlignment="1"/>
    <xf numFmtId="184" fontId="8" fillId="0" borderId="91" xfId="0" applyNumberFormat="1" applyFont="1" applyFill="1" applyBorder="1" applyAlignment="1">
      <alignment horizontal="center"/>
    </xf>
    <xf numFmtId="8" fontId="8" fillId="0" borderId="94" xfId="2" applyNumberFormat="1" applyFont="1" applyFill="1" applyBorder="1" applyAlignment="1">
      <alignment vertical="center"/>
    </xf>
    <xf numFmtId="0" fontId="8" fillId="0" borderId="100" xfId="0" applyFont="1" applyFill="1" applyBorder="1" applyAlignment="1">
      <alignment horizontal="center" vertical="center"/>
    </xf>
    <xf numFmtId="184" fontId="8" fillId="0" borderId="91" xfId="2" applyNumberFormat="1" applyFont="1" applyFill="1" applyBorder="1"/>
    <xf numFmtId="172" fontId="8" fillId="0" borderId="92" xfId="0" applyNumberFormat="1" applyFont="1" applyFill="1" applyBorder="1" applyAlignment="1">
      <alignment horizontal="center"/>
    </xf>
    <xf numFmtId="172" fontId="8" fillId="0" borderId="53" xfId="0" applyNumberFormat="1" applyFont="1" applyFill="1" applyBorder="1" applyAlignment="1">
      <alignment horizontal="center"/>
    </xf>
    <xf numFmtId="2" fontId="8" fillId="0" borderId="12" xfId="2" applyNumberFormat="1" applyFont="1" applyFill="1" applyBorder="1" applyAlignment="1">
      <alignment horizontal="center" vertical="center"/>
    </xf>
    <xf numFmtId="0" fontId="8" fillId="0" borderId="92" xfId="0" applyFont="1" applyFill="1" applyBorder="1" applyAlignment="1">
      <alignment horizontal="right"/>
    </xf>
    <xf numFmtId="0" fontId="8" fillId="0" borderId="91" xfId="0" applyFont="1" applyFill="1" applyBorder="1" applyAlignment="1">
      <alignment vertical="top" wrapText="1"/>
    </xf>
    <xf numFmtId="16" fontId="8" fillId="0" borderId="85" xfId="0" quotePrefix="1" applyNumberFormat="1" applyFont="1" applyFill="1" applyBorder="1" applyAlignment="1">
      <alignment horizontal="center"/>
    </xf>
    <xf numFmtId="168" fontId="8" fillId="0" borderId="94" xfId="1" applyNumberFormat="1" applyFont="1" applyFill="1" applyBorder="1" applyAlignment="1">
      <alignment horizontal="right" vertical="center"/>
    </xf>
    <xf numFmtId="2" fontId="8" fillId="0" borderId="91" xfId="0" applyNumberFormat="1" applyFont="1" applyFill="1" applyBorder="1" applyAlignment="1">
      <alignment vertical="center"/>
    </xf>
    <xf numFmtId="0" fontId="8" fillId="0" borderId="46" xfId="0" applyFont="1" applyFill="1" applyBorder="1" applyAlignment="1">
      <alignment horizontal="left" vertical="top" wrapText="1"/>
    </xf>
    <xf numFmtId="8" fontId="8" fillId="0" borderId="96" xfId="0" applyNumberFormat="1" applyFont="1" applyFill="1" applyBorder="1" applyAlignment="1">
      <alignment vertical="center" wrapText="1"/>
    </xf>
    <xf numFmtId="0" fontId="8" fillId="0" borderId="96" xfId="0" applyNumberFormat="1" applyFont="1" applyFill="1" applyBorder="1" applyAlignment="1">
      <alignment vertical="center" wrapText="1"/>
    </xf>
    <xf numFmtId="165" fontId="8" fillId="0" borderId="92" xfId="1" applyNumberFormat="1" applyFont="1" applyFill="1" applyBorder="1" applyAlignment="1"/>
    <xf numFmtId="165" fontId="8" fillId="0" borderId="53" xfId="1" applyNumberFormat="1" applyFont="1" applyFill="1" applyBorder="1" applyAlignment="1"/>
    <xf numFmtId="0" fontId="10" fillId="0" borderId="26" xfId="0" applyFont="1" applyFill="1" applyBorder="1" applyAlignment="1">
      <alignment horizontal="center" vertical="center"/>
    </xf>
    <xf numFmtId="0" fontId="10" fillId="0" borderId="12" xfId="0" applyFont="1" applyFill="1" applyBorder="1" applyAlignment="1">
      <alignment horizontal="center" vertical="center" wrapText="1"/>
    </xf>
    <xf numFmtId="0" fontId="10" fillId="0" borderId="105" xfId="0" applyFont="1" applyFill="1" applyBorder="1" applyAlignment="1">
      <alignment horizontal="center" vertical="center"/>
    </xf>
    <xf numFmtId="0" fontId="10" fillId="0" borderId="96" xfId="0" applyFont="1" applyFill="1" applyBorder="1" applyAlignment="1">
      <alignment horizontal="center" vertical="center"/>
    </xf>
    <xf numFmtId="0" fontId="8" fillId="0" borderId="96" xfId="0" applyFont="1" applyFill="1" applyBorder="1" applyAlignment="1">
      <alignment horizontal="center" vertical="center"/>
    </xf>
    <xf numFmtId="44" fontId="8" fillId="0" borderId="96" xfId="2" applyFont="1" applyFill="1" applyBorder="1" applyAlignment="1">
      <alignment vertical="center"/>
    </xf>
    <xf numFmtId="165" fontId="8" fillId="0" borderId="96" xfId="1" applyNumberFormat="1" applyFont="1" applyFill="1" applyBorder="1" applyAlignment="1">
      <alignment vertical="center"/>
    </xf>
    <xf numFmtId="164" fontId="8" fillId="0" borderId="96" xfId="0" applyNumberFormat="1" applyFont="1" applyFill="1" applyBorder="1" applyAlignment="1">
      <alignment horizontal="center" vertical="center" wrapText="1"/>
    </xf>
    <xf numFmtId="0" fontId="8" fillId="0" borderId="107" xfId="0" applyFont="1" applyFill="1" applyBorder="1" applyAlignment="1">
      <alignment vertical="center"/>
    </xf>
    <xf numFmtId="0" fontId="10" fillId="0" borderId="0" xfId="0" applyFont="1" applyFill="1" applyBorder="1" applyAlignment="1">
      <alignment vertical="center"/>
    </xf>
    <xf numFmtId="0" fontId="10" fillId="0" borderId="96" xfId="0" applyFont="1" applyFill="1" applyBorder="1" applyAlignment="1">
      <alignment horizontal="center" vertical="center" wrapText="1"/>
    </xf>
    <xf numFmtId="0" fontId="8" fillId="0" borderId="106" xfId="0" applyFont="1" applyFill="1" applyBorder="1" applyAlignment="1">
      <alignment horizontal="center" vertical="center" wrapText="1"/>
    </xf>
    <xf numFmtId="44" fontId="8" fillId="0" borderId="96" xfId="0" applyNumberFormat="1" applyFont="1" applyFill="1" applyBorder="1" applyAlignment="1">
      <alignment horizontal="center" vertical="center" wrapText="1"/>
    </xf>
    <xf numFmtId="0" fontId="10" fillId="0" borderId="7" xfId="0" applyFont="1" applyFill="1" applyBorder="1" applyAlignment="1">
      <alignment horizontal="center" vertical="center" wrapText="1"/>
    </xf>
    <xf numFmtId="0" fontId="10" fillId="0" borderId="97" xfId="0" applyFont="1" applyFill="1" applyBorder="1" applyAlignment="1">
      <alignment horizontal="center" vertical="center" wrapText="1"/>
    </xf>
    <xf numFmtId="0" fontId="10" fillId="0" borderId="110" xfId="0" applyFont="1" applyFill="1" applyBorder="1" applyAlignment="1">
      <alignment horizontal="center" vertical="center" wrapText="1"/>
    </xf>
    <xf numFmtId="0" fontId="10" fillId="0" borderId="92" xfId="0" applyFont="1" applyFill="1" applyBorder="1" applyAlignment="1">
      <alignment horizontal="center" vertical="center" wrapText="1"/>
    </xf>
    <xf numFmtId="0" fontId="10" fillId="0" borderId="12" xfId="0" applyFont="1" applyFill="1" applyBorder="1" applyAlignment="1">
      <alignment horizontal="center" vertical="center"/>
    </xf>
    <xf numFmtId="167" fontId="8" fillId="0" borderId="91" xfId="1" applyNumberFormat="1" applyFont="1" applyFill="1" applyBorder="1" applyAlignment="1">
      <alignment horizontal="center"/>
    </xf>
    <xf numFmtId="0" fontId="8" fillId="0" borderId="101" xfId="0" applyFont="1" applyFill="1" applyBorder="1" applyAlignment="1">
      <alignment horizontal="left" vertical="top" wrapText="1"/>
    </xf>
    <xf numFmtId="0" fontId="8" fillId="0" borderId="110" xfId="0" applyFont="1" applyFill="1" applyBorder="1" applyAlignment="1">
      <alignment horizontal="left" vertical="top" wrapText="1"/>
    </xf>
    <xf numFmtId="0" fontId="8" fillId="0" borderId="88" xfId="0" applyFont="1" applyFill="1" applyBorder="1" applyAlignment="1">
      <alignment horizontal="left" vertical="top" wrapText="1"/>
    </xf>
    <xf numFmtId="166" fontId="8" fillId="0" borderId="95" xfId="0" applyNumberFormat="1" applyFont="1" applyFill="1" applyBorder="1" applyAlignment="1">
      <alignment horizontal="right" vertical="center"/>
    </xf>
    <xf numFmtId="43" fontId="8" fillId="0" borderId="94" xfId="1" applyNumberFormat="1" applyFont="1" applyFill="1" applyBorder="1" applyAlignment="1">
      <alignment horizontal="center"/>
    </xf>
    <xf numFmtId="165" fontId="8" fillId="0" borderId="96" xfId="0" applyNumberFormat="1" applyFont="1" applyFill="1" applyBorder="1" applyAlignment="1">
      <alignment vertical="center" wrapText="1"/>
    </xf>
    <xf numFmtId="0" fontId="8" fillId="0" borderId="110" xfId="0" applyFont="1" applyFill="1" applyBorder="1" applyAlignment="1">
      <alignment vertical="center" wrapText="1"/>
    </xf>
    <xf numFmtId="0" fontId="8" fillId="0" borderId="11" xfId="0" applyFont="1" applyFill="1" applyBorder="1" applyAlignment="1">
      <alignment horizontal="center" vertical="center"/>
    </xf>
    <xf numFmtId="0" fontId="10" fillId="0" borderId="91" xfId="0" applyFont="1" applyFill="1" applyBorder="1" applyAlignment="1">
      <alignment horizontal="left" vertical="center"/>
    </xf>
    <xf numFmtId="37" fontId="8" fillId="0" borderId="94" xfId="1" applyNumberFormat="1" applyFont="1" applyFill="1" applyBorder="1" applyAlignment="1">
      <alignment horizontal="center" vertical="center"/>
    </xf>
    <xf numFmtId="0" fontId="10" fillId="0" borderId="91" xfId="0" applyFont="1" applyFill="1" applyBorder="1" applyAlignment="1">
      <alignment horizontal="left"/>
    </xf>
    <xf numFmtId="164" fontId="8" fillId="0" borderId="91" xfId="2" applyNumberFormat="1" applyFont="1" applyFill="1" applyBorder="1" applyAlignment="1">
      <alignment horizontal="center" vertical="center"/>
    </xf>
    <xf numFmtId="166" fontId="8" fillId="0" borderId="91" xfId="0" applyNumberFormat="1" applyFont="1" applyFill="1" applyBorder="1" applyAlignment="1">
      <alignment vertical="center"/>
    </xf>
    <xf numFmtId="0" fontId="8" fillId="0" borderId="92" xfId="0" applyNumberFormat="1" applyFont="1" applyFill="1" applyBorder="1" applyAlignment="1">
      <alignment vertical="center" wrapText="1"/>
    </xf>
    <xf numFmtId="0" fontId="8" fillId="0" borderId="95" xfId="0" applyNumberFormat="1" applyFont="1" applyFill="1" applyBorder="1" applyAlignment="1">
      <alignment vertical="center" wrapText="1"/>
    </xf>
    <xf numFmtId="2" fontId="8" fillId="0" borderId="91" xfId="0" applyNumberFormat="1" applyFont="1" applyFill="1" applyBorder="1" applyAlignment="1">
      <alignment vertical="center" wrapText="1"/>
    </xf>
    <xf numFmtId="0" fontId="8" fillId="0" borderId="91" xfId="0" quotePrefix="1" applyFont="1" applyFill="1" applyBorder="1" applyAlignment="1">
      <alignment horizontal="left"/>
    </xf>
    <xf numFmtId="189" fontId="8" fillId="0" borderId="94" xfId="1" applyNumberFormat="1" applyFont="1" applyFill="1" applyBorder="1" applyAlignment="1">
      <alignment horizontal="center" vertical="center"/>
    </xf>
    <xf numFmtId="37" fontId="8" fillId="0" borderId="94" xfId="1" applyNumberFormat="1" applyFont="1" applyFill="1" applyBorder="1" applyAlignment="1">
      <alignment horizontal="right" vertical="center"/>
    </xf>
    <xf numFmtId="0" fontId="10" fillId="0" borderId="95" xfId="0" applyFont="1" applyFill="1" applyBorder="1" applyAlignment="1">
      <alignment wrapText="1"/>
    </xf>
    <xf numFmtId="0" fontId="8" fillId="0" borderId="100" xfId="0" applyFont="1" applyFill="1" applyBorder="1" applyAlignment="1">
      <alignment horizontal="center"/>
    </xf>
    <xf numFmtId="0" fontId="8" fillId="0" borderId="11" xfId="0" applyFont="1" applyFill="1" applyBorder="1" applyAlignment="1">
      <alignment horizontal="center" wrapText="1"/>
    </xf>
    <xf numFmtId="166" fontId="8" fillId="0" borderId="96" xfId="0" applyNumberFormat="1" applyFont="1" applyFill="1" applyBorder="1" applyAlignment="1">
      <alignment horizontal="center" wrapText="1"/>
    </xf>
    <xf numFmtId="0" fontId="10" fillId="0" borderId="107" xfId="0" applyFont="1" applyFill="1" applyBorder="1" applyAlignment="1">
      <alignment horizontal="center"/>
    </xf>
    <xf numFmtId="0" fontId="69" fillId="0" borderId="91" xfId="0" applyNumberFormat="1" applyFont="1" applyFill="1" applyBorder="1" applyAlignment="1" applyProtection="1"/>
    <xf numFmtId="0" fontId="70" fillId="0" borderId="92" xfId="0" applyFont="1" applyFill="1" applyBorder="1" applyAlignment="1">
      <alignment horizontal="left"/>
    </xf>
    <xf numFmtId="44" fontId="8" fillId="0" borderId="95" xfId="0" applyNumberFormat="1" applyFont="1" applyFill="1" applyBorder="1" applyAlignment="1">
      <alignment horizontal="left"/>
    </xf>
    <xf numFmtId="0" fontId="8" fillId="0" borderId="92" xfId="2" applyNumberFormat="1" applyFont="1" applyFill="1" applyBorder="1" applyAlignment="1">
      <alignment horizontal="center"/>
    </xf>
    <xf numFmtId="10" fontId="8" fillId="0" borderId="91" xfId="3" applyNumberFormat="1" applyFont="1" applyFill="1" applyBorder="1" applyAlignment="1">
      <alignment horizontal="center" wrapText="1"/>
    </xf>
    <xf numFmtId="178" fontId="8" fillId="0" borderId="92" xfId="0" applyNumberFormat="1" applyFont="1" applyFill="1" applyBorder="1" applyAlignment="1">
      <alignment horizontal="center"/>
    </xf>
    <xf numFmtId="177" fontId="8" fillId="0" borderId="91" xfId="0" applyNumberFormat="1" applyFont="1" applyFill="1" applyBorder="1"/>
    <xf numFmtId="10" fontId="8" fillId="0" borderId="91" xfId="0" applyNumberFormat="1" applyFont="1" applyFill="1" applyBorder="1" applyAlignment="1">
      <alignment horizontal="center"/>
    </xf>
    <xf numFmtId="0" fontId="8" fillId="0" borderId="94" xfId="0" applyFont="1" applyFill="1" applyBorder="1" applyAlignment="1">
      <alignment horizontal="left" vertical="top" wrapText="1"/>
    </xf>
    <xf numFmtId="0" fontId="8" fillId="0" borderId="100" xfId="0" applyFont="1" applyFill="1" applyBorder="1" applyAlignment="1">
      <alignment horizontal="left" vertical="top" wrapText="1"/>
    </xf>
    <xf numFmtId="8" fontId="8" fillId="0" borderId="8" xfId="0" applyNumberFormat="1" applyFont="1" applyFill="1" applyBorder="1" applyAlignment="1">
      <alignment wrapText="1"/>
    </xf>
    <xf numFmtId="0" fontId="8" fillId="0" borderId="8" xfId="0" applyNumberFormat="1" applyFont="1" applyFill="1" applyBorder="1" applyAlignment="1">
      <alignment horizontal="center" wrapText="1"/>
    </xf>
    <xf numFmtId="166" fontId="8" fillId="0" borderId="19" xfId="0" applyNumberFormat="1" applyFont="1" applyFill="1" applyBorder="1" applyAlignment="1">
      <alignment horizontal="center" wrapText="1"/>
    </xf>
    <xf numFmtId="164" fontId="8" fillId="0" borderId="8" xfId="0" applyNumberFormat="1" applyFont="1" applyFill="1" applyBorder="1" applyAlignment="1">
      <alignment horizontal="right" wrapText="1"/>
    </xf>
    <xf numFmtId="0" fontId="8" fillId="0" borderId="44" xfId="0" applyFont="1" applyFill="1" applyBorder="1" applyAlignment="1">
      <alignment horizontal="center" vertical="center" wrapText="1"/>
    </xf>
    <xf numFmtId="7" fontId="10" fillId="0" borderId="0" xfId="2" applyNumberFormat="1" applyFont="1" applyFill="1" applyBorder="1" applyAlignment="1">
      <alignment wrapText="1"/>
    </xf>
    <xf numFmtId="8" fontId="8" fillId="0" borderId="91" xfId="0" applyNumberFormat="1" applyFont="1" applyFill="1" applyBorder="1" applyAlignment="1">
      <alignment horizontal="right" vertical="center"/>
    </xf>
    <xf numFmtId="0" fontId="8" fillId="0" borderId="100" xfId="0" applyFont="1" applyFill="1" applyBorder="1" applyAlignment="1">
      <alignment horizontal="center" vertical="center" wrapText="1"/>
    </xf>
    <xf numFmtId="164" fontId="8" fillId="0" borderId="91" xfId="0" applyNumberFormat="1" applyFont="1" applyFill="1" applyBorder="1" applyAlignment="1">
      <alignment horizontal="right" vertical="center"/>
    </xf>
    <xf numFmtId="0" fontId="8" fillId="0" borderId="96" xfId="0" applyFont="1" applyFill="1" applyBorder="1" applyAlignment="1">
      <alignment horizontal="left"/>
    </xf>
    <xf numFmtId="8" fontId="8" fillId="0" borderId="96" xfId="0" applyNumberFormat="1" applyFont="1" applyFill="1" applyBorder="1"/>
    <xf numFmtId="8" fontId="8" fillId="0" borderId="96" xfId="0" applyNumberFormat="1" applyFont="1" applyFill="1" applyBorder="1" applyAlignment="1">
      <alignment horizontal="center" vertical="center"/>
    </xf>
    <xf numFmtId="44" fontId="8" fillId="0" borderId="96" xfId="2" applyFont="1" applyFill="1" applyBorder="1" applyAlignment="1">
      <alignment horizontal="center" vertical="center"/>
    </xf>
    <xf numFmtId="186" fontId="8" fillId="0" borderId="91" xfId="0" applyNumberFormat="1" applyFont="1" applyFill="1" applyBorder="1" applyAlignment="1">
      <alignment horizontal="right" vertical="center"/>
    </xf>
    <xf numFmtId="4" fontId="8" fillId="0" borderId="91" xfId="0" applyNumberFormat="1" applyFont="1" applyFill="1" applyBorder="1" applyAlignment="1">
      <alignment vertical="center" wrapText="1"/>
    </xf>
    <xf numFmtId="0" fontId="8" fillId="0" borderId="110" xfId="0" applyFont="1" applyFill="1" applyBorder="1"/>
    <xf numFmtId="0" fontId="8" fillId="0" borderId="96" xfId="0" applyFont="1" applyFill="1" applyBorder="1" applyAlignment="1">
      <alignment vertical="top" wrapText="1"/>
    </xf>
    <xf numFmtId="0" fontId="10" fillId="0" borderId="96" xfId="0" applyFont="1" applyFill="1" applyBorder="1"/>
    <xf numFmtId="7" fontId="10" fillId="0" borderId="96" xfId="2" applyNumberFormat="1" applyFont="1" applyFill="1" applyBorder="1"/>
    <xf numFmtId="0" fontId="10" fillId="0" borderId="106" xfId="0" applyFont="1" applyFill="1" applyBorder="1" applyAlignment="1">
      <alignment horizontal="center"/>
    </xf>
    <xf numFmtId="8" fontId="8" fillId="0" borderId="91" xfId="0" applyNumberFormat="1" applyFont="1" applyFill="1" applyBorder="1" applyAlignment="1">
      <alignment vertical="center"/>
    </xf>
    <xf numFmtId="0" fontId="8" fillId="0" borderId="108" xfId="0" applyFont="1" applyFill="1" applyBorder="1" applyAlignment="1">
      <alignment horizontal="center"/>
    </xf>
    <xf numFmtId="0" fontId="10" fillId="0" borderId="85" xfId="0" applyFont="1" applyFill="1" applyBorder="1" applyAlignment="1">
      <alignment horizontal="center" vertical="center"/>
    </xf>
    <xf numFmtId="0" fontId="8" fillId="0" borderId="97" xfId="0" applyFont="1" applyFill="1" applyBorder="1" applyAlignment="1">
      <alignment horizontal="center" vertical="center"/>
    </xf>
    <xf numFmtId="165" fontId="8" fillId="0" borderId="21" xfId="1" applyNumberFormat="1" applyFont="1" applyFill="1" applyBorder="1" applyAlignment="1">
      <alignment horizontal="center" vertical="center"/>
    </xf>
    <xf numFmtId="166" fontId="8" fillId="0" borderId="26" xfId="0" applyNumberFormat="1" applyFont="1" applyFill="1" applyBorder="1" applyAlignment="1">
      <alignment horizontal="center" wrapText="1"/>
    </xf>
    <xf numFmtId="0" fontId="10" fillId="0" borderId="26" xfId="0" applyFont="1" applyFill="1" applyBorder="1" applyAlignment="1">
      <alignment horizontal="center" wrapText="1"/>
    </xf>
    <xf numFmtId="0" fontId="10" fillId="0" borderId="26" xfId="0" applyFont="1" applyFill="1" applyBorder="1" applyAlignment="1">
      <alignment horizontal="center" vertical="center" wrapText="1"/>
    </xf>
    <xf numFmtId="0" fontId="10" fillId="0" borderId="0" xfId="0" applyFont="1" applyFill="1" applyBorder="1" applyAlignment="1">
      <alignment horizontal="center" vertical="center" wrapText="1"/>
    </xf>
    <xf numFmtId="0" fontId="10" fillId="0" borderId="0" xfId="0" applyFont="1" applyFill="1" applyBorder="1" applyAlignment="1">
      <alignment horizontal="center"/>
    </xf>
    <xf numFmtId="0" fontId="10" fillId="0" borderId="92" xfId="0" applyFont="1" applyFill="1" applyBorder="1" applyAlignment="1">
      <alignment horizontal="center"/>
    </xf>
    <xf numFmtId="0" fontId="10" fillId="0" borderId="100" xfId="0" applyFont="1" applyFill="1" applyBorder="1" applyAlignment="1">
      <alignment horizontal="center"/>
    </xf>
    <xf numFmtId="44" fontId="8" fillId="0" borderId="91" xfId="0" applyNumberFormat="1" applyFont="1" applyFill="1" applyBorder="1" applyAlignment="1">
      <alignment horizontal="left" wrapText="1"/>
    </xf>
    <xf numFmtId="166" fontId="8" fillId="0" borderId="92" xfId="0" applyNumberFormat="1" applyFont="1" applyFill="1" applyBorder="1" applyAlignment="1">
      <alignment horizontal="center" wrapText="1"/>
    </xf>
    <xf numFmtId="166" fontId="8" fillId="0" borderId="95" xfId="0" applyNumberFormat="1" applyFont="1" applyFill="1" applyBorder="1" applyAlignment="1">
      <alignment horizontal="center" wrapText="1"/>
    </xf>
    <xf numFmtId="0" fontId="10" fillId="0" borderId="92" xfId="0" applyFont="1" applyFill="1" applyBorder="1" applyAlignment="1">
      <alignment vertical="center"/>
    </xf>
    <xf numFmtId="0" fontId="10" fillId="0" borderId="95" xfId="0" applyFont="1" applyFill="1" applyBorder="1" applyAlignment="1">
      <alignment vertical="center"/>
    </xf>
    <xf numFmtId="0" fontId="10" fillId="0" borderId="2" xfId="0" applyFont="1" applyFill="1" applyBorder="1" applyAlignment="1">
      <alignment horizontal="center" vertical="center" wrapText="1"/>
    </xf>
    <xf numFmtId="0" fontId="10" fillId="0" borderId="3" xfId="0" applyFont="1" applyFill="1" applyBorder="1" applyAlignment="1">
      <alignment horizontal="center" vertical="center" wrapText="1"/>
    </xf>
    <xf numFmtId="0" fontId="10" fillId="0" borderId="91" xfId="0" applyFont="1" applyFill="1" applyBorder="1" applyAlignment="1">
      <alignment horizontal="center" wrapText="1"/>
    </xf>
    <xf numFmtId="0" fontId="10" fillId="0" borderId="91" xfId="0" applyFont="1" applyFill="1" applyBorder="1" applyAlignment="1">
      <alignment horizontal="center"/>
    </xf>
    <xf numFmtId="0" fontId="10" fillId="0" borderId="12" xfId="0" applyFont="1" applyFill="1" applyBorder="1" applyAlignment="1">
      <alignment horizontal="center"/>
    </xf>
    <xf numFmtId="44" fontId="8" fillId="0" borderId="96" xfId="0" applyNumberFormat="1" applyFont="1" applyFill="1" applyBorder="1" applyAlignment="1">
      <alignment horizontal="left" wrapText="1"/>
    </xf>
    <xf numFmtId="166" fontId="8" fillId="0" borderId="96" xfId="0" applyNumberFormat="1" applyFont="1" applyFill="1" applyBorder="1" applyAlignment="1">
      <alignment horizontal="center" wrapText="1"/>
    </xf>
    <xf numFmtId="0" fontId="10" fillId="0" borderId="91" xfId="0" applyFont="1" applyFill="1" applyBorder="1" applyAlignment="1">
      <alignment vertical="center"/>
    </xf>
    <xf numFmtId="0" fontId="10" fillId="0" borderId="91" xfId="0" applyFont="1" applyFill="1" applyBorder="1" applyAlignment="1">
      <alignment horizontal="center" vertical="center" wrapText="1"/>
    </xf>
    <xf numFmtId="0" fontId="10" fillId="0" borderId="12" xfId="0" applyFont="1" applyFill="1" applyBorder="1" applyAlignment="1">
      <alignment horizontal="center" vertical="center" wrapText="1"/>
    </xf>
    <xf numFmtId="0" fontId="8" fillId="0" borderId="96" xfId="0" applyFont="1" applyFill="1" applyBorder="1" applyAlignment="1">
      <alignment horizontal="center" vertical="center" wrapText="1"/>
    </xf>
    <xf numFmtId="0" fontId="8" fillId="0" borderId="8" xfId="0" applyFont="1" applyFill="1" applyBorder="1" applyAlignment="1">
      <alignment horizontal="center" vertical="center" wrapText="1"/>
    </xf>
    <xf numFmtId="0" fontId="8" fillId="0" borderId="92" xfId="0" applyFont="1" applyFill="1" applyBorder="1" applyAlignment="1">
      <alignment horizontal="left"/>
    </xf>
    <xf numFmtId="0" fontId="8" fillId="0" borderId="94" xfId="0" applyFont="1" applyFill="1" applyBorder="1" applyAlignment="1">
      <alignment horizontal="left"/>
    </xf>
    <xf numFmtId="0" fontId="8" fillId="0" borderId="95" xfId="0" applyFont="1" applyFill="1" applyBorder="1" applyAlignment="1">
      <alignment horizontal="left"/>
    </xf>
    <xf numFmtId="0" fontId="10" fillId="0" borderId="19" xfId="0" applyFont="1" applyFill="1" applyBorder="1" applyAlignment="1">
      <alignment horizontal="center"/>
    </xf>
    <xf numFmtId="0" fontId="10" fillId="0" borderId="20" xfId="0" applyFont="1" applyFill="1" applyBorder="1" applyAlignment="1">
      <alignment horizontal="center"/>
    </xf>
    <xf numFmtId="0" fontId="10" fillId="0" borderId="92" xfId="0" applyFont="1" applyFill="1" applyBorder="1" applyAlignment="1">
      <alignment horizontal="center" vertical="center" wrapText="1"/>
    </xf>
    <xf numFmtId="0" fontId="10" fillId="0" borderId="95" xfId="0" applyFont="1" applyFill="1" applyBorder="1" applyAlignment="1">
      <alignment horizontal="center" vertical="center" wrapText="1"/>
    </xf>
    <xf numFmtId="0" fontId="10" fillId="0" borderId="92" xfId="0" applyFont="1" applyFill="1" applyBorder="1" applyAlignment="1">
      <alignment horizontal="left"/>
    </xf>
    <xf numFmtId="0" fontId="10" fillId="0" borderId="94" xfId="0" applyFont="1" applyFill="1" applyBorder="1" applyAlignment="1">
      <alignment horizontal="left"/>
    </xf>
    <xf numFmtId="0" fontId="10" fillId="0" borderId="95" xfId="0" applyFont="1" applyFill="1" applyBorder="1" applyAlignment="1">
      <alignment horizontal="left"/>
    </xf>
    <xf numFmtId="0" fontId="8" fillId="0" borderId="92" xfId="0" quotePrefix="1" applyFont="1" applyFill="1" applyBorder="1" applyAlignment="1">
      <alignment horizontal="left" vertical="center" wrapText="1"/>
    </xf>
    <xf numFmtId="0" fontId="8" fillId="0" borderId="94" xfId="0" applyFont="1" applyFill="1" applyBorder="1" applyAlignment="1">
      <alignment horizontal="left" vertical="center" wrapText="1"/>
    </xf>
    <xf numFmtId="0" fontId="8" fillId="0" borderId="95" xfId="0" applyFont="1" applyFill="1" applyBorder="1" applyAlignment="1">
      <alignment horizontal="left" vertical="center" wrapText="1"/>
    </xf>
    <xf numFmtId="166" fontId="8" fillId="0" borderId="92" xfId="0" applyNumberFormat="1" applyFont="1" applyFill="1" applyBorder="1" applyAlignment="1">
      <alignment horizontal="center" vertical="center" wrapText="1"/>
    </xf>
    <xf numFmtId="166" fontId="8" fillId="0" borderId="95" xfId="0" applyNumberFormat="1" applyFont="1" applyFill="1" applyBorder="1" applyAlignment="1">
      <alignment horizontal="center" vertical="center" wrapText="1"/>
    </xf>
    <xf numFmtId="0" fontId="8" fillId="0" borderId="92" xfId="0" quotePrefix="1" applyFont="1" applyFill="1" applyBorder="1" applyAlignment="1">
      <alignment horizontal="left" vertical="center"/>
    </xf>
    <xf numFmtId="0" fontId="8" fillId="0" borderId="94" xfId="0" applyFont="1" applyFill="1" applyBorder="1" applyAlignment="1">
      <alignment horizontal="left" vertical="center"/>
    </xf>
    <xf numFmtId="0" fontId="8" fillId="0" borderId="95" xfId="0" applyFont="1" applyFill="1" applyBorder="1" applyAlignment="1">
      <alignment horizontal="left" vertical="center"/>
    </xf>
    <xf numFmtId="0" fontId="10" fillId="0" borderId="19" xfId="0" applyFont="1" applyFill="1" applyBorder="1" applyAlignment="1">
      <alignment vertical="center"/>
    </xf>
    <xf numFmtId="0" fontId="10" fillId="0" borderId="20" xfId="0" applyFont="1" applyFill="1" applyBorder="1" applyAlignment="1">
      <alignment vertical="center"/>
    </xf>
    <xf numFmtId="0" fontId="10" fillId="0" borderId="91" xfId="0" applyFont="1" applyFill="1" applyBorder="1" applyAlignment="1">
      <alignment horizontal="left" wrapText="1"/>
    </xf>
    <xf numFmtId="0" fontId="10" fillId="0" borderId="92" xfId="0" applyFont="1" applyFill="1" applyBorder="1" applyAlignment="1">
      <alignment horizontal="center" wrapText="1"/>
    </xf>
    <xf numFmtId="0" fontId="10" fillId="0" borderId="95" xfId="0" applyFont="1" applyFill="1" applyBorder="1" applyAlignment="1">
      <alignment horizontal="center" wrapText="1"/>
    </xf>
    <xf numFmtId="0" fontId="10" fillId="0" borderId="91" xfId="0" applyFont="1" applyFill="1" applyBorder="1" applyAlignment="1">
      <alignment horizontal="left" vertical="center" wrapText="1"/>
    </xf>
    <xf numFmtId="0" fontId="8" fillId="0" borderId="92" xfId="0" applyNumberFormat="1" applyFont="1" applyFill="1" applyBorder="1" applyAlignment="1">
      <alignment horizontal="center" vertical="center" wrapText="1"/>
    </xf>
    <xf numFmtId="0" fontId="8" fillId="0" borderId="95" xfId="0" applyNumberFormat="1" applyFont="1" applyFill="1" applyBorder="1" applyAlignment="1">
      <alignment horizontal="center" vertical="center" wrapText="1"/>
    </xf>
    <xf numFmtId="0" fontId="8" fillId="0" borderId="91" xfId="0" applyFont="1" applyFill="1" applyBorder="1" applyAlignment="1">
      <alignment horizontal="left" vertical="center" wrapText="1"/>
    </xf>
    <xf numFmtId="0" fontId="8" fillId="0" borderId="91" xfId="0" applyFont="1" applyFill="1" applyBorder="1" applyAlignment="1">
      <alignment horizontal="right" wrapText="1"/>
    </xf>
    <xf numFmtId="0" fontId="8" fillId="0" borderId="91" xfId="0" applyFont="1" applyFill="1" applyBorder="1" applyAlignment="1">
      <alignment horizontal="left" wrapText="1"/>
    </xf>
    <xf numFmtId="0" fontId="10" fillId="0" borderId="92" xfId="0" applyFont="1" applyFill="1" applyBorder="1" applyAlignment="1">
      <alignment vertical="center" wrapText="1"/>
    </xf>
    <xf numFmtId="0" fontId="10" fillId="0" borderId="95" xfId="0" applyFont="1" applyFill="1" applyBorder="1" applyAlignment="1">
      <alignment vertical="center" wrapText="1"/>
    </xf>
    <xf numFmtId="166" fontId="8" fillId="0" borderId="92" xfId="0" applyNumberFormat="1" applyFont="1" applyFill="1" applyBorder="1" applyAlignment="1">
      <alignment horizontal="center"/>
    </xf>
    <xf numFmtId="166" fontId="8" fillId="0" borderId="95" xfId="0" applyNumberFormat="1" applyFont="1" applyFill="1" applyBorder="1" applyAlignment="1">
      <alignment horizontal="center"/>
    </xf>
    <xf numFmtId="0" fontId="8" fillId="0" borderId="85" xfId="0" applyFont="1" applyFill="1" applyBorder="1" applyAlignment="1">
      <alignment horizontal="left" vertical="top" wrapText="1"/>
    </xf>
    <xf numFmtId="0" fontId="8" fillId="0" borderId="94" xfId="0" applyFont="1" applyFill="1" applyBorder="1" applyAlignment="1">
      <alignment horizontal="left" vertical="top" wrapText="1"/>
    </xf>
    <xf numFmtId="0" fontId="8" fillId="0" borderId="100" xfId="0" applyFont="1" applyFill="1" applyBorder="1" applyAlignment="1">
      <alignment horizontal="left" vertical="top" wrapText="1"/>
    </xf>
    <xf numFmtId="0" fontId="8" fillId="0" borderId="92" xfId="0" applyFont="1" applyFill="1" applyBorder="1" applyAlignment="1">
      <alignment horizontal="left" vertical="top" wrapText="1"/>
    </xf>
    <xf numFmtId="0" fontId="8" fillId="0" borderId="89" xfId="0" applyFont="1" applyFill="1" applyBorder="1" applyAlignment="1">
      <alignment horizontal="left" vertical="top" wrapText="1"/>
    </xf>
    <xf numFmtId="0" fontId="8" fillId="0" borderId="93" xfId="0" applyFont="1" applyFill="1" applyBorder="1" applyAlignment="1">
      <alignment horizontal="left" vertical="top" wrapText="1"/>
    </xf>
    <xf numFmtId="0" fontId="8" fillId="0" borderId="46" xfId="0" applyFont="1" applyFill="1" applyBorder="1" applyAlignment="1">
      <alignment horizontal="left" vertical="top" wrapText="1"/>
    </xf>
    <xf numFmtId="0" fontId="8" fillId="0" borderId="92" xfId="0" applyFont="1" applyFill="1" applyBorder="1" applyAlignment="1">
      <alignment horizontal="center" vertical="center" wrapText="1"/>
    </xf>
    <xf numFmtId="0" fontId="8" fillId="0" borderId="95" xfId="0" applyFont="1" applyFill="1" applyBorder="1" applyAlignment="1">
      <alignment horizontal="center" vertical="center" wrapText="1"/>
    </xf>
    <xf numFmtId="0" fontId="8" fillId="0" borderId="91" xfId="0" applyFont="1" applyFill="1" applyBorder="1" applyAlignment="1">
      <alignment horizontal="right"/>
    </xf>
    <xf numFmtId="0" fontId="8" fillId="0" borderId="85" xfId="0" applyFont="1" applyFill="1" applyBorder="1" applyAlignment="1">
      <alignment vertical="top" wrapText="1"/>
    </xf>
    <xf numFmtId="0" fontId="8" fillId="0" borderId="94" xfId="0" applyFont="1" applyFill="1" applyBorder="1" applyAlignment="1">
      <alignment vertical="top" wrapText="1"/>
    </xf>
    <xf numFmtId="0" fontId="8" fillId="0" borderId="100" xfId="0" applyFont="1" applyFill="1" applyBorder="1" applyAlignment="1">
      <alignment vertical="top" wrapText="1"/>
    </xf>
    <xf numFmtId="0" fontId="8" fillId="0" borderId="85" xfId="0" applyFont="1" applyFill="1" applyBorder="1" applyAlignment="1">
      <alignment horizontal="left" vertical="center" wrapText="1"/>
    </xf>
    <xf numFmtId="0" fontId="8" fillId="0" borderId="103" xfId="0" applyFont="1" applyFill="1" applyBorder="1" applyAlignment="1">
      <alignment horizontal="left" vertical="center" wrapText="1"/>
    </xf>
    <xf numFmtId="0" fontId="8" fillId="0" borderId="93" xfId="0" applyFont="1" applyFill="1" applyBorder="1" applyAlignment="1">
      <alignment horizontal="left" vertical="center" wrapText="1"/>
    </xf>
    <xf numFmtId="0" fontId="8" fillId="0" borderId="90" xfId="0" applyFont="1" applyFill="1" applyBorder="1" applyAlignment="1">
      <alignment horizontal="left" vertical="center" wrapText="1"/>
    </xf>
    <xf numFmtId="0" fontId="8" fillId="0" borderId="0" xfId="0" applyFont="1" applyFill="1" applyAlignment="1">
      <alignment horizontal="left" wrapText="1"/>
    </xf>
    <xf numFmtId="0" fontId="8" fillId="0" borderId="92" xfId="0" applyFont="1" applyFill="1" applyBorder="1" applyAlignment="1">
      <alignment horizontal="left" wrapText="1"/>
    </xf>
    <xf numFmtId="0" fontId="8" fillId="0" borderId="94" xfId="0" applyFont="1" applyFill="1" applyBorder="1" applyAlignment="1">
      <alignment horizontal="left" wrapText="1"/>
    </xf>
    <xf numFmtId="0" fontId="8" fillId="0" borderId="100" xfId="0" applyFont="1" applyFill="1" applyBorder="1" applyAlignment="1">
      <alignment horizontal="left" wrapText="1"/>
    </xf>
    <xf numFmtId="44" fontId="8" fillId="0" borderId="91" xfId="0" applyNumberFormat="1" applyFont="1" applyFill="1" applyBorder="1" applyAlignment="1">
      <alignment horizontal="right" wrapText="1"/>
    </xf>
    <xf numFmtId="0" fontId="8" fillId="0" borderId="16" xfId="0" applyFont="1" applyFill="1" applyBorder="1" applyAlignment="1">
      <alignment horizontal="center"/>
    </xf>
    <xf numFmtId="0" fontId="8" fillId="0" borderId="17" xfId="0" applyFont="1" applyFill="1" applyBorder="1" applyAlignment="1">
      <alignment horizontal="center"/>
    </xf>
    <xf numFmtId="0" fontId="8" fillId="0" borderId="18" xfId="0" applyFont="1" applyFill="1" applyBorder="1" applyAlignment="1">
      <alignment horizontal="center"/>
    </xf>
    <xf numFmtId="0" fontId="8" fillId="0" borderId="103" xfId="0" applyFont="1" applyFill="1" applyBorder="1" applyAlignment="1">
      <alignment horizontal="left"/>
    </xf>
    <xf numFmtId="0" fontId="8" fillId="0" borderId="93" xfId="0" applyFont="1" applyFill="1" applyBorder="1" applyAlignment="1">
      <alignment horizontal="left"/>
    </xf>
    <xf numFmtId="166" fontId="8" fillId="0" borderId="92" xfId="0" applyNumberFormat="1" applyFont="1" applyFill="1" applyBorder="1" applyAlignment="1">
      <alignment horizontal="center" vertical="center"/>
    </xf>
    <xf numFmtId="166" fontId="8" fillId="0" borderId="95" xfId="0" applyNumberFormat="1" applyFont="1" applyFill="1" applyBorder="1" applyAlignment="1">
      <alignment horizontal="center" vertical="center"/>
    </xf>
    <xf numFmtId="0" fontId="8" fillId="0" borderId="95" xfId="0" applyFont="1" applyFill="1" applyBorder="1" applyAlignment="1">
      <alignment horizontal="left" wrapText="1"/>
    </xf>
    <xf numFmtId="0" fontId="10" fillId="0" borderId="97" xfId="0" applyFont="1" applyFill="1" applyBorder="1" applyAlignment="1">
      <alignment horizontal="center" wrapText="1"/>
    </xf>
    <xf numFmtId="0" fontId="10" fillId="0" borderId="110" xfId="0" applyFont="1" applyFill="1" applyBorder="1" applyAlignment="1">
      <alignment horizontal="center" wrapText="1"/>
    </xf>
    <xf numFmtId="0" fontId="10" fillId="0" borderId="92" xfId="0" applyFont="1" applyFill="1" applyBorder="1" applyAlignment="1">
      <alignment horizontal="left" vertical="center" wrapText="1"/>
    </xf>
    <xf numFmtId="0" fontId="10" fillId="0" borderId="95" xfId="0" applyFont="1" applyFill="1" applyBorder="1" applyAlignment="1">
      <alignment horizontal="left" vertical="center" wrapText="1"/>
    </xf>
    <xf numFmtId="0" fontId="10" fillId="0" borderId="94" xfId="0" applyFont="1" applyFill="1" applyBorder="1" applyAlignment="1">
      <alignment horizontal="center" vertical="center" wrapText="1"/>
    </xf>
    <xf numFmtId="0" fontId="8" fillId="0" borderId="94" xfId="0" applyFont="1" applyFill="1" applyBorder="1" applyAlignment="1">
      <alignment horizontal="center" vertical="center" wrapText="1"/>
    </xf>
    <xf numFmtId="0" fontId="8" fillId="0" borderId="100" xfId="0" applyFont="1" applyFill="1" applyBorder="1" applyAlignment="1">
      <alignment horizontal="center" vertical="center" wrapText="1"/>
    </xf>
    <xf numFmtId="0" fontId="68" fillId="0" borderId="86" xfId="0" applyFont="1" applyFill="1" applyBorder="1" applyAlignment="1">
      <alignment horizontal="center" vertical="center" wrapText="1"/>
    </xf>
    <xf numFmtId="0" fontId="8" fillId="0" borderId="91" xfId="0" applyFont="1" applyFill="1" applyBorder="1" applyAlignment="1">
      <alignment horizontal="left"/>
    </xf>
    <xf numFmtId="0" fontId="8" fillId="0" borderId="49" xfId="0" applyFont="1" applyFill="1" applyBorder="1" applyAlignment="1">
      <alignment horizontal="center"/>
    </xf>
    <xf numFmtId="0" fontId="8" fillId="0" borderId="92" xfId="0" applyFont="1" applyFill="1" applyBorder="1" applyAlignment="1">
      <alignment horizontal="right"/>
    </xf>
    <xf numFmtId="0" fontId="8" fillId="0" borderId="94" xfId="0" applyFont="1" applyFill="1" applyBorder="1" applyAlignment="1">
      <alignment horizontal="right"/>
    </xf>
    <xf numFmtId="0" fontId="8" fillId="0" borderId="95" xfId="0" applyFont="1" applyFill="1" applyBorder="1" applyAlignment="1">
      <alignment horizontal="right"/>
    </xf>
    <xf numFmtId="0" fontId="10" fillId="0" borderId="19" xfId="0" applyFont="1" applyFill="1" applyBorder="1" applyAlignment="1">
      <alignment vertical="center" wrapText="1"/>
    </xf>
    <xf numFmtId="0" fontId="10" fillId="0" borderId="20" xfId="0" applyFont="1" applyFill="1" applyBorder="1" applyAlignment="1">
      <alignment vertical="center" wrapText="1"/>
    </xf>
    <xf numFmtId="0" fontId="8" fillId="0" borderId="89" xfId="0" applyFont="1" applyFill="1" applyBorder="1" applyAlignment="1">
      <alignment horizontal="left" wrapText="1"/>
    </xf>
    <xf numFmtId="0" fontId="8" fillId="0" borderId="93" xfId="0" applyFont="1" applyFill="1" applyBorder="1" applyAlignment="1">
      <alignment horizontal="left" wrapText="1"/>
    </xf>
    <xf numFmtId="0" fontId="8" fillId="0" borderId="90" xfId="0" applyFont="1" applyFill="1" applyBorder="1" applyAlignment="1">
      <alignment horizontal="left" wrapText="1"/>
    </xf>
    <xf numFmtId="0" fontId="8" fillId="0" borderId="86" xfId="0" applyFont="1" applyFill="1" applyBorder="1" applyAlignment="1">
      <alignment horizontal="center"/>
    </xf>
    <xf numFmtId="0" fontId="8" fillId="0" borderId="109" xfId="0" applyFont="1" applyFill="1" applyBorder="1" applyAlignment="1">
      <alignment horizontal="center"/>
    </xf>
    <xf numFmtId="0" fontId="8" fillId="0" borderId="28" xfId="0" applyFont="1" applyFill="1" applyBorder="1" applyAlignment="1">
      <alignment horizontal="center"/>
    </xf>
    <xf numFmtId="0" fontId="8" fillId="0" borderId="50" xfId="0" applyFont="1" applyFill="1" applyBorder="1" applyAlignment="1">
      <alignment horizontal="center"/>
    </xf>
    <xf numFmtId="0" fontId="8" fillId="0" borderId="92" xfId="0" applyFont="1" applyFill="1" applyBorder="1" applyAlignment="1">
      <alignment horizontal="left" vertical="center" wrapText="1"/>
    </xf>
    <xf numFmtId="0" fontId="10" fillId="0" borderId="92" xfId="0" applyFont="1" applyFill="1" applyBorder="1" applyAlignment="1">
      <alignment horizontal="left" wrapText="1"/>
    </xf>
    <xf numFmtId="0" fontId="8" fillId="0" borderId="92" xfId="0" quotePrefix="1" applyFont="1" applyFill="1" applyBorder="1" applyAlignment="1">
      <alignment horizontal="left" vertical="top" wrapText="1"/>
    </xf>
    <xf numFmtId="0" fontId="8" fillId="0" borderId="12" xfId="0" quotePrefix="1" applyFont="1" applyFill="1" applyBorder="1" applyAlignment="1">
      <alignment horizontal="left" vertical="top" wrapText="1"/>
    </xf>
    <xf numFmtId="0" fontId="8" fillId="0" borderId="6" xfId="0" applyFont="1" applyFill="1" applyBorder="1" applyAlignment="1">
      <alignment horizontal="left" vertical="top" wrapText="1"/>
    </xf>
    <xf numFmtId="0" fontId="8" fillId="0" borderId="85" xfId="0" applyFont="1" applyFill="1" applyBorder="1" applyAlignment="1">
      <alignment wrapText="1"/>
    </xf>
    <xf numFmtId="0" fontId="8" fillId="0" borderId="92" xfId="0" applyFont="1" applyFill="1" applyBorder="1" applyAlignment="1">
      <alignment wrapText="1"/>
    </xf>
    <xf numFmtId="0" fontId="8" fillId="0" borderId="12" xfId="0" applyFont="1" applyFill="1" applyBorder="1" applyAlignment="1">
      <alignment wrapText="1"/>
    </xf>
    <xf numFmtId="0" fontId="12" fillId="0" borderId="85" xfId="0" applyFont="1" applyFill="1" applyBorder="1" applyAlignment="1">
      <alignment horizontal="left" vertical="top" wrapText="1"/>
    </xf>
    <xf numFmtId="0" fontId="12" fillId="0" borderId="92" xfId="0" applyFont="1" applyFill="1" applyBorder="1" applyAlignment="1">
      <alignment horizontal="left" vertical="top" wrapText="1"/>
    </xf>
    <xf numFmtId="0" fontId="8" fillId="0" borderId="12" xfId="0" applyFont="1" applyFill="1" applyBorder="1" applyAlignment="1">
      <alignment horizontal="left" vertical="top" wrapText="1"/>
    </xf>
    <xf numFmtId="0" fontId="8" fillId="0" borderId="103" xfId="0" applyFont="1" applyFill="1" applyBorder="1" applyAlignment="1">
      <alignment horizontal="left" vertical="top"/>
    </xf>
    <xf numFmtId="0" fontId="8" fillId="0" borderId="89" xfId="0" applyFont="1" applyFill="1" applyBorder="1" applyAlignment="1">
      <alignment horizontal="left" vertical="top"/>
    </xf>
    <xf numFmtId="0" fontId="8" fillId="0" borderId="92" xfId="0" applyFont="1" applyFill="1" applyBorder="1" applyAlignment="1">
      <alignment horizontal="left" vertical="top"/>
    </xf>
    <xf numFmtId="0" fontId="8" fillId="0" borderId="12" xfId="0" applyFont="1" applyFill="1" applyBorder="1" applyAlignment="1">
      <alignment horizontal="left" vertical="top"/>
    </xf>
    <xf numFmtId="0" fontId="8" fillId="0" borderId="89" xfId="0" applyFont="1" applyFill="1" applyBorder="1" applyAlignment="1">
      <alignment horizontal="left" vertical="center" wrapText="1"/>
    </xf>
    <xf numFmtId="0" fontId="8" fillId="0" borderId="85" xfId="0" applyFont="1" applyFill="1" applyBorder="1" applyAlignment="1">
      <alignment horizontal="left" vertical="top"/>
    </xf>
    <xf numFmtId="0" fontId="8" fillId="0" borderId="91" xfId="0" applyFont="1" applyFill="1" applyBorder="1" applyAlignment="1">
      <alignment horizontal="center" vertical="center" wrapText="1"/>
    </xf>
    <xf numFmtId="0" fontId="8" fillId="0" borderId="91" xfId="0" applyFont="1" applyFill="1" applyBorder="1" applyAlignment="1">
      <alignment wrapText="1"/>
    </xf>
    <xf numFmtId="0" fontId="10" fillId="0" borderId="38" xfId="0" applyFont="1" applyFill="1" applyBorder="1" applyAlignment="1">
      <alignment vertical="center" wrapText="1"/>
    </xf>
    <xf numFmtId="0" fontId="12" fillId="0" borderId="85" xfId="0" applyFont="1" applyFill="1" applyBorder="1" applyAlignment="1">
      <alignment vertical="center" wrapText="1"/>
    </xf>
    <xf numFmtId="0" fontId="12" fillId="0" borderId="92" xfId="0" applyFont="1" applyFill="1" applyBorder="1" applyAlignment="1">
      <alignment vertical="center" wrapText="1"/>
    </xf>
    <xf numFmtId="0" fontId="10" fillId="0" borderId="38" xfId="0" applyFont="1" applyFill="1" applyBorder="1" applyAlignment="1">
      <alignment vertical="center"/>
    </xf>
    <xf numFmtId="0" fontId="10" fillId="0" borderId="16" xfId="0" applyFont="1" applyFill="1" applyBorder="1" applyAlignment="1">
      <alignment horizontal="center"/>
    </xf>
    <xf numFmtId="0" fontId="10" fillId="0" borderId="49" xfId="0" applyFont="1" applyFill="1" applyBorder="1" applyAlignment="1">
      <alignment horizontal="center"/>
    </xf>
    <xf numFmtId="0" fontId="69" fillId="0" borderId="2" xfId="0" applyFont="1" applyFill="1" applyBorder="1" applyAlignment="1">
      <alignment horizontal="left" vertical="center" wrapText="1"/>
    </xf>
    <xf numFmtId="0" fontId="8" fillId="0" borderId="85" xfId="0" applyFont="1" applyFill="1" applyBorder="1" applyAlignment="1">
      <alignment horizontal="center" vertical="center"/>
    </xf>
    <xf numFmtId="0" fontId="8" fillId="0" borderId="92" xfId="0" applyFont="1" applyFill="1" applyBorder="1" applyAlignment="1">
      <alignment horizontal="center" vertical="center"/>
    </xf>
    <xf numFmtId="0" fontId="12" fillId="0" borderId="7" xfId="0" applyFont="1" applyFill="1" applyBorder="1" applyAlignment="1">
      <alignment vertical="center" wrapText="1"/>
    </xf>
    <xf numFmtId="0" fontId="12" fillId="0" borderId="91" xfId="0" applyFont="1" applyFill="1" applyBorder="1" applyAlignment="1">
      <alignment vertical="center" wrapText="1"/>
    </xf>
    <xf numFmtId="0" fontId="69" fillId="0" borderId="1" xfId="0" applyFont="1" applyFill="1" applyBorder="1" applyAlignment="1">
      <alignment horizontal="left" vertical="center" wrapText="1"/>
    </xf>
    <xf numFmtId="0" fontId="69" fillId="0" borderId="1" xfId="0" applyFont="1" applyFill="1" applyBorder="1" applyAlignment="1">
      <alignment horizontal="center" vertical="center" wrapText="1"/>
    </xf>
    <xf numFmtId="0" fontId="69" fillId="0" borderId="107" xfId="0" applyFont="1" applyFill="1" applyBorder="1" applyAlignment="1">
      <alignment horizontal="center" vertical="center" wrapText="1"/>
    </xf>
    <xf numFmtId="0" fontId="69" fillId="0" borderId="2" xfId="0" applyFont="1" applyFill="1" applyBorder="1" applyAlignment="1">
      <alignment horizontal="center" vertical="center" wrapText="1"/>
    </xf>
    <xf numFmtId="0" fontId="69" fillId="0" borderId="3" xfId="0" applyFont="1" applyFill="1" applyBorder="1" applyAlignment="1">
      <alignment horizontal="center" vertical="center" wrapText="1"/>
    </xf>
    <xf numFmtId="0" fontId="10" fillId="0" borderId="8" xfId="0" applyFont="1" applyFill="1" applyBorder="1" applyAlignment="1">
      <alignment vertical="center"/>
    </xf>
    <xf numFmtId="0" fontId="10" fillId="0" borderId="8" xfId="0" applyFont="1" applyFill="1" applyBorder="1" applyAlignment="1">
      <alignment horizontal="center" vertical="center" wrapText="1"/>
    </xf>
    <xf numFmtId="0" fontId="10" fillId="0" borderId="11" xfId="0" applyFont="1" applyFill="1" applyBorder="1" applyAlignment="1">
      <alignment horizontal="center" vertical="center" wrapText="1"/>
    </xf>
    <xf numFmtId="2" fontId="8" fillId="0" borderId="92" xfId="0" applyNumberFormat="1" applyFont="1" applyFill="1" applyBorder="1" applyAlignment="1">
      <alignment horizontal="center" wrapText="1"/>
    </xf>
    <xf numFmtId="2" fontId="8" fillId="0" borderId="95" xfId="0" applyNumberFormat="1" applyFont="1" applyFill="1" applyBorder="1" applyAlignment="1">
      <alignment horizontal="center" wrapText="1"/>
    </xf>
    <xf numFmtId="0" fontId="8" fillId="0" borderId="97" xfId="0" applyFont="1" applyFill="1" applyBorder="1" applyAlignment="1">
      <alignment horizontal="center"/>
    </xf>
    <xf numFmtId="0" fontId="8" fillId="0" borderId="21" xfId="0" applyFont="1" applyFill="1" applyBorder="1" applyAlignment="1">
      <alignment horizontal="center"/>
    </xf>
    <xf numFmtId="0" fontId="8" fillId="0" borderId="110" xfId="0" applyFont="1" applyFill="1" applyBorder="1" applyAlignment="1">
      <alignment horizontal="center"/>
    </xf>
    <xf numFmtId="0" fontId="8" fillId="0" borderId="19" xfId="0" applyFont="1" applyFill="1" applyBorder="1" applyAlignment="1">
      <alignment horizontal="center"/>
    </xf>
    <xf numFmtId="0" fontId="8" fillId="0" borderId="1" xfId="0" applyFont="1" applyFill="1" applyBorder="1" applyAlignment="1">
      <alignment horizontal="center"/>
    </xf>
    <xf numFmtId="0" fontId="8" fillId="0" borderId="20" xfId="0" applyFont="1" applyFill="1" applyBorder="1" applyAlignment="1">
      <alignment horizontal="center"/>
    </xf>
    <xf numFmtId="0" fontId="8" fillId="0" borderId="103" xfId="0" applyFont="1" applyFill="1" applyBorder="1" applyAlignment="1">
      <alignment horizontal="left" vertical="top" wrapText="1"/>
    </xf>
    <xf numFmtId="0" fontId="8" fillId="0" borderId="92" xfId="0" applyFont="1" applyFill="1" applyBorder="1" applyAlignment="1">
      <alignment horizontal="center"/>
    </xf>
    <xf numFmtId="0" fontId="8" fillId="0" borderId="95" xfId="0" applyFont="1" applyFill="1" applyBorder="1" applyAlignment="1"/>
    <xf numFmtId="0" fontId="12" fillId="0" borderId="92" xfId="0" applyNumberFormat="1" applyFont="1" applyFill="1" applyBorder="1" applyAlignment="1" applyProtection="1">
      <alignment horizontal="left" wrapText="1"/>
    </xf>
    <xf numFmtId="0" fontId="12" fillId="0" borderId="94" xfId="0" applyNumberFormat="1" applyFont="1" applyFill="1" applyBorder="1" applyAlignment="1" applyProtection="1">
      <alignment horizontal="left" wrapText="1"/>
    </xf>
    <xf numFmtId="0" fontId="12" fillId="0" borderId="95" xfId="0" applyNumberFormat="1" applyFont="1" applyFill="1" applyBorder="1" applyAlignment="1" applyProtection="1">
      <alignment horizontal="left" wrapText="1"/>
    </xf>
    <xf numFmtId="0" fontId="14" fillId="0" borderId="92" xfId="0" applyFont="1" applyFill="1" applyBorder="1" applyAlignment="1">
      <alignment horizontal="left" vertical="top" wrapText="1"/>
    </xf>
    <xf numFmtId="0" fontId="14" fillId="0" borderId="94" xfId="0" applyFont="1" applyFill="1" applyBorder="1" applyAlignment="1">
      <alignment horizontal="left" vertical="top" wrapText="1"/>
    </xf>
    <xf numFmtId="0" fontId="14" fillId="0" borderId="95" xfId="0" applyFont="1" applyFill="1" applyBorder="1" applyAlignment="1">
      <alignment horizontal="left" vertical="top" wrapText="1"/>
    </xf>
    <xf numFmtId="0" fontId="14" fillId="0" borderId="92" xfId="0" applyFont="1" applyFill="1" applyBorder="1" applyAlignment="1">
      <alignment horizontal="left" wrapText="1"/>
    </xf>
    <xf numFmtId="0" fontId="14" fillId="0" borderId="94" xfId="0" applyFont="1" applyFill="1" applyBorder="1" applyAlignment="1">
      <alignment horizontal="left" wrapText="1"/>
    </xf>
    <xf numFmtId="0" fontId="14" fillId="0" borderId="95" xfId="0" applyFont="1" applyFill="1" applyBorder="1" applyAlignment="1">
      <alignment horizontal="left" wrapText="1"/>
    </xf>
    <xf numFmtId="0" fontId="8" fillId="0" borderId="95" xfId="0" applyFont="1" applyFill="1" applyBorder="1" applyAlignment="1">
      <alignment horizontal="center"/>
    </xf>
    <xf numFmtId="0" fontId="8" fillId="0" borderId="92" xfId="0" applyFont="1" applyFill="1" applyBorder="1" applyAlignment="1">
      <alignment horizontal="center" wrapText="1"/>
    </xf>
    <xf numFmtId="0" fontId="8" fillId="0" borderId="94" xfId="0" applyFont="1" applyFill="1" applyBorder="1" applyAlignment="1">
      <alignment horizontal="center" wrapText="1"/>
    </xf>
    <xf numFmtId="0" fontId="8" fillId="0" borderId="95" xfId="0" applyFont="1" applyFill="1" applyBorder="1" applyAlignment="1">
      <alignment horizontal="center" wrapText="1"/>
    </xf>
    <xf numFmtId="0" fontId="10" fillId="0" borderId="8" xfId="0" applyFont="1" applyFill="1" applyBorder="1" applyAlignment="1">
      <alignment horizontal="left" vertical="center" wrapText="1"/>
    </xf>
    <xf numFmtId="0" fontId="10" fillId="0" borderId="95" xfId="0" applyFont="1" applyFill="1" applyBorder="1" applyAlignment="1">
      <alignment horizontal="center"/>
    </xf>
    <xf numFmtId="0" fontId="8" fillId="0" borderId="7" xfId="0" applyFont="1" applyFill="1" applyBorder="1" applyAlignment="1">
      <alignment horizontal="left" vertical="center" wrapText="1"/>
    </xf>
    <xf numFmtId="0" fontId="8" fillId="0" borderId="105" xfId="0" applyFont="1" applyFill="1" applyBorder="1" applyAlignment="1">
      <alignment horizontal="left" vertical="center" wrapText="1"/>
    </xf>
    <xf numFmtId="0" fontId="8" fillId="0" borderId="96" xfId="0" applyFont="1" applyFill="1" applyBorder="1" applyAlignment="1">
      <alignment horizontal="left" vertical="center" wrapText="1"/>
    </xf>
    <xf numFmtId="0" fontId="8" fillId="0" borderId="101" xfId="0" applyFont="1" applyFill="1" applyBorder="1" applyAlignment="1">
      <alignment horizontal="left" wrapText="1"/>
    </xf>
    <xf numFmtId="0" fontId="8" fillId="0" borderId="97" xfId="0" applyFont="1" applyFill="1" applyBorder="1" applyAlignment="1">
      <alignment horizontal="left" wrapText="1"/>
    </xf>
    <xf numFmtId="0" fontId="10" fillId="0" borderId="1" xfId="0" applyFont="1" applyFill="1" applyBorder="1" applyAlignment="1">
      <alignment horizontal="center" vertical="center" wrapText="1"/>
    </xf>
    <xf numFmtId="0" fontId="10" fillId="0" borderId="107" xfId="0" applyFont="1" applyFill="1" applyBorder="1" applyAlignment="1">
      <alignment horizontal="center" vertical="center" wrapText="1"/>
    </xf>
    <xf numFmtId="0" fontId="10" fillId="0" borderId="100" xfId="0" applyFont="1" applyFill="1" applyBorder="1" applyAlignment="1">
      <alignment horizontal="center" vertical="center" wrapText="1"/>
    </xf>
    <xf numFmtId="0" fontId="12" fillId="0" borderId="16" xfId="0" applyFont="1" applyFill="1" applyBorder="1" applyAlignment="1">
      <alignment horizontal="center" vertical="center" wrapText="1"/>
    </xf>
    <xf numFmtId="0" fontId="12" fillId="0" borderId="49" xfId="0" applyFont="1" applyFill="1" applyBorder="1" applyAlignment="1">
      <alignment horizontal="center" vertical="center" wrapText="1"/>
    </xf>
    <xf numFmtId="0" fontId="69" fillId="0" borderId="16" xfId="0" applyFont="1" applyFill="1" applyBorder="1" applyAlignment="1">
      <alignment horizontal="center" vertical="center" wrapText="1"/>
    </xf>
    <xf numFmtId="0" fontId="69" fillId="0" borderId="49" xfId="0" applyFont="1" applyFill="1" applyBorder="1" applyAlignment="1">
      <alignment horizontal="center" vertical="center" wrapText="1"/>
    </xf>
    <xf numFmtId="0" fontId="8" fillId="0" borderId="101" xfId="0" applyFont="1" applyFill="1" applyBorder="1" applyAlignment="1">
      <alignment horizontal="left" vertical="top" wrapText="1"/>
    </xf>
    <xf numFmtId="0" fontId="8" fillId="0" borderId="97" xfId="0" applyFont="1" applyFill="1" applyBorder="1" applyAlignment="1">
      <alignment horizontal="left" vertical="top" wrapText="1"/>
    </xf>
    <xf numFmtId="0" fontId="8" fillId="0" borderId="106" xfId="0" applyFont="1" applyFill="1" applyBorder="1" applyAlignment="1">
      <alignment horizontal="left" vertical="top" wrapText="1"/>
    </xf>
    <xf numFmtId="0" fontId="10" fillId="0" borderId="17" xfId="0" applyFont="1" applyFill="1" applyBorder="1" applyAlignment="1">
      <alignment horizontal="center" vertical="center" wrapText="1"/>
    </xf>
    <xf numFmtId="0" fontId="10" fillId="0" borderId="18" xfId="0" applyFont="1" applyFill="1" applyBorder="1" applyAlignment="1">
      <alignment horizontal="center" vertical="center" wrapText="1"/>
    </xf>
    <xf numFmtId="165" fontId="8" fillId="0" borderId="89" xfId="0" applyNumberFormat="1" applyFont="1" applyFill="1" applyBorder="1" applyAlignment="1">
      <alignment horizontal="left" wrapText="1"/>
    </xf>
    <xf numFmtId="0" fontId="8" fillId="0" borderId="85" xfId="0" applyFont="1" applyFill="1" applyBorder="1" applyAlignment="1">
      <alignment horizontal="left" wrapText="1"/>
    </xf>
    <xf numFmtId="0" fontId="8" fillId="0" borderId="12" xfId="0" applyFont="1" applyFill="1" applyBorder="1" applyAlignment="1">
      <alignment horizontal="left" wrapText="1"/>
    </xf>
    <xf numFmtId="0" fontId="8" fillId="0" borderId="91" xfId="0" quotePrefix="1" applyFont="1" applyFill="1" applyBorder="1" applyAlignment="1">
      <alignment horizontal="left" vertical="top" wrapText="1"/>
    </xf>
    <xf numFmtId="0" fontId="8" fillId="0" borderId="92" xfId="0" applyNumberFormat="1" applyFont="1" applyFill="1" applyBorder="1" applyAlignment="1">
      <alignment horizontal="center" vertical="center"/>
    </xf>
    <xf numFmtId="0" fontId="8" fillId="0" borderId="12" xfId="0" applyFont="1" applyFill="1" applyBorder="1" applyAlignment="1">
      <alignment horizontal="left" vertical="center" wrapText="1"/>
    </xf>
    <xf numFmtId="0" fontId="8" fillId="0" borderId="92" xfId="0" applyFont="1" applyFill="1" applyBorder="1" applyAlignment="1">
      <alignment horizontal="left" vertical="center"/>
    </xf>
    <xf numFmtId="0" fontId="8" fillId="0" borderId="12" xfId="0" applyFont="1" applyFill="1" applyBorder="1" applyAlignment="1">
      <alignment horizontal="left" vertical="center"/>
    </xf>
    <xf numFmtId="44" fontId="8" fillId="0" borderId="8" xfId="0" applyNumberFormat="1" applyFont="1" applyFill="1" applyBorder="1" applyAlignment="1">
      <alignment horizontal="left" wrapText="1"/>
    </xf>
    <xf numFmtId="0" fontId="10" fillId="0" borderId="74" xfId="0" applyFont="1" applyFill="1" applyBorder="1" applyAlignment="1">
      <alignment vertical="center"/>
    </xf>
    <xf numFmtId="0" fontId="8" fillId="0" borderId="21" xfId="0" applyFont="1" applyFill="1" applyBorder="1" applyAlignment="1">
      <alignment horizontal="left" wrapText="1"/>
    </xf>
    <xf numFmtId="0" fontId="8" fillId="0" borderId="52" xfId="0" applyFont="1" applyFill="1" applyBorder="1" applyAlignment="1">
      <alignment horizontal="center" vertical="center"/>
    </xf>
    <xf numFmtId="0" fontId="8" fillId="0" borderId="16" xfId="0" applyFont="1" applyFill="1" applyBorder="1" applyAlignment="1">
      <alignment horizontal="left"/>
    </xf>
    <xf numFmtId="0" fontId="8" fillId="0" borderId="49" xfId="0" applyFont="1" applyFill="1" applyBorder="1" applyAlignment="1">
      <alignment horizontal="left"/>
    </xf>
    <xf numFmtId="2" fontId="8" fillId="0" borderId="92" xfId="0" applyNumberFormat="1" applyFont="1" applyFill="1" applyBorder="1" applyAlignment="1">
      <alignment horizontal="center" vertical="center" wrapText="1"/>
    </xf>
    <xf numFmtId="0" fontId="14" fillId="0" borderId="89" xfId="0" applyFont="1" applyFill="1" applyBorder="1" applyAlignment="1">
      <alignment horizontal="left" wrapText="1"/>
    </xf>
    <xf numFmtId="0" fontId="14" fillId="0" borderId="93" xfId="0" applyFont="1" applyFill="1" applyBorder="1" applyAlignment="1">
      <alignment horizontal="left" wrapText="1"/>
    </xf>
    <xf numFmtId="0" fontId="14" fillId="0" borderId="90" xfId="0" applyFont="1" applyFill="1" applyBorder="1" applyAlignment="1">
      <alignment horizontal="left" wrapText="1"/>
    </xf>
    <xf numFmtId="0" fontId="8" fillId="0" borderId="92" xfId="0" applyFont="1" applyFill="1" applyBorder="1" applyAlignment="1">
      <alignment vertical="top" wrapText="1"/>
    </xf>
    <xf numFmtId="0" fontId="12" fillId="0" borderId="105" xfId="0" applyFont="1" applyFill="1" applyBorder="1" applyAlignment="1">
      <alignment vertical="center" wrapText="1"/>
    </xf>
    <xf numFmtId="0" fontId="12" fillId="0" borderId="96" xfId="0" applyFont="1" applyFill="1" applyBorder="1" applyAlignment="1">
      <alignment vertical="center" wrapText="1"/>
    </xf>
    <xf numFmtId="0" fontId="8" fillId="0" borderId="96" xfId="0" quotePrefix="1" applyFont="1" applyFill="1" applyBorder="1" applyAlignment="1">
      <alignment horizontal="left" vertical="top" wrapText="1"/>
    </xf>
    <xf numFmtId="0" fontId="8" fillId="0" borderId="106" xfId="0" quotePrefix="1" applyFont="1" applyFill="1" applyBorder="1" applyAlignment="1">
      <alignment horizontal="left" vertical="top" wrapText="1"/>
    </xf>
    <xf numFmtId="0" fontId="10" fillId="0" borderId="16" xfId="0" applyFont="1" applyFill="1" applyBorder="1" applyAlignment="1">
      <alignment horizontal="center" vertical="center"/>
    </xf>
    <xf numFmtId="0" fontId="10" fillId="0" borderId="49" xfId="0" applyFont="1" applyFill="1" applyBorder="1" applyAlignment="1">
      <alignment horizontal="center" vertical="center"/>
    </xf>
    <xf numFmtId="0" fontId="8" fillId="0" borderId="104" xfId="0" applyFont="1" applyFill="1" applyBorder="1" applyAlignment="1">
      <alignment horizontal="left" vertical="center" wrapText="1"/>
    </xf>
    <xf numFmtId="0" fontId="8" fillId="0" borderId="8" xfId="0" applyFont="1" applyFill="1" applyBorder="1" applyAlignment="1">
      <alignment horizontal="left" vertical="center" wrapText="1"/>
    </xf>
    <xf numFmtId="0" fontId="8" fillId="0" borderId="11" xfId="0" applyFont="1" applyFill="1" applyBorder="1" applyAlignment="1">
      <alignment horizontal="left" vertical="center" wrapText="1"/>
    </xf>
    <xf numFmtId="0" fontId="8" fillId="0" borderId="28" xfId="0" applyFont="1" applyFill="1" applyBorder="1" applyAlignment="1">
      <alignment horizontal="center" vertical="top" wrapText="1"/>
    </xf>
    <xf numFmtId="0" fontId="8" fillId="0" borderId="30" xfId="0" applyFont="1" applyFill="1" applyBorder="1" applyAlignment="1">
      <alignment horizontal="center" vertical="top" wrapText="1"/>
    </xf>
    <xf numFmtId="0" fontId="8" fillId="0" borderId="41" xfId="0" applyFont="1" applyFill="1" applyBorder="1" applyAlignment="1">
      <alignment horizontal="center" vertical="top" wrapText="1"/>
    </xf>
    <xf numFmtId="0" fontId="10" fillId="0" borderId="85" xfId="0" applyFont="1" applyFill="1" applyBorder="1" applyAlignment="1">
      <alignment horizontal="center" vertical="center"/>
    </xf>
    <xf numFmtId="0" fontId="10" fillId="0" borderId="92" xfId="0" applyFont="1" applyFill="1" applyBorder="1" applyAlignment="1">
      <alignment horizontal="center" vertical="center"/>
    </xf>
    <xf numFmtId="0" fontId="10" fillId="0" borderId="12" xfId="0" applyFont="1" applyFill="1" applyBorder="1" applyAlignment="1">
      <alignment horizontal="center" vertical="center"/>
    </xf>
    <xf numFmtId="0" fontId="10" fillId="0" borderId="92" xfId="0" applyFont="1" applyFill="1" applyBorder="1" applyAlignment="1">
      <alignment horizontal="left" vertical="center"/>
    </xf>
    <xf numFmtId="0" fontId="10" fillId="0" borderId="19" xfId="0" applyFont="1" applyFill="1" applyBorder="1" applyAlignment="1">
      <alignment horizontal="left" vertical="center"/>
    </xf>
    <xf numFmtId="0" fontId="12" fillId="0" borderId="85" xfId="0" applyFont="1" applyFill="1" applyBorder="1" applyAlignment="1">
      <alignment horizontal="left" vertical="center" wrapText="1"/>
    </xf>
    <xf numFmtId="0" fontId="12" fillId="0" borderId="92" xfId="0" applyFont="1" applyFill="1" applyBorder="1" applyAlignment="1">
      <alignment horizontal="left" vertical="center" wrapText="1"/>
    </xf>
    <xf numFmtId="0" fontId="12" fillId="0" borderId="12" xfId="0" applyFont="1" applyFill="1" applyBorder="1" applyAlignment="1">
      <alignment horizontal="left" vertical="top" wrapText="1"/>
    </xf>
    <xf numFmtId="0" fontId="12" fillId="0" borderId="103" xfId="0" applyFont="1" applyFill="1" applyBorder="1" applyAlignment="1">
      <alignment horizontal="left" vertical="center" wrapText="1"/>
    </xf>
    <xf numFmtId="0" fontId="12" fillId="0" borderId="89" xfId="0" applyFont="1" applyFill="1" applyBorder="1" applyAlignment="1">
      <alignment horizontal="left" vertical="center" wrapText="1"/>
    </xf>
    <xf numFmtId="0" fontId="12" fillId="0" borderId="85" xfId="0" applyFont="1" applyFill="1" applyBorder="1" applyAlignment="1">
      <alignment horizontal="left" vertical="center"/>
    </xf>
    <xf numFmtId="0" fontId="12" fillId="0" borderId="92" xfId="0" applyFont="1" applyFill="1" applyBorder="1" applyAlignment="1">
      <alignment horizontal="left" vertical="center"/>
    </xf>
    <xf numFmtId="0" fontId="10" fillId="0" borderId="94" xfId="0" applyFont="1" applyFill="1" applyBorder="1" applyAlignment="1">
      <alignment horizontal="center"/>
    </xf>
    <xf numFmtId="0" fontId="8" fillId="0" borderId="91" xfId="0" applyFont="1" applyFill="1" applyBorder="1" applyAlignment="1">
      <alignment horizontal="left" vertical="center"/>
    </xf>
    <xf numFmtId="0" fontId="12" fillId="0" borderId="12" xfId="0" applyFont="1" applyFill="1" applyBorder="1" applyAlignment="1">
      <alignment vertical="center" wrapText="1"/>
    </xf>
    <xf numFmtId="0" fontId="12" fillId="0" borderId="103" xfId="0" applyFont="1" applyFill="1" applyBorder="1" applyAlignment="1">
      <alignment vertical="center" wrapText="1"/>
    </xf>
    <xf numFmtId="0" fontId="12" fillId="0" borderId="89" xfId="0" applyFont="1" applyFill="1" applyBorder="1" applyAlignment="1">
      <alignment vertical="center" wrapText="1"/>
    </xf>
    <xf numFmtId="166" fontId="8" fillId="0" borderId="91" xfId="0" applyNumberFormat="1" applyFont="1" applyFill="1" applyBorder="1" applyAlignment="1">
      <alignment horizontal="center" vertical="center" wrapText="1"/>
    </xf>
    <xf numFmtId="0" fontId="8" fillId="0" borderId="105" xfId="0" applyFont="1" applyFill="1" applyBorder="1" applyAlignment="1">
      <alignment horizontal="left" wrapText="1"/>
    </xf>
    <xf numFmtId="0" fontId="8" fillId="0" borderId="96" xfId="0" applyFont="1" applyFill="1" applyBorder="1" applyAlignment="1">
      <alignment horizontal="left" wrapText="1"/>
    </xf>
    <xf numFmtId="0" fontId="10" fillId="0" borderId="8" xfId="0" applyFont="1" applyFill="1" applyBorder="1" applyAlignment="1">
      <alignment vertical="center" wrapText="1"/>
    </xf>
    <xf numFmtId="0" fontId="8" fillId="0" borderId="7" xfId="0" applyFont="1" applyFill="1" applyBorder="1" applyAlignment="1">
      <alignment horizontal="left" vertical="top" wrapText="1"/>
    </xf>
    <xf numFmtId="0" fontId="8" fillId="0" borderId="91" xfId="0" applyFont="1" applyFill="1" applyBorder="1" applyAlignment="1">
      <alignment horizontal="left" vertical="top" wrapText="1"/>
    </xf>
    <xf numFmtId="0" fontId="8" fillId="0" borderId="7" xfId="0" applyFont="1" applyFill="1" applyBorder="1" applyAlignment="1">
      <alignment horizontal="left" wrapText="1"/>
    </xf>
    <xf numFmtId="0" fontId="10" fillId="0" borderId="38" xfId="0" applyFont="1" applyFill="1" applyBorder="1" applyAlignment="1">
      <alignment horizontal="left" vertical="center"/>
    </xf>
    <xf numFmtId="0" fontId="8" fillId="0" borderId="16" xfId="0" applyFont="1" applyFill="1" applyBorder="1" applyAlignment="1">
      <alignment horizontal="left" vertical="top" wrapText="1"/>
    </xf>
    <xf numFmtId="0" fontId="8" fillId="0" borderId="49" xfId="0" applyFont="1" applyFill="1" applyBorder="1" applyAlignment="1">
      <alignment horizontal="left" vertical="top" wrapText="1"/>
    </xf>
    <xf numFmtId="166" fontId="8" fillId="0" borderId="97" xfId="0" applyNumberFormat="1" applyFont="1" applyFill="1" applyBorder="1" applyAlignment="1">
      <alignment horizontal="center" wrapText="1"/>
    </xf>
    <xf numFmtId="0" fontId="8" fillId="0" borderId="16" xfId="0" applyFont="1" applyFill="1" applyBorder="1" applyAlignment="1">
      <alignment horizontal="center" vertical="center" wrapText="1"/>
    </xf>
    <xf numFmtId="0" fontId="8" fillId="0" borderId="98" xfId="0" applyFont="1" applyFill="1" applyBorder="1" applyAlignment="1">
      <alignment horizontal="center" vertical="center" wrapText="1"/>
    </xf>
    <xf numFmtId="0" fontId="8" fillId="0" borderId="99" xfId="0" applyFont="1" applyFill="1" applyBorder="1" applyAlignment="1">
      <alignment horizontal="center" vertical="center" wrapText="1"/>
    </xf>
    <xf numFmtId="0" fontId="14" fillId="0" borderId="91" xfId="0" applyFont="1" applyFill="1" applyBorder="1" applyAlignment="1">
      <alignment horizontal="left" wrapText="1"/>
    </xf>
    <xf numFmtId="44" fontId="8" fillId="0" borderId="92" xfId="2" applyFont="1" applyFill="1" applyBorder="1" applyAlignment="1">
      <alignment horizontal="center" vertical="center" wrapText="1"/>
    </xf>
    <xf numFmtId="166" fontId="8" fillId="0" borderId="91" xfId="0" applyNumberFormat="1" applyFont="1" applyFill="1" applyBorder="1" applyAlignment="1">
      <alignment horizontal="center" wrapText="1"/>
    </xf>
    <xf numFmtId="0" fontId="10" fillId="0" borderId="97" xfId="0" applyFont="1" applyFill="1" applyBorder="1" applyAlignment="1">
      <alignment horizontal="center" vertical="center" wrapText="1"/>
    </xf>
    <xf numFmtId="0" fontId="14" fillId="0" borderId="97" xfId="0" applyFont="1" applyFill="1" applyBorder="1" applyAlignment="1">
      <alignment horizontal="left" vertical="top" wrapText="1"/>
    </xf>
    <xf numFmtId="0" fontId="8" fillId="0" borderId="85" xfId="0" applyFont="1" applyFill="1" applyBorder="1" applyAlignment="1">
      <alignment horizontal="center"/>
    </xf>
    <xf numFmtId="44" fontId="8" fillId="0" borderId="91" xfId="0" applyNumberFormat="1" applyFont="1" applyFill="1" applyBorder="1" applyAlignment="1">
      <alignment horizontal="center" wrapText="1"/>
    </xf>
    <xf numFmtId="172" fontId="8" fillId="0" borderId="92" xfId="0" applyNumberFormat="1" applyFont="1" applyFill="1" applyBorder="1" applyAlignment="1">
      <alignment horizontal="center" wrapText="1"/>
    </xf>
    <xf numFmtId="0" fontId="8" fillId="0" borderId="26" xfId="0" applyFont="1" applyFill="1" applyBorder="1" applyAlignment="1">
      <alignment wrapText="1"/>
    </xf>
    <xf numFmtId="0" fontId="8" fillId="0" borderId="53" xfId="0" applyFont="1" applyFill="1" applyBorder="1" applyAlignment="1">
      <alignment wrapText="1"/>
    </xf>
    <xf numFmtId="0" fontId="8" fillId="0" borderId="16" xfId="0" applyFont="1" applyFill="1" applyBorder="1" applyAlignment="1">
      <alignment horizontal="left" vertical="center"/>
    </xf>
    <xf numFmtId="0" fontId="8" fillId="0" borderId="49" xfId="0" applyFont="1" applyFill="1" applyBorder="1" applyAlignment="1">
      <alignment horizontal="left" vertical="center"/>
    </xf>
    <xf numFmtId="0" fontId="8" fillId="0" borderId="19" xfId="0" applyFont="1" applyFill="1" applyBorder="1" applyAlignment="1">
      <alignment wrapText="1"/>
    </xf>
    <xf numFmtId="0" fontId="10" fillId="0" borderId="94" xfId="0" applyFont="1" applyFill="1" applyBorder="1" applyAlignment="1">
      <alignment wrapText="1"/>
    </xf>
    <xf numFmtId="0" fontId="12" fillId="0" borderId="7" xfId="0" applyFont="1" applyFill="1" applyBorder="1" applyAlignment="1">
      <alignment horizontal="left" vertical="top" wrapText="1"/>
    </xf>
    <xf numFmtId="0" fontId="12" fillId="0" borderId="91" xfId="0" applyFont="1" applyFill="1" applyBorder="1" applyAlignment="1">
      <alignment horizontal="left" vertical="top" wrapText="1"/>
    </xf>
    <xf numFmtId="0" fontId="12" fillId="0" borderId="85" xfId="0" applyFont="1" applyFill="1" applyBorder="1" applyAlignment="1">
      <alignment vertical="top" wrapText="1"/>
    </xf>
    <xf numFmtId="0" fontId="12" fillId="0" borderId="92" xfId="0" applyFont="1" applyFill="1" applyBorder="1" applyAlignment="1">
      <alignment vertical="top" wrapText="1"/>
    </xf>
    <xf numFmtId="0" fontId="10" fillId="0" borderId="91" xfId="0" applyFont="1" applyFill="1" applyBorder="1" applyAlignment="1">
      <alignment vertical="center" wrapText="1"/>
    </xf>
    <xf numFmtId="0" fontId="8" fillId="0" borderId="89" xfId="0" applyFont="1" applyFill="1" applyBorder="1" applyAlignment="1">
      <alignment horizontal="left"/>
    </xf>
    <xf numFmtId="0" fontId="10" fillId="0" borderId="92" xfId="0" applyFont="1" applyFill="1" applyBorder="1" applyAlignment="1">
      <alignment horizontal="right"/>
    </xf>
    <xf numFmtId="0" fontId="10" fillId="0" borderId="91" xfId="0" applyFont="1" applyFill="1" applyBorder="1" applyAlignment="1">
      <alignment horizontal="left"/>
    </xf>
    <xf numFmtId="0" fontId="8" fillId="0" borderId="92" xfId="0" applyFont="1" applyFill="1" applyBorder="1" applyAlignment="1">
      <alignment horizontal="right" wrapText="1"/>
    </xf>
    <xf numFmtId="165" fontId="8" fillId="0" borderId="92" xfId="1" applyNumberFormat="1" applyFont="1" applyFill="1" applyBorder="1" applyAlignment="1">
      <alignment horizontal="right" vertical="center" wrapText="1"/>
    </xf>
    <xf numFmtId="0" fontId="8" fillId="0" borderId="89" xfId="0" applyFont="1" applyFill="1" applyBorder="1" applyAlignment="1">
      <alignment horizontal="center"/>
    </xf>
    <xf numFmtId="0" fontId="8" fillId="0" borderId="93" xfId="0" applyFont="1" applyFill="1" applyBorder="1" applyAlignment="1">
      <alignment horizontal="center"/>
    </xf>
    <xf numFmtId="0" fontId="8" fillId="0" borderId="90" xfId="0" applyFont="1" applyFill="1" applyBorder="1" applyAlignment="1">
      <alignment horizontal="center"/>
    </xf>
    <xf numFmtId="0" fontId="8" fillId="0" borderId="21" xfId="0" applyFont="1" applyFill="1" applyBorder="1" applyAlignment="1">
      <alignment horizontal="left" vertical="top" wrapText="1"/>
    </xf>
    <xf numFmtId="0" fontId="8" fillId="0" borderId="94" xfId="0" applyFont="1" applyFill="1" applyBorder="1" applyAlignment="1">
      <alignment horizontal="center"/>
    </xf>
    <xf numFmtId="0" fontId="8" fillId="0" borderId="97" xfId="0" applyFont="1" applyFill="1" applyBorder="1" applyAlignment="1">
      <alignment horizontal="right" wrapText="1"/>
    </xf>
    <xf numFmtId="0" fontId="8" fillId="0" borderId="21" xfId="0" applyFont="1" applyFill="1" applyBorder="1" applyAlignment="1">
      <alignment horizontal="right" wrapText="1"/>
    </xf>
    <xf numFmtId="0" fontId="8" fillId="0" borderId="110" xfId="0" applyFont="1" applyFill="1" applyBorder="1" applyAlignment="1">
      <alignment horizontal="right" wrapText="1"/>
    </xf>
    <xf numFmtId="0" fontId="10" fillId="0" borderId="2" xfId="0" applyFont="1" applyFill="1" applyBorder="1" applyAlignment="1">
      <alignment horizontal="center" vertical="top" wrapText="1"/>
    </xf>
    <xf numFmtId="0" fontId="10" fillId="0" borderId="3" xfId="0" applyFont="1" applyFill="1" applyBorder="1" applyAlignment="1">
      <alignment horizontal="center" vertical="top" wrapText="1"/>
    </xf>
    <xf numFmtId="0" fontId="8" fillId="0" borderId="101" xfId="0" applyFont="1" applyFill="1" applyBorder="1" applyAlignment="1">
      <alignment horizontal="left" vertical="center" wrapText="1"/>
    </xf>
    <xf numFmtId="0" fontId="8" fillId="0" borderId="21" xfId="0" applyFont="1" applyFill="1" applyBorder="1" applyAlignment="1">
      <alignment horizontal="left" vertical="center" wrapText="1"/>
    </xf>
    <xf numFmtId="0" fontId="8" fillId="0" borderId="110" xfId="0" applyFont="1" applyFill="1" applyBorder="1" applyAlignment="1">
      <alignment horizontal="left" vertical="center" wrapText="1"/>
    </xf>
    <xf numFmtId="0" fontId="8" fillId="0" borderId="94" xfId="0" applyFont="1" applyFill="1" applyBorder="1" applyAlignment="1">
      <alignment horizontal="right" wrapText="1"/>
    </xf>
    <xf numFmtId="0" fontId="8" fillId="0" borderId="95" xfId="0" applyFont="1" applyFill="1" applyBorder="1" applyAlignment="1">
      <alignment horizontal="right" wrapText="1"/>
    </xf>
    <xf numFmtId="0" fontId="10" fillId="0" borderId="35" xfId="0" applyFont="1" applyFill="1" applyBorder="1" applyAlignment="1">
      <alignment vertical="center"/>
    </xf>
    <xf numFmtId="0" fontId="10" fillId="0" borderId="38" xfId="0" applyFont="1" applyFill="1" applyBorder="1" applyAlignment="1">
      <alignment horizontal="left" wrapText="1"/>
    </xf>
    <xf numFmtId="0" fontId="10" fillId="0" borderId="2" xfId="0" applyFont="1" applyFill="1" applyBorder="1" applyAlignment="1">
      <alignment horizontal="left" wrapText="1"/>
    </xf>
    <xf numFmtId="0" fontId="10" fillId="0" borderId="35" xfId="0" applyFont="1" applyFill="1" applyBorder="1" applyAlignment="1">
      <alignment horizontal="left" wrapText="1"/>
    </xf>
    <xf numFmtId="0" fontId="10" fillId="0" borderId="38" xfId="0" applyFont="1" applyFill="1" applyBorder="1" applyAlignment="1">
      <alignment horizontal="center" wrapText="1"/>
    </xf>
    <xf numFmtId="0" fontId="10" fillId="0" borderId="35" xfId="0" applyFont="1" applyFill="1" applyBorder="1" applyAlignment="1">
      <alignment horizontal="center" wrapText="1"/>
    </xf>
    <xf numFmtId="0" fontId="10" fillId="0" borderId="38" xfId="0" applyFont="1" applyFill="1" applyBorder="1" applyAlignment="1">
      <alignment horizontal="center"/>
    </xf>
    <xf numFmtId="0" fontId="10" fillId="0" borderId="3" xfId="0" applyFont="1" applyFill="1" applyBorder="1" applyAlignment="1">
      <alignment horizontal="center"/>
    </xf>
    <xf numFmtId="0" fontId="10" fillId="0" borderId="24" xfId="0" applyFont="1" applyFill="1" applyBorder="1" applyAlignment="1">
      <alignment horizontal="left" vertical="center" wrapText="1"/>
    </xf>
    <xf numFmtId="165" fontId="8" fillId="0" borderId="95" xfId="1" applyNumberFormat="1" applyFont="1" applyFill="1" applyBorder="1" applyAlignment="1">
      <alignment horizontal="right" vertical="center" wrapText="1"/>
    </xf>
    <xf numFmtId="0" fontId="14" fillId="0" borderId="92" xfId="0" applyFont="1" applyFill="1" applyBorder="1" applyAlignment="1">
      <alignment horizontal="left"/>
    </xf>
    <xf numFmtId="0" fontId="14" fillId="0" borderId="94" xfId="0" applyFont="1" applyFill="1" applyBorder="1" applyAlignment="1">
      <alignment horizontal="left"/>
    </xf>
    <xf numFmtId="0" fontId="14" fillId="0" borderId="95" xfId="0" applyFont="1" applyFill="1" applyBorder="1" applyAlignment="1">
      <alignment horizontal="left"/>
    </xf>
    <xf numFmtId="0" fontId="8" fillId="0" borderId="21" xfId="0" applyFont="1" applyFill="1" applyBorder="1" applyAlignment="1">
      <alignment horizontal="left"/>
    </xf>
    <xf numFmtId="0" fontId="8" fillId="0" borderId="110" xfId="0" applyFont="1" applyFill="1" applyBorder="1" applyAlignment="1">
      <alignment horizontal="left"/>
    </xf>
    <xf numFmtId="44" fontId="8" fillId="0" borderId="92" xfId="0" applyNumberFormat="1" applyFont="1" applyFill="1" applyBorder="1" applyAlignment="1">
      <alignment horizontal="left" wrapText="1"/>
    </xf>
    <xf numFmtId="44" fontId="8" fillId="0" borderId="94" xfId="0" applyNumberFormat="1" applyFont="1" applyFill="1" applyBorder="1" applyAlignment="1">
      <alignment horizontal="left" wrapText="1"/>
    </xf>
    <xf numFmtId="44" fontId="8" fillId="0" borderId="95" xfId="0" applyNumberFormat="1" applyFont="1" applyFill="1" applyBorder="1" applyAlignment="1">
      <alignment horizontal="left" wrapText="1"/>
    </xf>
    <xf numFmtId="0" fontId="10" fillId="0" borderId="35" xfId="0" applyFont="1" applyFill="1" applyBorder="1" applyAlignment="1">
      <alignment vertical="center" wrapText="1"/>
    </xf>
    <xf numFmtId="0" fontId="10" fillId="0" borderId="94" xfId="0" applyFont="1" applyFill="1" applyBorder="1" applyAlignment="1">
      <alignment horizontal="left" wrapText="1"/>
    </xf>
    <xf numFmtId="0" fontId="10" fillId="0" borderId="95" xfId="0" applyFont="1" applyFill="1" applyBorder="1" applyAlignment="1">
      <alignment horizontal="left" wrapText="1"/>
    </xf>
    <xf numFmtId="0" fontId="8" fillId="0" borderId="101" xfId="0" applyFont="1" applyFill="1" applyBorder="1" applyAlignment="1">
      <alignment horizontal="center"/>
    </xf>
    <xf numFmtId="0" fontId="8" fillId="0" borderId="102" xfId="0" applyFont="1" applyFill="1" applyBorder="1" applyAlignment="1">
      <alignment horizontal="center"/>
    </xf>
    <xf numFmtId="0" fontId="10" fillId="0" borderId="52" xfId="0" applyFont="1" applyFill="1" applyBorder="1" applyAlignment="1">
      <alignment horizontal="center" vertical="center" wrapText="1"/>
    </xf>
    <xf numFmtId="0" fontId="10" fillId="0" borderId="87" xfId="0" applyFont="1" applyFill="1" applyBorder="1" applyAlignment="1">
      <alignment horizontal="center" vertical="center" wrapText="1"/>
    </xf>
    <xf numFmtId="0" fontId="8" fillId="0" borderId="17" xfId="0" applyFont="1" applyFill="1" applyBorder="1" applyAlignment="1">
      <alignment horizontal="left"/>
    </xf>
    <xf numFmtId="0" fontId="8" fillId="0" borderId="18" xfId="0" applyFont="1" applyFill="1" applyBorder="1" applyAlignment="1">
      <alignment horizontal="left"/>
    </xf>
    <xf numFmtId="0" fontId="8" fillId="0" borderId="94" xfId="0" applyFont="1" applyFill="1" applyBorder="1" applyAlignment="1">
      <alignment horizontal="left" vertical="top"/>
    </xf>
    <xf numFmtId="0" fontId="8" fillId="0" borderId="100" xfId="0" applyFont="1" applyFill="1" applyBorder="1" applyAlignment="1">
      <alignment horizontal="left" vertical="top"/>
    </xf>
    <xf numFmtId="0" fontId="10" fillId="0" borderId="95" xfId="0" applyFont="1" applyFill="1" applyBorder="1" applyAlignment="1">
      <alignment horizontal="left" vertical="center"/>
    </xf>
    <xf numFmtId="0" fontId="69" fillId="0" borderId="92" xfId="0" applyNumberFormat="1" applyFont="1" applyFill="1" applyBorder="1" applyAlignment="1" applyProtection="1">
      <alignment horizontal="left" vertical="center"/>
    </xf>
    <xf numFmtId="0" fontId="69" fillId="0" borderId="95" xfId="0" applyNumberFormat="1" applyFont="1" applyFill="1" applyBorder="1" applyAlignment="1" applyProtection="1">
      <alignment horizontal="left" vertical="center"/>
    </xf>
    <xf numFmtId="0" fontId="69" fillId="0" borderId="92" xfId="0" applyNumberFormat="1" applyFont="1" applyFill="1" applyBorder="1" applyAlignment="1" applyProtection="1">
      <alignment horizontal="left"/>
    </xf>
    <xf numFmtId="0" fontId="69" fillId="0" borderId="94" xfId="0" applyNumberFormat="1" applyFont="1" applyFill="1" applyBorder="1" applyAlignment="1" applyProtection="1">
      <alignment horizontal="left"/>
    </xf>
    <xf numFmtId="0" fontId="69" fillId="0" borderId="95" xfId="0" applyNumberFormat="1" applyFont="1" applyFill="1" applyBorder="1" applyAlignment="1" applyProtection="1">
      <alignment horizontal="left"/>
    </xf>
    <xf numFmtId="0" fontId="69" fillId="0" borderId="19" xfId="0" applyNumberFormat="1" applyFont="1" applyFill="1" applyBorder="1" applyAlignment="1" applyProtection="1">
      <alignment horizontal="center"/>
    </xf>
    <xf numFmtId="0" fontId="69" fillId="0" borderId="20" xfId="0" applyNumberFormat="1" applyFont="1" applyFill="1" applyBorder="1" applyAlignment="1" applyProtection="1">
      <alignment horizontal="center"/>
    </xf>
    <xf numFmtId="0" fontId="12" fillId="0" borderId="92" xfId="0" applyNumberFormat="1" applyFont="1" applyFill="1" applyBorder="1" applyAlignment="1" applyProtection="1">
      <alignment horizontal="left"/>
    </xf>
    <xf numFmtId="0" fontId="12" fillId="0" borderId="94" xfId="0" applyNumberFormat="1" applyFont="1" applyFill="1" applyBorder="1" applyAlignment="1" applyProtection="1">
      <alignment horizontal="left"/>
    </xf>
    <xf numFmtId="0" fontId="12" fillId="0" borderId="95" xfId="0" applyNumberFormat="1" applyFont="1" applyFill="1" applyBorder="1" applyAlignment="1" applyProtection="1">
      <alignment horizontal="left"/>
    </xf>
    <xf numFmtId="0" fontId="12" fillId="0" borderId="92" xfId="0" applyFont="1" applyFill="1" applyBorder="1" applyAlignment="1">
      <alignment horizontal="left" wrapText="1"/>
    </xf>
    <xf numFmtId="0" fontId="12" fillId="0" borderId="94" xfId="0" applyFont="1" applyFill="1" applyBorder="1" applyAlignment="1">
      <alignment horizontal="left" wrapText="1"/>
    </xf>
    <xf numFmtId="0" fontId="12" fillId="0" borderId="95" xfId="0" applyFont="1" applyFill="1" applyBorder="1" applyAlignment="1">
      <alignment horizontal="left" wrapText="1"/>
    </xf>
    <xf numFmtId="0" fontId="69" fillId="0" borderId="92" xfId="0" applyNumberFormat="1" applyFont="1" applyFill="1" applyBorder="1" applyAlignment="1" applyProtection="1">
      <alignment horizontal="left" vertical="center" wrapText="1"/>
    </xf>
    <xf numFmtId="0" fontId="69" fillId="0" borderId="95" xfId="0" applyNumberFormat="1" applyFont="1" applyFill="1" applyBorder="1" applyAlignment="1" applyProtection="1">
      <alignment horizontal="left" vertical="center" wrapText="1"/>
    </xf>
    <xf numFmtId="166" fontId="8" fillId="0" borderId="97" xfId="0" applyNumberFormat="1" applyFont="1" applyFill="1" applyBorder="1" applyAlignment="1">
      <alignment horizontal="center" vertical="center" wrapText="1"/>
    </xf>
    <xf numFmtId="166" fontId="8" fillId="0" borderId="110" xfId="0" applyNumberFormat="1" applyFont="1" applyFill="1" applyBorder="1" applyAlignment="1">
      <alignment horizontal="center" vertical="center" wrapText="1"/>
    </xf>
    <xf numFmtId="0" fontId="8" fillId="0" borderId="97" xfId="0" applyFont="1" applyFill="1" applyBorder="1" applyAlignment="1">
      <alignment horizontal="left"/>
    </xf>
    <xf numFmtId="166" fontId="8" fillId="0" borderId="91" xfId="0" applyNumberFormat="1" applyFont="1" applyFill="1" applyBorder="1" applyAlignment="1">
      <alignment horizontal="center" vertical="center"/>
    </xf>
    <xf numFmtId="0" fontId="10" fillId="0" borderId="38" xfId="0" applyFont="1" applyFill="1" applyBorder="1" applyAlignment="1">
      <alignment horizontal="center" vertical="center" wrapText="1"/>
    </xf>
    <xf numFmtId="0" fontId="69" fillId="0" borderId="92" xfId="0" applyNumberFormat="1" applyFont="1" applyFill="1" applyBorder="1" applyAlignment="1" applyProtection="1">
      <alignment vertical="center"/>
    </xf>
    <xf numFmtId="0" fontId="69" fillId="0" borderId="95" xfId="0" applyNumberFormat="1" applyFont="1" applyFill="1" applyBorder="1" applyAlignment="1" applyProtection="1">
      <alignment vertical="center"/>
    </xf>
    <xf numFmtId="0" fontId="10" fillId="0" borderId="53" xfId="0" applyFont="1" applyFill="1" applyBorder="1" applyAlignment="1">
      <alignment horizontal="center"/>
    </xf>
    <xf numFmtId="0" fontId="10" fillId="0" borderId="27" xfId="0" applyFont="1" applyFill="1" applyBorder="1" applyAlignment="1">
      <alignment horizontal="center"/>
    </xf>
    <xf numFmtId="0" fontId="10" fillId="0" borderId="19" xfId="0" applyFont="1" applyFill="1" applyBorder="1" applyAlignment="1">
      <alignment horizontal="center" wrapText="1"/>
    </xf>
    <xf numFmtId="0" fontId="10" fillId="0" borderId="20" xfId="0" applyFont="1" applyFill="1" applyBorder="1" applyAlignment="1">
      <alignment horizontal="center" wrapText="1"/>
    </xf>
    <xf numFmtId="0" fontId="8" fillId="0" borderId="92" xfId="0" applyFont="1" applyFill="1" applyBorder="1" applyAlignment="1"/>
    <xf numFmtId="0" fontId="8" fillId="0" borderId="94" xfId="0" applyFont="1" applyFill="1" applyBorder="1" applyAlignment="1"/>
    <xf numFmtId="0" fontId="70" fillId="0" borderId="19" xfId="0" applyFont="1" applyFill="1" applyBorder="1" applyAlignment="1">
      <alignment horizontal="left"/>
    </xf>
    <xf numFmtId="0" fontId="10" fillId="0" borderId="1" xfId="0" applyFont="1" applyFill="1" applyBorder="1" applyAlignment="1">
      <alignment horizontal="left"/>
    </xf>
    <xf numFmtId="0" fontId="10" fillId="0" borderId="20" xfId="0" applyFont="1" applyFill="1" applyBorder="1" applyAlignment="1">
      <alignment horizontal="left"/>
    </xf>
    <xf numFmtId="0" fontId="8" fillId="0" borderId="110" xfId="0" applyFont="1" applyFill="1" applyBorder="1" applyAlignment="1">
      <alignment horizontal="left" wrapText="1"/>
    </xf>
    <xf numFmtId="0" fontId="8" fillId="0" borderId="103" xfId="0" applyFont="1" applyFill="1" applyBorder="1" applyAlignment="1">
      <alignment horizontal="left" wrapText="1"/>
    </xf>
    <xf numFmtId="0" fontId="8" fillId="0" borderId="92" xfId="0" quotePrefix="1" applyFont="1" applyFill="1" applyBorder="1" applyAlignment="1">
      <alignment horizontal="left"/>
    </xf>
    <xf numFmtId="0" fontId="8" fillId="0" borderId="95" xfId="0" applyFont="1" applyFill="1" applyBorder="1" applyAlignment="1">
      <alignment horizontal="left" vertical="top" wrapText="1"/>
    </xf>
    <xf numFmtId="166" fontId="8" fillId="0" borderId="94" xfId="0" applyNumberFormat="1" applyFont="1" applyFill="1" applyBorder="1" applyAlignment="1">
      <alignment horizontal="center" vertical="center" wrapText="1"/>
    </xf>
    <xf numFmtId="0" fontId="8" fillId="0" borderId="94" xfId="0" applyFont="1" applyFill="1" applyBorder="1" applyAlignment="1">
      <alignment wrapText="1"/>
    </xf>
    <xf numFmtId="0" fontId="8" fillId="0" borderId="95" xfId="0" applyFont="1" applyFill="1" applyBorder="1" applyAlignment="1">
      <alignment wrapText="1"/>
    </xf>
    <xf numFmtId="0" fontId="8" fillId="0" borderId="28" xfId="0" applyFont="1" applyFill="1" applyBorder="1" applyAlignment="1">
      <alignment horizontal="left" vertical="top" wrapText="1"/>
    </xf>
    <xf numFmtId="0" fontId="8" fillId="0" borderId="30" xfId="0" applyFont="1" applyFill="1" applyBorder="1" applyAlignment="1">
      <alignment horizontal="left" vertical="top" wrapText="1"/>
    </xf>
    <xf numFmtId="0" fontId="8" fillId="0" borderId="41" xfId="0" applyFont="1" applyFill="1" applyBorder="1" applyAlignment="1">
      <alignment horizontal="left" vertical="top" wrapText="1"/>
    </xf>
    <xf numFmtId="0" fontId="8" fillId="0" borderId="16" xfId="0" applyFont="1" applyFill="1" applyBorder="1" applyAlignment="1">
      <alignment horizontal="left" wrapText="1"/>
    </xf>
    <xf numFmtId="0" fontId="8" fillId="0" borderId="17" xfId="0" applyFont="1" applyFill="1" applyBorder="1" applyAlignment="1">
      <alignment horizontal="left" wrapText="1"/>
    </xf>
    <xf numFmtId="0" fontId="8" fillId="0" borderId="18" xfId="0" applyFont="1" applyFill="1" applyBorder="1" applyAlignment="1">
      <alignment horizontal="left" wrapText="1"/>
    </xf>
    <xf numFmtId="0" fontId="8" fillId="0" borderId="26" xfId="0" applyFont="1" applyFill="1" applyBorder="1" applyAlignment="1">
      <alignment horizontal="left" vertical="top" wrapText="1"/>
    </xf>
    <xf numFmtId="0" fontId="8" fillId="0" borderId="0" xfId="0" applyFont="1" applyFill="1" applyBorder="1" applyAlignment="1">
      <alignment horizontal="left" vertical="top" wrapText="1"/>
    </xf>
    <xf numFmtId="0" fontId="8" fillId="0" borderId="34" xfId="0" applyFont="1" applyFill="1" applyBorder="1" applyAlignment="1">
      <alignment horizontal="left" wrapText="1"/>
    </xf>
    <xf numFmtId="0" fontId="8" fillId="0" borderId="30" xfId="0" applyFont="1" applyFill="1" applyBorder="1" applyAlignment="1">
      <alignment horizontal="left" wrapText="1"/>
    </xf>
    <xf numFmtId="0" fontId="8" fillId="0" borderId="29" xfId="0" applyFont="1" applyFill="1" applyBorder="1" applyAlignment="1">
      <alignment horizontal="left" wrapText="1"/>
    </xf>
    <xf numFmtId="0" fontId="8" fillId="0" borderId="85" xfId="0" applyFont="1" applyFill="1" applyBorder="1" applyAlignment="1">
      <alignment horizontal="center" vertical="center" wrapText="1"/>
    </xf>
    <xf numFmtId="0" fontId="8" fillId="0" borderId="90" xfId="0" applyFont="1" applyFill="1" applyBorder="1" applyAlignment="1">
      <alignment horizontal="left"/>
    </xf>
    <xf numFmtId="0" fontId="70" fillId="0" borderId="92" xfId="0" applyFont="1" applyFill="1" applyBorder="1" applyAlignment="1"/>
    <xf numFmtId="0" fontId="70" fillId="0" borderId="94" xfId="0" applyFont="1" applyFill="1" applyBorder="1" applyAlignment="1"/>
    <xf numFmtId="0" fontId="70" fillId="0" borderId="95" xfId="0" applyFont="1" applyFill="1" applyBorder="1" applyAlignment="1"/>
    <xf numFmtId="164" fontId="8" fillId="0" borderId="26" xfId="0" applyNumberFormat="1" applyFont="1" applyFill="1" applyBorder="1" applyAlignment="1">
      <alignment horizontal="center" wrapText="1"/>
    </xf>
    <xf numFmtId="0" fontId="10" fillId="0" borderId="95" xfId="0" applyFont="1" applyFill="1" applyBorder="1" applyAlignment="1">
      <alignment horizontal="right"/>
    </xf>
    <xf numFmtId="165" fontId="10" fillId="0" borderId="92" xfId="0" applyNumberFormat="1" applyFont="1" applyFill="1" applyBorder="1" applyAlignment="1">
      <alignment horizontal="right"/>
    </xf>
    <xf numFmtId="165" fontId="10" fillId="0" borderId="94" xfId="0" applyNumberFormat="1" applyFont="1" applyFill="1" applyBorder="1" applyAlignment="1">
      <alignment horizontal="right"/>
    </xf>
    <xf numFmtId="165" fontId="10" fillId="0" borderId="95" xfId="0" applyNumberFormat="1" applyFont="1" applyFill="1" applyBorder="1" applyAlignment="1">
      <alignment horizontal="right"/>
    </xf>
    <xf numFmtId="0" fontId="10" fillId="0" borderId="38" xfId="0" applyFont="1" applyFill="1" applyBorder="1" applyAlignment="1">
      <alignment horizontal="left" vertical="center" wrapText="1"/>
    </xf>
    <xf numFmtId="0" fontId="10" fillId="0" borderId="98" xfId="0" applyFont="1" applyFill="1" applyBorder="1" applyAlignment="1">
      <alignment horizontal="center"/>
    </xf>
    <xf numFmtId="0" fontId="10" fillId="0" borderId="99" xfId="0" applyFont="1" applyFill="1" applyBorder="1" applyAlignment="1">
      <alignment horizontal="center"/>
    </xf>
    <xf numFmtId="0" fontId="8" fillId="0" borderId="93" xfId="0" applyFont="1" applyFill="1" applyBorder="1" applyAlignment="1">
      <alignment horizontal="center" wrapText="1"/>
    </xf>
    <xf numFmtId="0" fontId="8" fillId="0" borderId="46" xfId="0" applyFont="1" applyFill="1" applyBorder="1" applyAlignment="1">
      <alignment horizontal="center" wrapText="1"/>
    </xf>
    <xf numFmtId="0" fontId="8" fillId="0" borderId="101" xfId="0" applyFont="1" applyFill="1" applyBorder="1" applyAlignment="1">
      <alignment horizontal="center" vertical="center" wrapText="1"/>
    </xf>
    <xf numFmtId="0" fontId="8" fillId="0" borderId="97" xfId="0" applyFont="1" applyFill="1" applyBorder="1" applyAlignment="1">
      <alignment horizontal="center" vertical="center" wrapText="1"/>
    </xf>
    <xf numFmtId="0" fontId="8" fillId="0" borderId="106" xfId="0" applyFont="1" applyFill="1" applyBorder="1" applyAlignment="1">
      <alignment horizontal="center" vertical="center" wrapText="1"/>
    </xf>
    <xf numFmtId="0" fontId="10" fillId="0" borderId="97" xfId="0" applyFont="1" applyFill="1" applyBorder="1" applyAlignment="1">
      <alignment horizontal="center"/>
    </xf>
    <xf numFmtId="0" fontId="10" fillId="0" borderId="110" xfId="0" applyFont="1" applyFill="1" applyBorder="1" applyAlignment="1">
      <alignment horizontal="center"/>
    </xf>
    <xf numFmtId="0" fontId="10" fillId="0" borderId="100" xfId="0" applyFont="1" applyFill="1" applyBorder="1" applyAlignment="1">
      <alignment horizontal="center" vertical="center"/>
    </xf>
    <xf numFmtId="0" fontId="8" fillId="0" borderId="5" xfId="0" applyFont="1" applyFill="1" applyBorder="1" applyAlignment="1">
      <alignment horizontal="left" wrapText="1"/>
    </xf>
    <xf numFmtId="165" fontId="4" fillId="0" borderId="38" xfId="1" applyNumberFormat="1" applyFont="1" applyFill="1" applyBorder="1" applyAlignment="1">
      <alignment horizontal="center" wrapText="1"/>
    </xf>
    <xf numFmtId="165" fontId="4" fillId="0" borderId="25" xfId="1" applyNumberFormat="1" applyFont="1" applyFill="1" applyBorder="1" applyAlignment="1">
      <alignment horizontal="center" wrapText="1"/>
    </xf>
    <xf numFmtId="166" fontId="8" fillId="0" borderId="19" xfId="0" applyNumberFormat="1" applyFont="1" applyFill="1" applyBorder="1" applyAlignment="1">
      <alignment horizontal="center" wrapText="1"/>
    </xf>
    <xf numFmtId="166" fontId="8" fillId="0" borderId="94" xfId="0" applyNumberFormat="1" applyFont="1" applyFill="1" applyBorder="1" applyAlignment="1">
      <alignment horizontal="center" wrapText="1"/>
    </xf>
    <xf numFmtId="0" fontId="8" fillId="0" borderId="28" xfId="0" applyFont="1" applyFill="1" applyBorder="1" applyAlignment="1">
      <alignment horizontal="left" wrapText="1"/>
    </xf>
    <xf numFmtId="0" fontId="8" fillId="0" borderId="93" xfId="0" applyFont="1" applyFill="1" applyBorder="1" applyAlignment="1">
      <alignment horizontal="center" vertical="center" wrapText="1"/>
    </xf>
    <xf numFmtId="0" fontId="8" fillId="0" borderId="90" xfId="0" applyFont="1" applyFill="1" applyBorder="1" applyAlignment="1">
      <alignment horizontal="center" vertical="center" wrapText="1"/>
    </xf>
    <xf numFmtId="0" fontId="10" fillId="0" borderId="107" xfId="0" applyFont="1" applyFill="1" applyBorder="1" applyAlignment="1">
      <alignment horizontal="center"/>
    </xf>
    <xf numFmtId="0" fontId="8" fillId="0" borderId="26" xfId="0" applyFont="1" applyFill="1" applyBorder="1" applyAlignment="1">
      <alignment horizontal="center"/>
    </xf>
    <xf numFmtId="0" fontId="8" fillId="0" borderId="0" xfId="0" applyFont="1" applyFill="1" applyBorder="1" applyAlignment="1">
      <alignment horizontal="center"/>
    </xf>
    <xf numFmtId="0" fontId="8" fillId="0" borderId="108" xfId="0" applyFont="1" applyFill="1" applyBorder="1" applyAlignment="1">
      <alignment horizontal="center"/>
    </xf>
    <xf numFmtId="0" fontId="8" fillId="0" borderId="88" xfId="0" applyFont="1" applyFill="1" applyBorder="1" applyAlignment="1">
      <alignment horizontal="center"/>
    </xf>
    <xf numFmtId="0" fontId="8" fillId="0" borderId="107" xfId="0" applyFont="1" applyFill="1" applyBorder="1" applyAlignment="1">
      <alignment horizontal="center"/>
    </xf>
    <xf numFmtId="0" fontId="8" fillId="0" borderId="16" xfId="0" applyFont="1" applyFill="1" applyBorder="1" applyAlignment="1">
      <alignment horizontal="center" vertical="center"/>
    </xf>
    <xf numFmtId="0" fontId="8" fillId="0" borderId="17" xfId="0" applyFont="1" applyFill="1" applyBorder="1" applyAlignment="1">
      <alignment horizontal="center" vertical="center"/>
    </xf>
    <xf numFmtId="0" fontId="8" fillId="0" borderId="18" xfId="0" applyFont="1" applyFill="1" applyBorder="1" applyAlignment="1">
      <alignment horizontal="center" vertical="center"/>
    </xf>
    <xf numFmtId="165" fontId="8" fillId="0" borderId="92" xfId="1" applyNumberFormat="1" applyFont="1" applyFill="1" applyBorder="1" applyAlignment="1">
      <alignment horizontal="center" vertical="center"/>
    </xf>
    <xf numFmtId="165" fontId="8" fillId="0" borderId="95" xfId="1" applyNumberFormat="1" applyFont="1" applyFill="1" applyBorder="1" applyAlignment="1">
      <alignment horizontal="center" vertical="center"/>
    </xf>
    <xf numFmtId="0" fontId="8" fillId="0" borderId="89" xfId="0" applyFont="1" applyFill="1" applyBorder="1" applyAlignment="1">
      <alignment horizontal="left" vertical="center"/>
    </xf>
    <xf numFmtId="0" fontId="8" fillId="0" borderId="90" xfId="0" applyFont="1" applyFill="1" applyBorder="1" applyAlignment="1">
      <alignment horizontal="left" vertical="center"/>
    </xf>
    <xf numFmtId="0" fontId="10" fillId="0" borderId="94" xfId="0" applyFont="1" applyFill="1" applyBorder="1" applyAlignment="1">
      <alignment horizontal="left" vertical="center"/>
    </xf>
    <xf numFmtId="0" fontId="10" fillId="0" borderId="19" xfId="0" applyFont="1" applyFill="1" applyBorder="1" applyAlignment="1">
      <alignment horizontal="center" vertical="center"/>
    </xf>
    <xf numFmtId="0" fontId="10" fillId="0" borderId="20" xfId="0" applyFont="1" applyFill="1" applyBorder="1" applyAlignment="1">
      <alignment horizontal="center" vertical="center"/>
    </xf>
    <xf numFmtId="0" fontId="8" fillId="0" borderId="103" xfId="0" applyFont="1" applyFill="1" applyBorder="1" applyAlignment="1">
      <alignment horizontal="center" vertical="center" wrapText="1"/>
    </xf>
    <xf numFmtId="0" fontId="8" fillId="0" borderId="103" xfId="0" applyFont="1" applyFill="1" applyBorder="1" applyAlignment="1">
      <alignment horizontal="left" vertical="center"/>
    </xf>
    <xf numFmtId="0" fontId="8" fillId="0" borderId="93" xfId="0" applyFont="1" applyFill="1" applyBorder="1" applyAlignment="1">
      <alignment horizontal="left" vertical="center"/>
    </xf>
    <xf numFmtId="0" fontId="10" fillId="0" borderId="78" xfId="0" applyFont="1" applyFill="1" applyBorder="1" applyAlignment="1">
      <alignment horizontal="center"/>
    </xf>
    <xf numFmtId="0" fontId="4" fillId="3" borderId="0" xfId="0" applyFont="1" applyFill="1" applyAlignment="1">
      <alignment horizontal="center" wrapText="1"/>
    </xf>
    <xf numFmtId="0" fontId="19" fillId="0" borderId="16" xfId="6" applyFont="1" applyBorder="1" applyAlignment="1">
      <alignment horizontal="left" vertical="center" wrapText="1"/>
    </xf>
    <xf numFmtId="0" fontId="19" fillId="0" borderId="17" xfId="6" applyFont="1" applyBorder="1" applyAlignment="1">
      <alignment horizontal="left" vertical="center" wrapText="1"/>
    </xf>
    <xf numFmtId="0" fontId="19" fillId="0" borderId="18" xfId="6" applyFont="1" applyBorder="1" applyAlignment="1">
      <alignment horizontal="left" vertical="center" wrapText="1"/>
    </xf>
    <xf numFmtId="0" fontId="19" fillId="0" borderId="16" xfId="6" applyFont="1" applyFill="1" applyBorder="1" applyAlignment="1">
      <alignment horizontal="left" vertical="center" wrapText="1"/>
    </xf>
    <xf numFmtId="0" fontId="19" fillId="0" borderId="17" xfId="6" applyFont="1" applyFill="1" applyBorder="1" applyAlignment="1">
      <alignment horizontal="left" vertical="center" wrapText="1"/>
    </xf>
    <xf numFmtId="0" fontId="19" fillId="0" borderId="18" xfId="6" applyFont="1" applyFill="1" applyBorder="1" applyAlignment="1">
      <alignment horizontal="left" vertical="center" wrapText="1"/>
    </xf>
    <xf numFmtId="0" fontId="10" fillId="0" borderId="39" xfId="0" applyFont="1" applyBorder="1" applyAlignment="1">
      <alignment horizontal="center" vertical="center"/>
    </xf>
    <xf numFmtId="0" fontId="10" fillId="0" borderId="2" xfId="0" applyFont="1" applyBorder="1" applyAlignment="1">
      <alignment horizontal="center" vertical="center"/>
    </xf>
    <xf numFmtId="0" fontId="10" fillId="0" borderId="3" xfId="0" applyFont="1" applyBorder="1" applyAlignment="1">
      <alignment horizontal="center" vertical="center"/>
    </xf>
    <xf numFmtId="0" fontId="8" fillId="0" borderId="7" xfId="0" applyFont="1" applyBorder="1" applyAlignment="1">
      <alignment horizontal="left" vertical="top" wrapText="1"/>
    </xf>
    <xf numFmtId="0" fontId="8" fillId="0" borderId="9" xfId="0" applyFont="1" applyBorder="1" applyAlignment="1">
      <alignment horizontal="left" vertical="top" wrapText="1"/>
    </xf>
    <xf numFmtId="0" fontId="8" fillId="0" borderId="12" xfId="0" applyFont="1" applyBorder="1" applyAlignment="1">
      <alignment horizontal="left" vertical="top" wrapText="1"/>
    </xf>
    <xf numFmtId="0" fontId="10" fillId="59" borderId="16" xfId="0" applyFont="1" applyFill="1" applyBorder="1" applyAlignment="1">
      <alignment horizontal="left"/>
    </xf>
    <xf numFmtId="0" fontId="10" fillId="59" borderId="17" xfId="0" applyFont="1" applyFill="1" applyBorder="1" applyAlignment="1">
      <alignment horizontal="left"/>
    </xf>
    <xf numFmtId="0" fontId="10" fillId="59" borderId="18" xfId="0" applyFont="1" applyFill="1" applyBorder="1" applyAlignment="1">
      <alignment horizontal="left"/>
    </xf>
    <xf numFmtId="0" fontId="19" fillId="0" borderId="16" xfId="6" applyFont="1" applyBorder="1" applyAlignment="1">
      <alignment horizontal="left" vertical="center"/>
    </xf>
    <xf numFmtId="0" fontId="19" fillId="0" borderId="17" xfId="6" applyFont="1" applyBorder="1" applyAlignment="1">
      <alignment horizontal="left" vertical="center"/>
    </xf>
    <xf numFmtId="0" fontId="19" fillId="0" borderId="18" xfId="6" applyFont="1" applyBorder="1" applyAlignment="1">
      <alignment horizontal="left" vertical="center"/>
    </xf>
    <xf numFmtId="0" fontId="8" fillId="0" borderId="0" xfId="0" applyFont="1" applyAlignment="1">
      <alignment horizontal="left" wrapText="1"/>
    </xf>
    <xf numFmtId="0" fontId="20" fillId="3" borderId="80" xfId="0" applyFont="1" applyFill="1" applyBorder="1" applyAlignment="1">
      <alignment horizontal="center" vertical="center" wrapText="1"/>
    </xf>
    <xf numFmtId="0" fontId="20" fillId="3" borderId="12" xfId="0" applyFont="1" applyFill="1" applyBorder="1" applyAlignment="1">
      <alignment horizontal="center" vertical="center" wrapText="1"/>
    </xf>
    <xf numFmtId="0" fontId="20" fillId="3" borderId="35" xfId="0" applyFont="1" applyFill="1" applyBorder="1" applyAlignment="1">
      <alignment horizontal="center"/>
    </xf>
    <xf numFmtId="0" fontId="20" fillId="3" borderId="24" xfId="0" applyFont="1" applyFill="1" applyBorder="1" applyAlignment="1">
      <alignment horizontal="center"/>
    </xf>
    <xf numFmtId="0" fontId="20" fillId="3" borderId="25" xfId="0" applyFont="1" applyFill="1" applyBorder="1" applyAlignment="1">
      <alignment horizontal="center"/>
    </xf>
    <xf numFmtId="0" fontId="20" fillId="3" borderId="39" xfId="0" applyFont="1" applyFill="1" applyBorder="1" applyAlignment="1">
      <alignment horizontal="center"/>
    </xf>
    <xf numFmtId="0" fontId="20" fillId="3" borderId="2" xfId="0" applyFont="1" applyFill="1" applyBorder="1" applyAlignment="1">
      <alignment horizontal="center"/>
    </xf>
    <xf numFmtId="0" fontId="20" fillId="3" borderId="36" xfId="0" applyFont="1" applyFill="1" applyBorder="1" applyAlignment="1">
      <alignment horizontal="center"/>
    </xf>
    <xf numFmtId="0" fontId="8" fillId="0" borderId="0" xfId="0" applyFont="1" applyAlignment="1">
      <alignment wrapText="1"/>
    </xf>
    <xf numFmtId="0" fontId="10" fillId="0" borderId="30" xfId="0" applyFont="1" applyBorder="1" applyAlignment="1">
      <alignment horizontal="center"/>
    </xf>
    <xf numFmtId="0" fontId="67" fillId="0" borderId="0" xfId="0" applyFont="1" applyBorder="1" applyAlignment="1">
      <alignment horizontal="left" vertical="center" wrapText="1"/>
    </xf>
    <xf numFmtId="0" fontId="8" fillId="0" borderId="9" xfId="0" applyFont="1" applyFill="1" applyBorder="1" applyAlignment="1">
      <alignment horizontal="left" vertical="top" wrapText="1"/>
    </xf>
    <xf numFmtId="0" fontId="0" fillId="0" borderId="9" xfId="0" applyBorder="1" applyAlignment="1">
      <alignment horizontal="left" vertical="top" wrapText="1"/>
    </xf>
    <xf numFmtId="0" fontId="0" fillId="0" borderId="9" xfId="0" applyBorder="1" applyAlignment="1">
      <alignment horizontal="left" vertical="top"/>
    </xf>
    <xf numFmtId="0" fontId="8" fillId="0" borderId="9" xfId="0" applyFont="1" applyBorder="1" applyAlignment="1">
      <alignment horizontal="left" vertical="top"/>
    </xf>
    <xf numFmtId="0" fontId="8" fillId="0" borderId="10" xfId="0" applyFont="1" applyFill="1" applyBorder="1" applyAlignment="1">
      <alignment horizontal="left"/>
    </xf>
    <xf numFmtId="0" fontId="8" fillId="0" borderId="14" xfId="0" applyFont="1" applyFill="1" applyBorder="1" applyAlignment="1">
      <alignment horizontal="left"/>
    </xf>
    <xf numFmtId="0" fontId="8" fillId="0" borderId="13" xfId="0" applyFont="1" applyFill="1" applyBorder="1" applyAlignment="1">
      <alignment horizontal="left"/>
    </xf>
    <xf numFmtId="0" fontId="8" fillId="0" borderId="32" xfId="0" applyFont="1" applyBorder="1" applyAlignment="1">
      <alignment horizontal="left"/>
    </xf>
    <xf numFmtId="0" fontId="8" fillId="0" borderId="37" xfId="0" applyFont="1" applyBorder="1" applyAlignment="1">
      <alignment horizontal="left"/>
    </xf>
    <xf numFmtId="0" fontId="8" fillId="0" borderId="33" xfId="0" applyFont="1" applyBorder="1" applyAlignment="1">
      <alignment horizontal="left"/>
    </xf>
    <xf numFmtId="0" fontId="20" fillId="0" borderId="16" xfId="0" applyFont="1" applyBorder="1" applyAlignment="1">
      <alignment horizontal="center" vertical="center"/>
    </xf>
    <xf numFmtId="0" fontId="20" fillId="0" borderId="17" xfId="0" applyFont="1" applyBorder="1" applyAlignment="1">
      <alignment horizontal="center" vertical="center"/>
    </xf>
    <xf numFmtId="0" fontId="20" fillId="0" borderId="18" xfId="0" applyFont="1" applyBorder="1" applyAlignment="1">
      <alignment horizontal="center" vertical="center"/>
    </xf>
    <xf numFmtId="1" fontId="8" fillId="3" borderId="10" xfId="0" applyNumberFormat="1" applyFont="1" applyFill="1" applyBorder="1" applyAlignment="1">
      <alignment horizontal="center"/>
    </xf>
    <xf numFmtId="1" fontId="8" fillId="3" borderId="14" xfId="0" applyNumberFormat="1" applyFont="1" applyFill="1" applyBorder="1" applyAlignment="1">
      <alignment horizontal="center"/>
    </xf>
    <xf numFmtId="1" fontId="8" fillId="3" borderId="13" xfId="0" applyNumberFormat="1" applyFont="1" applyFill="1" applyBorder="1" applyAlignment="1">
      <alignment horizontal="center"/>
    </xf>
    <xf numFmtId="0" fontId="8" fillId="0" borderId="10" xfId="0" applyFont="1" applyBorder="1" applyAlignment="1">
      <alignment horizontal="left"/>
    </xf>
    <xf numFmtId="0" fontId="8" fillId="0" borderId="14" xfId="0" applyFont="1" applyBorder="1" applyAlignment="1">
      <alignment horizontal="left"/>
    </xf>
    <xf numFmtId="0" fontId="8" fillId="0" borderId="13" xfId="0" applyFont="1" applyBorder="1" applyAlignment="1">
      <alignment horizontal="left"/>
    </xf>
    <xf numFmtId="0" fontId="0" fillId="0" borderId="0" xfId="0" applyAlignment="1">
      <alignment horizontal="left" wrapText="1"/>
    </xf>
    <xf numFmtId="0" fontId="21" fillId="5" borderId="9" xfId="0" applyFont="1" applyFill="1" applyBorder="1" applyAlignment="1">
      <alignment horizontal="center" wrapText="1"/>
    </xf>
    <xf numFmtId="0" fontId="0" fillId="0" borderId="0" xfId="0" applyFill="1" applyAlignment="1">
      <alignment horizontal="left" wrapText="1"/>
    </xf>
    <xf numFmtId="0" fontId="21" fillId="3" borderId="9" xfId="0" applyFont="1" applyFill="1" applyBorder="1" applyAlignment="1">
      <alignment horizontal="center" wrapText="1"/>
    </xf>
  </cellXfs>
  <cellStyles count="312">
    <cellStyle name="20% - Accent1 2" xfId="18" xr:uid="{C18B4D58-816B-427D-9BA8-6202738C2437}"/>
    <cellStyle name="20% - Accent1 2 2" xfId="86" xr:uid="{A7ACBE27-DD52-4CBC-8B58-124F5BE3D687}"/>
    <cellStyle name="20% - Accent1 2 2 2" xfId="125" xr:uid="{D7A741D3-3409-4957-86CA-FA4420ABB876}"/>
    <cellStyle name="20% - Accent1 2 2 3" xfId="168" xr:uid="{2CEF8B9A-32F8-40A5-8422-A6B459A124A0}"/>
    <cellStyle name="20% - Accent1 2 3" xfId="107" xr:uid="{E6A0425E-285E-4B4A-916E-D6B605F80CF6}"/>
    <cellStyle name="20% - Accent1 2 4" xfId="147" xr:uid="{6163865B-F331-4516-9621-B1488C7CB430}"/>
    <cellStyle name="20% - Accent1 2 5" xfId="248" xr:uid="{8D8B5BD3-9018-409B-B3E5-A79A17623E73}"/>
    <cellStyle name="20% - Accent2 2" xfId="19" xr:uid="{2612BEA2-88EA-46ED-82D6-EC604BD07200}"/>
    <cellStyle name="20% - Accent2 2 2" xfId="87" xr:uid="{45A8B0BC-8728-436D-88B1-A6752AF2842D}"/>
    <cellStyle name="20% - Accent2 2 2 2" xfId="127" xr:uid="{B76B9831-7103-4D30-B337-D716F890B05B}"/>
    <cellStyle name="20% - Accent2 2 2 3" xfId="169" xr:uid="{FACCCCD5-B5BB-4E95-8A2A-61BC959F6F2B}"/>
    <cellStyle name="20% - Accent2 2 3" xfId="109" xr:uid="{BBA4BB69-46C4-4A0D-A003-C8BE6C5A607E}"/>
    <cellStyle name="20% - Accent2 2 4" xfId="148" xr:uid="{2D9BD89A-1172-425D-A9C2-5929A5C2F60F}"/>
    <cellStyle name="20% - Accent2 2 5" xfId="249" xr:uid="{253FDEB7-826A-41FC-B318-7E39D20F985E}"/>
    <cellStyle name="20% - Accent3 2" xfId="20" xr:uid="{1C8ACA40-B4C1-4776-A95A-96DF9E73EA2F}"/>
    <cellStyle name="20% - Accent3 2 2" xfId="88" xr:uid="{B230E91B-27DE-49D1-9663-704E1338CB03}"/>
    <cellStyle name="20% - Accent3 2 2 2" xfId="129" xr:uid="{7D57AA35-DFCC-43E9-B305-FFF94CC90226}"/>
    <cellStyle name="20% - Accent3 2 2 3" xfId="170" xr:uid="{F443AFA1-A9BF-4C6C-98F8-E56E7F326CFA}"/>
    <cellStyle name="20% - Accent3 2 3" xfId="111" xr:uid="{5A81906A-66AB-4365-9EEF-C4A93A13116F}"/>
    <cellStyle name="20% - Accent3 2 4" xfId="149" xr:uid="{132C404E-8020-4009-81D2-D5D352629CFE}"/>
    <cellStyle name="20% - Accent3 2 5" xfId="199" xr:uid="{4B9FF778-C5DA-4A73-A05E-D23FA3152F5E}"/>
    <cellStyle name="20% - Accent4 2" xfId="21" xr:uid="{1300FDD7-0FFD-4271-BC7D-BF437F105A6F}"/>
    <cellStyle name="20% - Accent4 2 2" xfId="89" xr:uid="{E2808133-F0BD-42C5-9863-01A71658C12B}"/>
    <cellStyle name="20% - Accent4 2 2 2" xfId="131" xr:uid="{25910C36-B78C-4DB2-A5D4-5B71FC549858}"/>
    <cellStyle name="20% - Accent4 2 2 3" xfId="171" xr:uid="{6D9517C1-CFEB-4565-B46D-ED35833C7AF1}"/>
    <cellStyle name="20% - Accent4 2 3" xfId="113" xr:uid="{AA9A363D-7AE0-415F-83E9-FA5E387C14F0}"/>
    <cellStyle name="20% - Accent4 2 4" xfId="150" xr:uid="{C78E5090-9F86-484B-9101-D2B259451AAB}"/>
    <cellStyle name="20% - Accent4 2 5" xfId="203" xr:uid="{8DD422D6-3262-48EA-8345-AA5C39EA1DB8}"/>
    <cellStyle name="20% - Accent5 2" xfId="22" xr:uid="{51248ED6-2E4F-4BEC-80F9-4E4C6FC879C2}"/>
    <cellStyle name="20% - Accent5 2 2" xfId="90" xr:uid="{030FBEA3-F476-49CF-8396-A9D987E86447}"/>
    <cellStyle name="20% - Accent5 2 2 2" xfId="133" xr:uid="{E782DD28-C94D-4781-8195-913C05F8A320}"/>
    <cellStyle name="20% - Accent5 2 2 3" xfId="172" xr:uid="{4DB7433B-8927-4E10-BD1C-41A5561E36B0}"/>
    <cellStyle name="20% - Accent5 2 3" xfId="115" xr:uid="{587CC731-EB22-496D-AEA1-D53CA7E7AD5A}"/>
    <cellStyle name="20% - Accent5 2 4" xfId="151" xr:uid="{7ECD025B-FA48-4C57-A6DC-6E64BC53E5B8}"/>
    <cellStyle name="20% - Accent5 2 5" xfId="260" xr:uid="{4CC274A3-E95F-4AE5-A9B9-D26CDEF09197}"/>
    <cellStyle name="20% - Accent6 2" xfId="23" xr:uid="{4D8620DE-64AC-4404-8F50-7DDBAAD0F67A}"/>
    <cellStyle name="20% - Accent6 2 2" xfId="91" xr:uid="{97EC93DC-910C-41A4-9B62-87BDED9B184F}"/>
    <cellStyle name="20% - Accent6 2 2 2" xfId="135" xr:uid="{3AAC37EA-8B41-4B05-9AA4-C1D96D8403CD}"/>
    <cellStyle name="20% - Accent6 2 2 3" xfId="173" xr:uid="{CA5E0AF3-2D00-4A0E-A820-8BD15E30B3E5}"/>
    <cellStyle name="20% - Accent6 2 3" xfId="117" xr:uid="{002CA9AB-F4F8-4EBD-A9A8-0FC0B8C577BE}"/>
    <cellStyle name="20% - Accent6 2 4" xfId="152" xr:uid="{EAA19FEE-7A71-42FD-93E3-76ED4618B7EB}"/>
    <cellStyle name="20% - Accent6 2 5" xfId="204" xr:uid="{78458162-DE77-421D-ACEF-6F567C462084}"/>
    <cellStyle name="40% - Accent1 2" xfId="24" xr:uid="{66F1A99D-5DB8-4111-974D-89495094F956}"/>
    <cellStyle name="40% - Accent1 2 2" xfId="92" xr:uid="{DB02A8FF-D723-49A8-BDD1-385355E70461}"/>
    <cellStyle name="40% - Accent1 2 2 2" xfId="126" xr:uid="{DEFDE222-FCBC-496C-802A-B602204A108E}"/>
    <cellStyle name="40% - Accent1 2 2 3" xfId="174" xr:uid="{276390D6-1E32-4C86-83D5-284B40F9E5C7}"/>
    <cellStyle name="40% - Accent1 2 3" xfId="108" xr:uid="{E500386C-44DE-47D1-97CB-0946F4FD4985}"/>
    <cellStyle name="40% - Accent1 2 4" xfId="153" xr:uid="{8EF18AA2-E6D1-4A88-AB1D-2F2470660012}"/>
    <cellStyle name="40% - Accent1 2 5" xfId="279" xr:uid="{6B1B6D2A-39E3-4FA7-9868-FEEF54FC01F8}"/>
    <cellStyle name="40% - Accent2 2" xfId="25" xr:uid="{BF3A5524-1B0D-4134-9FB8-CE5365DD3B91}"/>
    <cellStyle name="40% - Accent2 2 2" xfId="93" xr:uid="{596848D1-C6F0-4DA4-BEF4-5544B8ABE464}"/>
    <cellStyle name="40% - Accent2 2 2 2" xfId="128" xr:uid="{F6ECCFF4-26C1-4CBC-B720-95D11B334D02}"/>
    <cellStyle name="40% - Accent2 2 2 3" xfId="175" xr:uid="{11BA44FF-17C9-49FE-BAA7-8AE9C1E98AE6}"/>
    <cellStyle name="40% - Accent2 2 3" xfId="110" xr:uid="{A41DA21F-C8FC-43C9-A712-6B4B600C375B}"/>
    <cellStyle name="40% - Accent2 2 4" xfId="154" xr:uid="{9B3A2E4D-4A07-4725-8FBB-8FADC3CEE252}"/>
    <cellStyle name="40% - Accent2 2 5" xfId="227" xr:uid="{37E66AAF-AD89-45C9-8E76-A15508E6729D}"/>
    <cellStyle name="40% - Accent3 2" xfId="26" xr:uid="{DDC8243F-545C-4E5C-8CAB-A53DB371BB9B}"/>
    <cellStyle name="40% - Accent3 2 2" xfId="94" xr:uid="{6BC9DAC0-E29F-425C-993C-56704F6E8BCC}"/>
    <cellStyle name="40% - Accent3 2 2 2" xfId="130" xr:uid="{FDDED361-4B8B-456F-AF21-A5AC34CBBC1F}"/>
    <cellStyle name="40% - Accent3 2 2 3" xfId="176" xr:uid="{2FC6F5C2-4140-4AB4-A8A8-41CDF32F46D4}"/>
    <cellStyle name="40% - Accent3 2 3" xfId="112" xr:uid="{FD574B63-1080-4D62-812F-BBA3BCC5D415}"/>
    <cellStyle name="40% - Accent3 2 4" xfId="155" xr:uid="{3ACB8C05-A0BF-4E45-A4E2-21E5639F752E}"/>
    <cellStyle name="40% - Accent3 2 5" xfId="242" xr:uid="{B6C39D25-543C-4294-AA44-7958FED059E7}"/>
    <cellStyle name="40% - Accent4 2" xfId="27" xr:uid="{DCF69C79-261C-4350-8FA4-5A9A2F4C4EB0}"/>
    <cellStyle name="40% - Accent4 2 2" xfId="95" xr:uid="{517AB397-00A0-4E6D-BB2B-AC0826D40117}"/>
    <cellStyle name="40% - Accent4 2 2 2" xfId="132" xr:uid="{69D62CC2-F15F-4369-BF11-6DB9D517D3EC}"/>
    <cellStyle name="40% - Accent4 2 2 3" xfId="177" xr:uid="{D8C22975-BE39-4A94-834F-EC9A8FA3A43B}"/>
    <cellStyle name="40% - Accent4 2 3" xfId="114" xr:uid="{C2114215-B27A-4974-9BB4-130D9EAA682D}"/>
    <cellStyle name="40% - Accent4 2 4" xfId="156" xr:uid="{E30EDD1C-B745-4C8C-B67C-D46B3515D8B5}"/>
    <cellStyle name="40% - Accent4 2 5" xfId="273" xr:uid="{8EBD8E52-6F3C-469D-B5FC-BA351A345C6C}"/>
    <cellStyle name="40% - Accent5 2" xfId="28" xr:uid="{0A03B579-BB7E-4598-9851-5B62C76C8543}"/>
    <cellStyle name="40% - Accent5 2 2" xfId="96" xr:uid="{3C509C84-C865-4AD9-8032-99EB1A513F56}"/>
    <cellStyle name="40% - Accent5 2 2 2" xfId="134" xr:uid="{E00A84EA-0020-44BA-AAA8-2522D04A46C4}"/>
    <cellStyle name="40% - Accent5 2 2 3" xfId="178" xr:uid="{7FDED1F5-F56C-4120-BC5B-14C3C3B08CD0}"/>
    <cellStyle name="40% - Accent5 2 3" xfId="116" xr:uid="{E646CA86-AB3D-4448-AF69-0158592DD1DF}"/>
    <cellStyle name="40% - Accent5 2 4" xfId="157" xr:uid="{42484A9C-C029-4718-8EEA-6B11CC72317A}"/>
    <cellStyle name="40% - Accent5 2 5" xfId="239" xr:uid="{4C83A67A-3E70-44D4-B1F2-8AF57A9A3BD0}"/>
    <cellStyle name="40% - Accent6 2" xfId="29" xr:uid="{42106831-8260-4B4A-B400-3C0BDD6523C0}"/>
    <cellStyle name="40% - Accent6 2 2" xfId="97" xr:uid="{F990B89F-E2EA-482A-BD32-7AEB293905D6}"/>
    <cellStyle name="40% - Accent6 2 2 2" xfId="136" xr:uid="{570FAE27-02E2-4C3A-A06F-8DE7E1FEAEC9}"/>
    <cellStyle name="40% - Accent6 2 2 3" xfId="179" xr:uid="{CF82A801-E54F-4609-A101-B3B3D79EC4F3}"/>
    <cellStyle name="40% - Accent6 2 3" xfId="118" xr:uid="{0BD66E10-C593-4A50-9125-ED7A7D68F67C}"/>
    <cellStyle name="40% - Accent6 2 4" xfId="158" xr:uid="{30A2F841-0BA3-4327-82D3-7F202D44B481}"/>
    <cellStyle name="40% - Accent6 2 5" xfId="200" xr:uid="{F334E2F4-DBD3-43AE-847F-16D6CD07C054}"/>
    <cellStyle name="60% - Accent1 2" xfId="30" xr:uid="{820B8D97-5EF9-4FD3-A339-7ABB882AEA70}"/>
    <cellStyle name="60% - Accent1 2 2" xfId="243" xr:uid="{76C7DB32-643E-48FF-8331-ADC752AD7BA9}"/>
    <cellStyle name="60% - Accent1 2 3" xfId="205" xr:uid="{A869B940-B7BF-4FDC-AEA5-3ED0E31DBD1A}"/>
    <cellStyle name="60% - Accent2 2" xfId="31" xr:uid="{35381248-FFD4-4EE8-A800-86E7E0461908}"/>
    <cellStyle name="60% - Accent2 2 2" xfId="233" xr:uid="{391B671A-FC98-41A1-8F29-B31B6F7F0A4E}"/>
    <cellStyle name="60% - Accent2 2 3" xfId="206" xr:uid="{AEAF9728-FB0F-4F5A-9BA7-03D812DB3CC3}"/>
    <cellStyle name="60% - Accent3 2" xfId="32" xr:uid="{A32EB970-B695-4E3E-A86A-BACC699B84BA}"/>
    <cellStyle name="60% - Accent3 2 2" xfId="191" xr:uid="{8DE551ED-9B24-4907-93B7-C9A1FCA8980F}"/>
    <cellStyle name="60% - Accent3 2 3" xfId="207" xr:uid="{1BD11227-9FEA-45FA-8574-C46B15866977}"/>
    <cellStyle name="60% - Accent4 2" xfId="33" xr:uid="{09C25787-2370-41E0-B198-61F63CF9FDA9}"/>
    <cellStyle name="60% - Accent4 2 2" xfId="195" xr:uid="{A0F70AD2-9871-46CD-B361-989C030114BD}"/>
    <cellStyle name="60% - Accent4 2 3" xfId="240" xr:uid="{26BC6A53-B480-4211-A98C-0CE580F3A0AA}"/>
    <cellStyle name="60% - Accent5 2" xfId="34" xr:uid="{DA05710B-1F96-4736-8F30-B88F6889EC40}"/>
    <cellStyle name="60% - Accent5 2 2" xfId="278" xr:uid="{347463E3-4B97-4944-9862-0F44C6693B9A}"/>
    <cellStyle name="60% - Accent5 2 3" xfId="197" xr:uid="{9FE1B03C-4A06-492A-83F9-E27D0A1FD1D5}"/>
    <cellStyle name="60% - Accent6 2" xfId="35" xr:uid="{E159C03B-0C97-4650-8D3F-25C0A8EC1725}"/>
    <cellStyle name="60% - Accent6 2 2" xfId="241" xr:uid="{7676AC9C-9D8E-4506-82AD-0A171C40A98A}"/>
    <cellStyle name="60% - Accent6 2 3" xfId="267" xr:uid="{1E37BABC-1524-441A-B420-691179E02C02}"/>
    <cellStyle name="Accent1 2" xfId="36" xr:uid="{4E61F706-F2D0-4E61-887B-7FA9681BE43F}"/>
    <cellStyle name="Accent1 2 2" xfId="255" xr:uid="{4107563C-4047-4503-852E-2B65E534B3CE}"/>
    <cellStyle name="Accent1 2 3" xfId="252" xr:uid="{BC39E521-A01E-4E81-8389-94E367C3579A}"/>
    <cellStyle name="Accent2 2" xfId="37" xr:uid="{615A6034-42F2-43BB-838B-0D94D2522D06}"/>
    <cellStyle name="Accent2 2 2" xfId="226" xr:uid="{4A3091BD-9A4E-49D4-87EF-62B56FED66EA}"/>
    <cellStyle name="Accent2 2 3" xfId="192" xr:uid="{22DA570E-76E5-43F0-8C04-DA255CDD14E8}"/>
    <cellStyle name="Accent3 2" xfId="38" xr:uid="{8EA682AC-D444-4291-A7E3-78697E524FB2}"/>
    <cellStyle name="Accent3 2 2" xfId="266" xr:uid="{688B1534-3182-4273-BBD6-6B06427B27D6}"/>
    <cellStyle name="Accent3 2 3" xfId="185" xr:uid="{19F4A545-E3C2-488E-A7C6-F384D87878CB}"/>
    <cellStyle name="Accent4 2" xfId="39" xr:uid="{650E5750-9CB2-4198-99EB-8A96A9238880}"/>
    <cellStyle name="Accent4 2 2" xfId="244" xr:uid="{04A31ECB-CFD5-4BE4-A61B-0333AF65336D}"/>
    <cellStyle name="Accent4 2 3" xfId="275" xr:uid="{4EA12746-FFC7-4BD9-B817-55A3514EAB74}"/>
    <cellStyle name="Accent5 2" xfId="40" xr:uid="{CB296E26-12F7-4D24-B5D5-6D4C83B686B2}"/>
    <cellStyle name="Accent5 2 2" xfId="274" xr:uid="{A08E106F-AF04-42B4-A975-58E2896E5868}"/>
    <cellStyle name="Accent5 2 3" xfId="196" xr:uid="{D83D3E62-7BDA-44C8-BC39-32E6E36FD46A}"/>
    <cellStyle name="Accent6 2" xfId="41" xr:uid="{2F865A38-38BC-427F-9CA4-8CC6D300EEA2}"/>
    <cellStyle name="Accent6 2 2" xfId="229" xr:uid="{4DB1FC8B-7CBA-40AF-8308-3C92034F31AB}"/>
    <cellStyle name="Accent6 2 3" xfId="262" xr:uid="{8C82C006-340D-4C55-95AB-60A2D06B3203}"/>
    <cellStyle name="Bad 2" xfId="42" xr:uid="{9CB17AF5-14D7-49D7-96CC-4A3AB9E0B430}"/>
    <cellStyle name="Bad 2 2" xfId="253" xr:uid="{022C9C8B-5C5B-4829-8E2D-B2AE42B96D6E}"/>
    <cellStyle name="Bad 2 3" xfId="235" xr:uid="{DF692F7B-944D-40F7-94CD-7FD89178F219}"/>
    <cellStyle name="Calculation 2" xfId="43" xr:uid="{5D527CE0-F959-4613-8715-8EA4759D6481}"/>
    <cellStyle name="Calculation 2 2" xfId="231" xr:uid="{24F6376F-1744-40DE-A9DA-656BB7E325B3}"/>
    <cellStyle name="Calculation 2 3" xfId="208" xr:uid="{AE922213-78BA-431F-BF3D-B7F4A719FFB7}"/>
    <cellStyle name="Calculation 2 4" xfId="250" xr:uid="{E110B6BA-5D6B-447F-8464-75519052CDE6}"/>
    <cellStyle name="Calculation 2 5" xfId="294" xr:uid="{16D92FEE-F468-41C4-853F-3CF07A3A4EE9}"/>
    <cellStyle name="Check Cell 2" xfId="44" xr:uid="{C0019D1D-92A7-430B-92C1-EC9AD884F374}"/>
    <cellStyle name="Check Cell 2 2" xfId="276" xr:uid="{6ECDC511-C973-4B63-9E74-D3C360FFC7D3}"/>
    <cellStyle name="Check Cell 2 3" xfId="209" xr:uid="{C209E007-321E-4FB3-85C5-927ACCBD7E48}"/>
    <cellStyle name="Comma" xfId="1" builtinId="3"/>
    <cellStyle name="Comma 2" xfId="45" xr:uid="{9FE2BB24-E5D9-4A49-A1EF-3EC38A7EDE27}"/>
    <cellStyle name="Comma 2 2" xfId="98" xr:uid="{9AB26128-4144-4603-9285-39D13092DB68}"/>
    <cellStyle name="Comma 2 2 2" xfId="137" xr:uid="{225EB4B3-97A8-48C0-909A-19A17ABAD456}"/>
    <cellStyle name="Comma 2 2 3" xfId="180" xr:uid="{C91DAB8D-5839-4B33-A972-78F86339532C}"/>
    <cellStyle name="Comma 2 3" xfId="119" xr:uid="{83F5E25F-6C2D-40C7-8E17-43721A4DF655}"/>
    <cellStyle name="Comma 2 4" xfId="159" xr:uid="{2F548874-DCF6-4CFA-8CBF-4D3C77D679DE}"/>
    <cellStyle name="Comma 2 5" xfId="198" xr:uid="{EFE5A56E-E383-4771-91DF-4CE9B547AAD3}"/>
    <cellStyle name="Comma 2 6" xfId="307" xr:uid="{6259D6A3-B0FC-46BD-876F-71BF7697D11B}"/>
    <cellStyle name="Comma 3" xfId="46" xr:uid="{483F891A-5A9F-4329-900D-5D94B13AE225}"/>
    <cellStyle name="Comma 3 2" xfId="246" xr:uid="{4BD3F739-A011-4FF5-9D59-907D34FEAB25}"/>
    <cellStyle name="Comma 4" xfId="47" xr:uid="{EAAD2BC9-D535-4A32-A2F7-968434954B95}"/>
    <cellStyle name="Comma0" xfId="224" xr:uid="{368ED2FA-C7E3-49F7-A823-F26ECABAF55C}"/>
    <cellStyle name="Comma0 2" xfId="283" xr:uid="{3F5573A9-ABD7-4CC8-8A41-0BB5B647DCE4}"/>
    <cellStyle name="Currency" xfId="2" builtinId="4"/>
    <cellStyle name="Currency 2" xfId="48" xr:uid="{673F3696-6578-4980-8A37-4A6187FF26E9}"/>
    <cellStyle name="Currency 2 2" xfId="9" xr:uid="{C02CFBC1-EDDF-474E-BFC1-9A71BA5BFCAA}"/>
    <cellStyle name="Currency 2 3" xfId="49" xr:uid="{FC2899B5-AFA0-45E2-A657-00F371E4C653}"/>
    <cellStyle name="Currency 2 3 2" xfId="161" xr:uid="{320628E0-CCFA-41D8-9546-98566B794A84}"/>
    <cellStyle name="Currency 2 4" xfId="104" xr:uid="{C87059EA-B309-4E5E-BA86-B9CE7E4FC8AC}"/>
    <cellStyle name="Currency 2 5" xfId="160" xr:uid="{3F872DD1-4539-4B63-A5FC-3C084A2AF9B5}"/>
    <cellStyle name="Currency 3" xfId="50" xr:uid="{812339A0-E552-4D8C-994D-16BE53D6FE57}"/>
    <cellStyle name="Currency0" xfId="210" xr:uid="{E92DD0CC-FEE3-4298-80A7-040979DC00AF}"/>
    <cellStyle name="Currency0 2" xfId="284" xr:uid="{C1634477-55B1-4634-8EC7-39659AED3A1E}"/>
    <cellStyle name="Explanatory Text 2" xfId="51" xr:uid="{40C16B93-1D2F-487C-95D4-98A17C37A3ED}"/>
    <cellStyle name="Explanatory Text 2 2" xfId="188" xr:uid="{BF7DC593-75EE-45B2-9BFC-5B7BBAAE5AA2}"/>
    <cellStyle name="Explanatory Text 2 3" xfId="211" xr:uid="{208EA70F-9197-4A74-9001-856900F71A13}"/>
    <cellStyle name="Good 2" xfId="52" xr:uid="{5D678D8F-1735-4897-B0E4-49AA2E892B15}"/>
    <cellStyle name="Good 2 2" xfId="261" xr:uid="{7BCB1D32-2743-42A6-BB78-3C8963556506}"/>
    <cellStyle name="Good 2 3" xfId="236" xr:uid="{2BB2316D-1CEA-406F-8BFD-BE072E120552}"/>
    <cellStyle name="Heading 1 2" xfId="53" xr:uid="{89BC4AB6-F06B-4BC6-84ED-ECA8CA358C0C}"/>
    <cellStyle name="Heading 1 2 2" xfId="220" xr:uid="{5E5EEFE4-2453-4103-A44C-61D869072D87}"/>
    <cellStyle name="Heading 1 2 3" xfId="187" xr:uid="{D782FF50-2373-4DAF-9B8C-47ACAC13674B}"/>
    <cellStyle name="Heading 2 2" xfId="54" xr:uid="{AF9C4AC7-FA57-4407-B403-60855FCC2806}"/>
    <cellStyle name="Heading 2 2 2" xfId="257" xr:uid="{145D95C8-6D6D-4452-BDDE-E2168D75CB51}"/>
    <cellStyle name="Heading 2 2 3" xfId="270" xr:uid="{1AB3AF20-9A54-4643-9F33-E75C005AA62B}"/>
    <cellStyle name="Heading 3 2" xfId="55" xr:uid="{30BBEB9E-A026-4D0E-B6DD-A0DFF2E7852F}"/>
    <cellStyle name="Heading 3 2 2" xfId="221" xr:uid="{766300A9-090F-4685-BF5D-4ED646C68383}"/>
    <cellStyle name="Heading 3 2 3" xfId="238" xr:uid="{703B93D2-FF33-42DE-AC96-49E4E3C845E9}"/>
    <cellStyle name="Heading 4 2" xfId="56" xr:uid="{5E88D313-1127-4FD0-BBAA-3923474E9AAE}"/>
    <cellStyle name="Heading 4 2 2" xfId="258" xr:uid="{84AE77FB-9160-453B-8B6F-BD331215C860}"/>
    <cellStyle name="Heading 4 2 3" xfId="212" xr:uid="{E7945CE9-195E-4AAE-BD15-9588C5438CC3}"/>
    <cellStyle name="Hyperlink" xfId="7" builtinId="8"/>
    <cellStyle name="Hyperlink 2" xfId="16" xr:uid="{7E22E398-9E24-41E7-9332-B70B800A6993}"/>
    <cellStyle name="Hyperlink 2 2" xfId="123" xr:uid="{285BA7AB-94BE-4CB8-A59C-D8D515C9F990}"/>
    <cellStyle name="Hyperlink 3" xfId="57" xr:uid="{1B07D3AD-D1A8-47DE-8B55-33DC25772BD3}"/>
    <cellStyle name="Hyperlink 4" xfId="58" xr:uid="{85F25BB2-B976-4C62-BA7F-CFDDE6D2164B}"/>
    <cellStyle name="Hyperlink 5" xfId="59" xr:uid="{178367B2-38A5-4EDF-9B8D-38C7B673B828}"/>
    <cellStyle name="Hyperlink 5 2" xfId="144" xr:uid="{D4A70351-FBEE-4652-9249-6CD24ACBDD35}"/>
    <cellStyle name="Hyperlink 6" xfId="60" xr:uid="{51CC704D-AD85-4717-89B4-BD9C64AF472B}"/>
    <cellStyle name="Hyperlink 7" xfId="184" xr:uid="{C8763AF1-99FA-44DF-A71A-E17D454C04F1}"/>
    <cellStyle name="Input 2" xfId="61" xr:uid="{E8CC5610-0899-4EF6-A582-ABFC9D10B8C8}"/>
    <cellStyle name="Input 2 2" xfId="263" xr:uid="{91BA4E94-73D4-4420-B2A9-C9AD0DA3A2DC}"/>
    <cellStyle name="Input 2 3" xfId="247" xr:uid="{D9185DC7-A90F-4135-BFEB-5FC4B23E8428}"/>
    <cellStyle name="Input 2 4" xfId="194" xr:uid="{97EC68B8-2D38-4CF5-8A4C-62EE8C7CF9A3}"/>
    <cellStyle name="Input 2 5" xfId="300" xr:uid="{58CB49C3-DE7A-4D85-B906-E4C9E55330E2}"/>
    <cellStyle name="Linked Cell 2" xfId="62" xr:uid="{612F944D-53C5-49F0-A826-8EB23A1F14C1}"/>
    <cellStyle name="Linked Cell 2 2" xfId="225" xr:uid="{EA10CCAD-F0BA-47DE-8F48-F019151F45F1}"/>
    <cellStyle name="Linked Cell 2 3" xfId="271" xr:uid="{0E17D06F-6B9C-433A-9B07-0734ABD88FEE}"/>
    <cellStyle name="Neutral 2" xfId="63" xr:uid="{35F4C849-2EAB-4503-994A-EE341A6B1DA1}"/>
    <cellStyle name="Neutral 2 2" xfId="193" xr:uid="{D14989FB-6A4F-4B47-BD02-C5F58DFF9CB8}"/>
    <cellStyle name="Neutral 2 3" xfId="230" xr:uid="{BF5907CA-924E-4A58-9074-CDEA75373D43}"/>
    <cellStyle name="Normal" xfId="0" builtinId="0"/>
    <cellStyle name="Normal 10" xfId="146" xr:uid="{CDD01E36-CE93-43ED-9607-3AE6F937C949}"/>
    <cellStyle name="Normal 10 2" xfId="281" xr:uid="{C2C9DC1B-AB75-48F5-98BA-50F8B0DFDDD7}"/>
    <cellStyle name="Normal 11" xfId="102" xr:uid="{7333A740-9049-4D4F-834D-F6AF2E38740B}"/>
    <cellStyle name="Normal 11 2" xfId="282" xr:uid="{2E548E42-24F7-4052-9EC5-784363627CA1}"/>
    <cellStyle name="Normal 12" xfId="14" xr:uid="{15856321-C59B-4F23-811F-8A68A5A00102}"/>
    <cellStyle name="Normal 12 2" xfId="305" xr:uid="{DDF2206D-B7A7-4B47-A2F3-0F8D10CA2243}"/>
    <cellStyle name="Normal 13" xfId="304" xr:uid="{2615C15B-D1C2-4471-AF8B-35BC0F7F17AA}"/>
    <cellStyle name="Normal 14" xfId="306" xr:uid="{D21CB034-9F1C-4B19-9946-EC4D8259D827}"/>
    <cellStyle name="Normal 15" xfId="234" xr:uid="{D86129A4-34F2-400A-85D5-864A52C55573}"/>
    <cellStyle name="Normal 16" xfId="259" xr:uid="{1E29BC21-583B-4501-B0DD-B67E8BCE912F}"/>
    <cellStyle name="Normal 17" xfId="308" xr:uid="{5DE9931D-9D03-4252-B314-DA84186DB555}"/>
    <cellStyle name="Normal 18" xfId="309" xr:uid="{975C8FE5-BCC7-4172-8917-88297582C880}"/>
    <cellStyle name="Normal 19" xfId="311" xr:uid="{21A49D18-CE5A-42B5-9DA7-C277351DAE17}"/>
    <cellStyle name="Normal 2" xfId="12" xr:uid="{CD163E5C-E05F-48D0-A47E-FEC209970E70}"/>
    <cellStyle name="Normal 2 10" xfId="10" xr:uid="{511234AB-EA01-4E57-9003-A44F0989388E}"/>
    <cellStyle name="Normal 2 11" xfId="228" xr:uid="{7D9CB2B9-1229-4605-BD56-04BF8925E6D1}"/>
    <cellStyle name="Normal 2 2" xfId="64" xr:uid="{0B0F5FA5-BD82-4B8C-AFCC-0DEE0DE105A2}"/>
    <cellStyle name="Normal 2 2 2" xfId="264" xr:uid="{C71E2CA1-1DF3-45B2-9117-F7543A8B3507}"/>
    <cellStyle name="Normal 2 3" xfId="65" xr:uid="{5A24B461-C7E6-454B-9BCE-621AC881F6C7}"/>
    <cellStyle name="Normal 2 3 2" xfId="202" xr:uid="{F97853BD-8A54-4526-84A5-CB656E874F7B}"/>
    <cellStyle name="Normal 2 3 3" xfId="285" xr:uid="{F05A6C98-75AB-4700-A435-2F71A6B5643A}"/>
    <cellStyle name="Normal 2 3 4" xfId="269" xr:uid="{F84F0D6A-A162-484E-9E8C-99449D43EE73}"/>
    <cellStyle name="Normal 2 4" xfId="66" xr:uid="{E571F3F5-A9CD-42FA-AEDF-8A8FC5809828}"/>
    <cellStyle name="Normal 2 4 2" xfId="106" xr:uid="{D5905ED8-32AE-4948-B68B-27A7DBFF886A}"/>
    <cellStyle name="Normal 2 4 3" xfId="163" xr:uid="{0E339D3C-3A42-4B4E-A3CC-843FE5D324AF}"/>
    <cellStyle name="Normal 2 4 3 2" xfId="286" xr:uid="{A2316016-E5CF-4E99-9FCA-EC4F5EE09730}"/>
    <cellStyle name="Normal 2 4 4" xfId="213" xr:uid="{62DC8EAE-66F4-4C0B-9589-DE6E3C9E7F40}"/>
    <cellStyle name="Normal 2 5" xfId="67" xr:uid="{1D09E78A-8157-43D6-8A53-14D148B10B23}"/>
    <cellStyle name="Normal 2 5 2" xfId="124" xr:uid="{4E60AB90-FF21-4DD3-8253-AA0CAB47F95C}"/>
    <cellStyle name="Normal 2 5 3" xfId="164" xr:uid="{03C3B8CB-A980-417B-8DCE-61E34790659E}"/>
    <cellStyle name="Normal 2 5 3 2" xfId="287" xr:uid="{A9DFFE98-3317-4134-A225-B253BA70A7D9}"/>
    <cellStyle name="Normal 2 5 4" xfId="214" xr:uid="{5CA09301-CC8E-4564-87B0-2750BBC30837}"/>
    <cellStyle name="Normal 2 6" xfId="143" xr:uid="{FF8BEEE3-3B0D-485A-BC11-410F1BACD7AA}"/>
    <cellStyle name="Normal 2 6 2" xfId="288" xr:uid="{4274DD34-BB9B-42E0-AEA1-677697489D45}"/>
    <cellStyle name="Normal 2 6 3" xfId="215" xr:uid="{F339EB79-2BBC-49CA-9473-4B8C446D3379}"/>
    <cellStyle name="Normal 2 7" xfId="103" xr:uid="{21A85ED8-2784-4FD9-867A-871ED8ED0994}"/>
    <cellStyle name="Normal 2 7 2" xfId="289" xr:uid="{1CB0E469-55A7-47DC-8A71-E2F09A22145E}"/>
    <cellStyle name="Normal 2 7 3" xfId="232" xr:uid="{46A47256-4373-4AE7-901E-F494B304D43E}"/>
    <cellStyle name="Normal 2 8" xfId="162" xr:uid="{3317DC4A-EF57-41DA-9C36-2CD50493BB82}"/>
    <cellStyle name="Normal 2 8 2" xfId="290" xr:uid="{64241B5C-0D95-4674-BBBE-C07DA9CB0A4B}"/>
    <cellStyle name="Normal 2 8 3" xfId="189" xr:uid="{E494EADC-F8DE-47B4-B2AD-B054172C58B4}"/>
    <cellStyle name="Normal 2 9" xfId="268" xr:uid="{CE5E46E8-9455-496D-9073-879C9D93F8AB}"/>
    <cellStyle name="Normal 2_Summary Table" xfId="68" xr:uid="{8799D9FD-FF54-443B-A7E6-E97E647BB27F}"/>
    <cellStyle name="Normal 3" xfId="69" xr:uid="{C9053304-67AC-454A-8186-C6199FAE7982}"/>
    <cellStyle name="Normal 3 2" xfId="70" xr:uid="{E5F74CB5-6451-40DF-83C7-EBAE3F61B697}"/>
    <cellStyle name="Normal 3 3" xfId="99" xr:uid="{10955A35-9BD7-45EA-B493-7BBDAE14D356}"/>
    <cellStyle name="Normal 3 3 2" xfId="138" xr:uid="{CE325CAB-AF20-429E-AF73-7FEE23174A37}"/>
    <cellStyle name="Normal 3 3 3" xfId="181" xr:uid="{2854C13B-5F66-4D8E-BC41-6954D0892BD9}"/>
    <cellStyle name="Normal 3 4" xfId="120" xr:uid="{AF4D1FFF-3817-4EE3-B52B-BB7586B9C48F}"/>
    <cellStyle name="Normal 3 5" xfId="165" xr:uid="{3B0B4DC9-CCC4-4450-A5D9-DE88FF2C49E6}"/>
    <cellStyle name="Normal 4" xfId="71" xr:uid="{2D44069B-F21D-4D83-B795-13A5B382BB09}"/>
    <cellStyle name="Normal 4 2" xfId="72" xr:uid="{1BA14DDB-28C9-4628-9FB6-FD10EFCBBBBE}"/>
    <cellStyle name="Normal 4 3" xfId="201" xr:uid="{74535A09-AE03-431D-B748-E297D5FBB640}"/>
    <cellStyle name="Normal 4 4" xfId="265" xr:uid="{D1648800-1755-45FB-939C-9C95325194AC}"/>
    <cellStyle name="Normal 5" xfId="73" xr:uid="{08967415-E4B7-496E-A9C9-9534732D04B5}"/>
    <cellStyle name="Normal 5 2" xfId="74" xr:uid="{5F9609E9-2913-4C00-835A-4FCB7BA5AA56}"/>
    <cellStyle name="Normal 5 2 2" xfId="222" xr:uid="{D5001E4A-BA2D-4A2B-850C-7DE2882C22F3}"/>
    <cellStyle name="Normal 5 2 3" xfId="218" xr:uid="{A646EFDB-64C9-42CC-8B10-7E94E68D22D0}"/>
    <cellStyle name="Normal 5 3" xfId="100" xr:uid="{8535A5D1-CFF4-47C8-9C41-A822C6A3AF5E}"/>
    <cellStyle name="Normal 5 3 2" xfId="140" xr:uid="{76B228FA-C836-477B-AF50-B5C3F1DD5A13}"/>
    <cellStyle name="Normal 5 3 3" xfId="182" xr:uid="{E1648785-7D41-4CE9-8019-996114924EB8}"/>
    <cellStyle name="Normal 5 4" xfId="122" xr:uid="{E9BBD8A2-9D57-4BC4-9383-B64852009700}"/>
    <cellStyle name="Normal 5 5" xfId="166" xr:uid="{3EA7C875-5733-42E7-9220-74ABABC5D182}"/>
    <cellStyle name="Normal 5 6" xfId="237" xr:uid="{B14D7D31-F46A-43D6-80EF-F5B8CFBC9465}"/>
    <cellStyle name="Normal 6" xfId="75" xr:uid="{22071A33-BCA4-4E0D-BB95-C82E6E41D5EA}"/>
    <cellStyle name="Normal 6 2" xfId="186" xr:uid="{14D71724-5672-4317-90AB-4C5758AA3FC9}"/>
    <cellStyle name="Normal 6 3" xfId="6" xr:uid="{EEFDF5E3-7061-4BE1-A655-5E9B39C5B10B}"/>
    <cellStyle name="Normal 7" xfId="17" xr:uid="{EFE77265-A2A5-4582-BC20-76EF98267F51}"/>
    <cellStyle name="Normal 7 2" xfId="76" xr:uid="{5C802F7C-B509-481C-B367-94E51F56C826}"/>
    <cellStyle name="Normal 7 2 2" xfId="223" xr:uid="{FE0BED01-05F3-4F84-9F13-1D6DBF678656}"/>
    <cellStyle name="Normal 7 3" xfId="77" xr:uid="{C828A402-BFB5-46C5-8945-9334615266D9}"/>
    <cellStyle name="Normal 7 3 2" xfId="292" xr:uid="{2650F3E1-868C-48FB-AF4F-869ADF11D222}"/>
    <cellStyle name="Normal 7 4" xfId="141" xr:uid="{CDF229D3-5B43-458E-BDD1-16F4E9C55735}"/>
    <cellStyle name="Normal 7 5" xfId="217" xr:uid="{C9185A8C-9980-438B-82B1-EC4CA5DB6ACC}"/>
    <cellStyle name="Normal 8" xfId="78" xr:uid="{D12F06F3-9503-410B-9F86-DC295E7B4E96}"/>
    <cellStyle name="Normal 8 2" xfId="142" xr:uid="{5BC846DD-3810-4783-B4AB-7BFC9D37717E}"/>
    <cellStyle name="Normal 8 2 2" xfId="302" xr:uid="{851E4CD7-358D-421C-B1B7-763CAAA8E916}"/>
    <cellStyle name="Normal 9" xfId="145" xr:uid="{CB07B6D3-8778-435D-A9CE-83B5B0CACF21}"/>
    <cellStyle name="Normal 9 2" xfId="280" xr:uid="{48A5DF14-AB60-4D31-9BE8-B200BD86C2CC}"/>
    <cellStyle name="Normal_cost factors v5" xfId="4" xr:uid="{7DE4B25D-8254-423C-B276-300477A49D35}"/>
    <cellStyle name="Normal_Sheet1" xfId="5" xr:uid="{C12D5376-4B34-4422-BC83-08AA842FF15D}"/>
    <cellStyle name="Normal_Sheet1 2" xfId="8" xr:uid="{1992F5BA-73BF-4F83-A45A-331E6AB74877}"/>
    <cellStyle name="Note 2" xfId="79" xr:uid="{917D4302-0E3E-4F6E-8035-E0C8242A0AD3}"/>
    <cellStyle name="Note 2 2" xfId="101" xr:uid="{DEE33DD6-FC26-4B33-B330-CAF942FFD1E4}"/>
    <cellStyle name="Note 2 2 2" xfId="139" xr:uid="{0070B12A-E1B9-423B-AF62-BD9293B625F9}"/>
    <cellStyle name="Note 2 2 3" xfId="183" xr:uid="{585F19A2-C8B3-47F1-9F9C-10EFCE2032DF}"/>
    <cellStyle name="Note 2 3" xfId="121" xr:uid="{A26EAC08-D269-4FD6-B0F4-7F00AE6651C2}"/>
    <cellStyle name="Note 2 4" xfId="167" xr:uid="{E806D7EB-DCF5-48DB-89D1-A7B7B192C792}"/>
    <cellStyle name="Note 2 4 2" xfId="291" xr:uid="{D6783A23-8664-49C4-BB46-E9E7393C1358}"/>
    <cellStyle name="Note 2 4 3" xfId="301" xr:uid="{F970370F-17A2-4F01-A4DD-BACC3AD147C2}"/>
    <cellStyle name="Note 2 4 4" xfId="303" xr:uid="{90202B55-6376-4424-92FF-3A259DD255AD}"/>
    <cellStyle name="Note 2 5" xfId="256" xr:uid="{F4B4D7F1-C98A-4B8F-AE24-E6A4DF5637A2}"/>
    <cellStyle name="Note 2 6" xfId="295" xr:uid="{4BFA072F-0773-4F47-B987-69D305B65D3A}"/>
    <cellStyle name="Note 2 7" xfId="293" xr:uid="{7D3EF0F2-03A0-46A4-8955-9A4EF13B9286}"/>
    <cellStyle name="Output 2" xfId="80" xr:uid="{FCD15E2B-6B25-4567-BB88-9569E00671D6}"/>
    <cellStyle name="Output 2 2" xfId="190" xr:uid="{C780D383-3665-4B80-B7C5-758FEDA38A6D}"/>
    <cellStyle name="Output 2 3" xfId="277" xr:uid="{C1F87679-1D54-4759-89A1-3CB255AE1453}"/>
    <cellStyle name="Output 2 4" xfId="296" xr:uid="{F5337A41-51BD-4B37-ACB7-A5AC308BA864}"/>
    <cellStyle name="Output 2 5" xfId="299" xr:uid="{397198EE-44B3-4B04-B77A-8CF9A54A4A0C}"/>
    <cellStyle name="Percent" xfId="3" builtinId="5"/>
    <cellStyle name="Percent 2" xfId="81" xr:uid="{356BC1CA-D2B1-408D-9CBA-8EC7BDA287EB}"/>
    <cellStyle name="Percent 2 2" xfId="11" xr:uid="{60F0D663-0A74-4E96-ABBB-20F63775584B}"/>
    <cellStyle name="Percent 2 3" xfId="310" xr:uid="{DCA6C58F-B6E2-4E1B-8120-AC886D9EE000}"/>
    <cellStyle name="Percent 3" xfId="82" xr:uid="{2FFA4D68-67E3-4119-86B4-ED349AA3226F}"/>
    <cellStyle name="Percent 4" xfId="83" xr:uid="{30A2CD22-FFC0-4217-A57F-CE4DC3D0FA95}"/>
    <cellStyle name="Percent 4 2" xfId="219" xr:uid="{A6E26CDB-89CA-4E51-9263-242B3DB3F7F9}"/>
    <cellStyle name="Percent 5" xfId="105" xr:uid="{902EE134-597C-4020-AC12-081C309846AB}"/>
    <cellStyle name="Percent 6" xfId="15" xr:uid="{06CA5EC2-1AAB-425A-BF3F-23C717046786}"/>
    <cellStyle name="Title 2" xfId="245" xr:uid="{9098ACB7-7BF5-4602-AA15-B0BF5AA47911}"/>
    <cellStyle name="Title 3" xfId="13" xr:uid="{E94CDBA1-95BC-4DA1-8E96-35CB3D62F5B3}"/>
    <cellStyle name="Total 2" xfId="84" xr:uid="{2172349B-E93A-4B09-8E49-445776100C86}"/>
    <cellStyle name="Total 2 2" xfId="251" xr:uid="{2AF0964F-573F-4FC0-96FE-21A42054EF48}"/>
    <cellStyle name="Total 2 3" xfId="272" xr:uid="{5D149AA5-45A0-42D8-93E8-F0FFBC852400}"/>
    <cellStyle name="Total 2 4" xfId="297" xr:uid="{71AEF60E-2B90-47E6-9DC8-6750235C89BB}"/>
    <cellStyle name="Total 2 5" xfId="298" xr:uid="{F76D8C3F-91D4-442E-B535-CA70E9A02967}"/>
    <cellStyle name="Warning Text 2" xfId="85" xr:uid="{03E7E127-B6CA-4DFA-8221-00FED19D95B6}"/>
    <cellStyle name="Warning Text 2 2" xfId="254" xr:uid="{727D224E-3ABF-4C37-B4F1-FBA747460C59}"/>
    <cellStyle name="Warning Text 2 3" xfId="216" xr:uid="{A9333DAA-1097-4B0E-9590-4E9E5E6DE9A0}"/>
  </cellStyles>
  <dxfs count="191">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5050"/>
      <color rgb="FFFF3300"/>
      <color rgb="FFFF66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3.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4.png"/></Relationships>
</file>

<file path=xl/drawings/_rels/drawing2.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image" Target="../media/image8.emf"/></Relationships>
</file>

<file path=xl/drawings/_rels/vmlDrawing1.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9.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184150</xdr:colOff>
          <xdr:row>560</xdr:row>
          <xdr:rowOff>222250</xdr:rowOff>
        </xdr:from>
        <xdr:to>
          <xdr:col>1</xdr:col>
          <xdr:colOff>177800</xdr:colOff>
          <xdr:row>562</xdr:row>
          <xdr:rowOff>323850</xdr:rowOff>
        </xdr:to>
        <xdr:sp macro="" textlink="">
          <xdr:nvSpPr>
            <xdr:cNvPr id="3073" name="Object 1" descr="FAC 1511 Study" hidden="1">
              <a:extLst>
                <a:ext uri="{63B3BB69-23CF-44E3-9099-C40C66FF867C}">
                  <a14:compatExt spid="_x0000_s3073"/>
                </a:ext>
                <a:ext uri="{FF2B5EF4-FFF2-40B4-BE49-F238E27FC236}">
                  <a16:creationId xmlns:a16="http://schemas.microsoft.com/office/drawing/2014/main" id="{00000000-0008-0000-0000-0000010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146050</xdr:colOff>
          <xdr:row>1530</xdr:row>
          <xdr:rowOff>298450</xdr:rowOff>
        </xdr:from>
        <xdr:to>
          <xdr:col>1</xdr:col>
          <xdr:colOff>139700</xdr:colOff>
          <xdr:row>1530</xdr:row>
          <xdr:rowOff>977900</xdr:rowOff>
        </xdr:to>
        <xdr:sp macro="" textlink="">
          <xdr:nvSpPr>
            <xdr:cNvPr id="3080" name="Object 8" descr="FAC 2131 RUC _FY2011 CNIC Study" hidden="1">
              <a:extLst>
                <a:ext uri="{63B3BB69-23CF-44E3-9099-C40C66FF867C}">
                  <a14:compatExt spid="_x0000_s3080"/>
                </a:ext>
                <a:ext uri="{FF2B5EF4-FFF2-40B4-BE49-F238E27FC236}">
                  <a16:creationId xmlns:a16="http://schemas.microsoft.com/office/drawing/2014/main" id="{00000000-0008-0000-0000-0000080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571500</xdr:colOff>
          <xdr:row>4800</xdr:row>
          <xdr:rowOff>76200</xdr:rowOff>
        </xdr:from>
        <xdr:to>
          <xdr:col>3</xdr:col>
          <xdr:colOff>882650</xdr:colOff>
          <xdr:row>4801</xdr:row>
          <xdr:rowOff>381000</xdr:rowOff>
        </xdr:to>
        <xdr:sp macro="" textlink="">
          <xdr:nvSpPr>
            <xdr:cNvPr id="3084" name="Object 12" hidden="1">
              <a:extLst>
                <a:ext uri="{63B3BB69-23CF-44E3-9099-C40C66FF867C}">
                  <a14:compatExt spid="_x0000_s3084"/>
                </a:ext>
                <a:ext uri="{FF2B5EF4-FFF2-40B4-BE49-F238E27FC236}">
                  <a16:creationId xmlns:a16="http://schemas.microsoft.com/office/drawing/2014/main" id="{00000000-0008-0000-0000-00000C0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184150</xdr:colOff>
          <xdr:row>568</xdr:row>
          <xdr:rowOff>400050</xdr:rowOff>
        </xdr:from>
        <xdr:to>
          <xdr:col>1</xdr:col>
          <xdr:colOff>177800</xdr:colOff>
          <xdr:row>568</xdr:row>
          <xdr:rowOff>1244600</xdr:rowOff>
        </xdr:to>
        <xdr:sp macro="" textlink="">
          <xdr:nvSpPr>
            <xdr:cNvPr id="3085" name="Object 13" descr="FAC 1511 Study" hidden="1">
              <a:extLst>
                <a:ext uri="{63B3BB69-23CF-44E3-9099-C40C66FF867C}">
                  <a14:compatExt spid="_x0000_s3085"/>
                </a:ext>
                <a:ext uri="{FF2B5EF4-FFF2-40B4-BE49-F238E27FC236}">
                  <a16:creationId xmlns:a16="http://schemas.microsoft.com/office/drawing/2014/main" id="{00000000-0008-0000-0000-00000D0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editAs="oneCell">
    <xdr:from>
      <xdr:col>0</xdr:col>
      <xdr:colOff>0</xdr:colOff>
      <xdr:row>2741</xdr:row>
      <xdr:rowOff>111125</xdr:rowOff>
    </xdr:from>
    <xdr:to>
      <xdr:col>7</xdr:col>
      <xdr:colOff>797984</xdr:colOff>
      <xdr:row>2743</xdr:row>
      <xdr:rowOff>3353291</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stretch>
          <a:fillRect/>
        </a:stretch>
      </xdr:blipFill>
      <xdr:spPr>
        <a:xfrm>
          <a:off x="0" y="1115679125"/>
          <a:ext cx="9446684" cy="400416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2</xdr:row>
      <xdr:rowOff>28500</xdr:rowOff>
    </xdr:from>
    <xdr:to>
      <xdr:col>8</xdr:col>
      <xdr:colOff>304800</xdr:colOff>
      <xdr:row>45</xdr:row>
      <xdr:rowOff>171450</xdr:rowOff>
    </xdr:to>
    <xdr:grpSp>
      <xdr:nvGrpSpPr>
        <xdr:cNvPr id="7" name="Group 6">
          <a:extLst>
            <a:ext uri="{FF2B5EF4-FFF2-40B4-BE49-F238E27FC236}">
              <a16:creationId xmlns:a16="http://schemas.microsoft.com/office/drawing/2014/main" id="{00000000-0008-0000-0100-000007000000}"/>
            </a:ext>
          </a:extLst>
        </xdr:cNvPr>
        <xdr:cNvGrpSpPr/>
      </xdr:nvGrpSpPr>
      <xdr:grpSpPr>
        <a:xfrm>
          <a:off x="0" y="396800"/>
          <a:ext cx="4800600" cy="8061400"/>
          <a:chOff x="53975" y="82550"/>
          <a:chExt cx="4977783" cy="7745468"/>
        </a:xfrm>
      </xdr:grpSpPr>
      <xdr:grpSp>
        <xdr:nvGrpSpPr>
          <xdr:cNvPr id="6" name="Group 5">
            <a:extLst>
              <a:ext uri="{FF2B5EF4-FFF2-40B4-BE49-F238E27FC236}">
                <a16:creationId xmlns:a16="http://schemas.microsoft.com/office/drawing/2014/main" id="{00000000-0008-0000-0100-000006000000}"/>
              </a:ext>
            </a:extLst>
          </xdr:cNvPr>
          <xdr:cNvGrpSpPr/>
        </xdr:nvGrpSpPr>
        <xdr:grpSpPr>
          <a:xfrm>
            <a:off x="53975" y="82550"/>
            <a:ext cx="4977783" cy="7745468"/>
            <a:chOff x="196850" y="158750"/>
            <a:chExt cx="4977783" cy="7745468"/>
          </a:xfrm>
        </xdr:grpSpPr>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234950" y="158750"/>
              <a:ext cx="4939683" cy="6422223"/>
            </a:xfrm>
            <a:prstGeom prst="rect">
              <a:avLst/>
            </a:prstGeom>
          </xdr:spPr>
        </xdr:pic>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a:stretch>
              <a:fillRect/>
            </a:stretch>
          </xdr:blipFill>
          <xdr:spPr>
            <a:xfrm>
              <a:off x="196850" y="6578600"/>
              <a:ext cx="4777779" cy="939683"/>
            </a:xfrm>
            <a:prstGeom prst="rect">
              <a:avLst/>
            </a:prstGeom>
          </xdr:spPr>
        </xdr:pic>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3"/>
            <a:stretch>
              <a:fillRect/>
            </a:stretch>
          </xdr:blipFill>
          <xdr:spPr>
            <a:xfrm>
              <a:off x="266700" y="7407275"/>
              <a:ext cx="4679365" cy="496943"/>
            </a:xfrm>
            <a:prstGeom prst="rect">
              <a:avLst/>
            </a:prstGeom>
          </xdr:spPr>
        </xdr:pic>
      </xdr:grpSp>
      <xdr:sp macro="" textlink="">
        <xdr:nvSpPr>
          <xdr:cNvPr id="5" name="Rectangle 4">
            <a:extLst>
              <a:ext uri="{FF2B5EF4-FFF2-40B4-BE49-F238E27FC236}">
                <a16:creationId xmlns:a16="http://schemas.microsoft.com/office/drawing/2014/main" id="{00000000-0008-0000-0100-000005000000}"/>
              </a:ext>
            </a:extLst>
          </xdr:cNvPr>
          <xdr:cNvSpPr/>
        </xdr:nvSpPr>
        <xdr:spPr>
          <a:xfrm>
            <a:off x="3276600" y="5768975"/>
            <a:ext cx="676275" cy="266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0</xdr:col>
      <xdr:colOff>161925</xdr:colOff>
      <xdr:row>44</xdr:row>
      <xdr:rowOff>126999</xdr:rowOff>
    </xdr:from>
    <xdr:to>
      <xdr:col>3</xdr:col>
      <xdr:colOff>609599</xdr:colOff>
      <xdr:row>45</xdr:row>
      <xdr:rowOff>126999</xdr:rowOff>
    </xdr:to>
    <xdr:sp macro="" textlink="">
      <xdr:nvSpPr>
        <xdr:cNvPr id="8" name="TextBox 7">
          <a:extLst>
            <a:ext uri="{FF2B5EF4-FFF2-40B4-BE49-F238E27FC236}">
              <a16:creationId xmlns:a16="http://schemas.microsoft.com/office/drawing/2014/main" id="{00000000-0008-0000-0100-000008000000}"/>
            </a:ext>
          </a:extLst>
        </xdr:cNvPr>
        <xdr:cNvSpPr txBox="1"/>
      </xdr:nvSpPr>
      <xdr:spPr>
        <a:xfrm>
          <a:off x="161925" y="8089899"/>
          <a:ext cx="2276474" cy="1809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t>VF = Vertical Feet (FAC 1413-Control Tower)</a:t>
          </a:r>
        </a:p>
      </xdr:txBody>
    </xdr:sp>
    <xdr:clientData/>
  </xdr:twoCellAnchor>
  <xdr:twoCellAnchor>
    <xdr:from>
      <xdr:col>11</xdr:col>
      <xdr:colOff>371475</xdr:colOff>
      <xdr:row>27</xdr:row>
      <xdr:rowOff>47625</xdr:rowOff>
    </xdr:from>
    <xdr:to>
      <xdr:col>14</xdr:col>
      <xdr:colOff>295275</xdr:colOff>
      <xdr:row>28</xdr:row>
      <xdr:rowOff>171450</xdr:rowOff>
    </xdr:to>
    <xdr:sp macro="" textlink="">
      <xdr:nvSpPr>
        <xdr:cNvPr id="9" name="TextBox 8">
          <a:extLst>
            <a:ext uri="{FF2B5EF4-FFF2-40B4-BE49-F238E27FC236}">
              <a16:creationId xmlns:a16="http://schemas.microsoft.com/office/drawing/2014/main" id="{00000000-0008-0000-0100-000009000000}"/>
            </a:ext>
          </a:extLst>
        </xdr:cNvPr>
        <xdr:cNvSpPr txBox="1"/>
      </xdr:nvSpPr>
      <xdr:spPr>
        <a:xfrm>
          <a:off x="6696075" y="4933950"/>
          <a:ext cx="1752600" cy="3048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17</xdr:col>
      <xdr:colOff>578574</xdr:colOff>
      <xdr:row>78</xdr:row>
      <xdr:rowOff>57150</xdr:rowOff>
    </xdr:to>
    <xdr:pic>
      <xdr:nvPicPr>
        <xdr:cNvPr id="4" name="Picture 3">
          <a:extLst>
            <a:ext uri="{FF2B5EF4-FFF2-40B4-BE49-F238E27FC236}">
              <a16:creationId xmlns:a16="http://schemas.microsoft.com/office/drawing/2014/main" id="{00000000-0008-0000-06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0941774" cy="14173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381000</xdr:colOff>
          <xdr:row>8</xdr:row>
          <xdr:rowOff>69850</xdr:rowOff>
        </xdr:from>
        <xdr:to>
          <xdr:col>0</xdr:col>
          <xdr:colOff>1295400</xdr:colOff>
          <xdr:row>8</xdr:row>
          <xdr:rowOff>755650</xdr:rowOff>
        </xdr:to>
        <xdr:sp macro="" textlink="">
          <xdr:nvSpPr>
            <xdr:cNvPr id="6145" name="Object 1" hidden="1">
              <a:extLst>
                <a:ext uri="{63B3BB69-23CF-44E3-9099-C40C66FF867C}">
                  <a14:compatExt spid="_x0000_s6145"/>
                </a:ext>
                <a:ext uri="{FF2B5EF4-FFF2-40B4-BE49-F238E27FC236}">
                  <a16:creationId xmlns:a16="http://schemas.microsoft.com/office/drawing/2014/main" id="{00000000-0008-0000-0800-0000011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rksolutions.sharepoint.com/sites/2021PUCs/Shared%20Documents/General/FY2021%20PUC%20Supporting%20Documentation_23%20July%20202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farzt\AppData\Local\Microsoft\Windows\INetCache\Content.Outlook\3IPFQ0DL\FY2021%20PUC%20Supporting%20Documentation_28%20June%202021%20GC.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R&amp;K\RUC%20Documentation%202016\Elevator%20Business%20Rul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UC Calculations FY2021"/>
      <sheetName val="Legend"/>
      <sheetName val="2021 MILCON Inflation Table"/>
      <sheetName val="Mil Cost Premiums for PUCs"/>
      <sheetName val="M&amp;S Selection Business Rule"/>
      <sheetName val="2021 Elevator Rule"/>
      <sheetName val="2021 Overhead Crane Rule"/>
      <sheetName val="2021 Fire Sprinkler Rule"/>
      <sheetName val="Loading Dock Footnote"/>
      <sheetName val="Range Business Rules"/>
    </sheetNames>
    <sheetDataSet>
      <sheetData sheetId="0"/>
      <sheetData sheetId="1"/>
      <sheetData sheetId="2">
        <row r="16">
          <cell r="F16">
            <v>1.0201832129291724</v>
          </cell>
        </row>
      </sheetData>
      <sheetData sheetId="3"/>
      <sheetData sheetId="4"/>
      <sheetData sheetId="5"/>
      <sheetData sheetId="6"/>
      <sheetData sheetId="7"/>
      <sheetData sheetId="8"/>
      <sheetData sheetId="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UC Calculations FY2021"/>
      <sheetName val="Legend"/>
      <sheetName val="2021 MILCON Inflation Table"/>
      <sheetName val="Mil Cost Premiums for PUCs"/>
      <sheetName val="M&amp;S Selection Business Rule"/>
      <sheetName val="2021 Elevator Rule"/>
      <sheetName val="2021 Overhead Crane Rule"/>
      <sheetName val="2021 Fire Sprinkler Rule"/>
      <sheetName val="Loading Dock Footnote"/>
      <sheetName val="Range Business Rules"/>
    </sheetNames>
    <sheetDataSet>
      <sheetData sheetId="0" refreshError="1"/>
      <sheetData sheetId="1" refreshError="1"/>
      <sheetData sheetId="2" refreshError="1"/>
      <sheetData sheetId="3">
        <row r="4">
          <cell r="A4">
            <v>1321</v>
          </cell>
          <cell r="B4" t="str">
            <v>COMMUNICATIONS FACILITY</v>
          </cell>
          <cell r="C4" t="str">
            <v>EA</v>
          </cell>
          <cell r="D4" t="str">
            <v>S</v>
          </cell>
          <cell r="F4">
            <v>1.0209999999999999</v>
          </cell>
          <cell r="R4">
            <v>1.0209999999999999</v>
          </cell>
        </row>
        <row r="5">
          <cell r="A5">
            <v>1341</v>
          </cell>
          <cell r="B5" t="str">
            <v>AIRCRAFT NAVIGATION FACILITY</v>
          </cell>
          <cell r="C5" t="str">
            <v>EA</v>
          </cell>
          <cell r="D5" t="str">
            <v>S</v>
          </cell>
          <cell r="F5">
            <v>1.0209999999999999</v>
          </cell>
          <cell r="R5">
            <v>1.0209999999999999</v>
          </cell>
        </row>
        <row r="6">
          <cell r="A6">
            <v>1351</v>
          </cell>
          <cell r="B6" t="str">
            <v>COMMUNICATION LINES</v>
          </cell>
          <cell r="C6" t="str">
            <v>MI</v>
          </cell>
          <cell r="D6" t="str">
            <v>LS</v>
          </cell>
          <cell r="F6">
            <v>1.0209999999999999</v>
          </cell>
          <cell r="R6">
            <v>1.0209999999999999</v>
          </cell>
        </row>
        <row r="7">
          <cell r="A7">
            <v>1362</v>
          </cell>
          <cell r="B7" t="str">
            <v>AIRFIELD LIGHTING</v>
          </cell>
          <cell r="C7" t="str">
            <v>EA</v>
          </cell>
          <cell r="D7" t="str">
            <v>S</v>
          </cell>
          <cell r="F7">
            <v>1.0209999999999999</v>
          </cell>
          <cell r="R7">
            <v>1.0209999999999999</v>
          </cell>
        </row>
        <row r="8">
          <cell r="A8">
            <v>1381</v>
          </cell>
          <cell r="B8" t="str">
            <v>SHIP NAVIGATION FACILITY</v>
          </cell>
          <cell r="C8" t="str">
            <v>EA</v>
          </cell>
          <cell r="D8" t="str">
            <v>S</v>
          </cell>
          <cell r="F8">
            <v>1.0209999999999999</v>
          </cell>
          <cell r="R8">
            <v>1.0209999999999999</v>
          </cell>
        </row>
        <row r="9">
          <cell r="A9">
            <v>1422</v>
          </cell>
          <cell r="B9" t="str">
            <v>HELIUM STORAGE FACILITY</v>
          </cell>
          <cell r="C9" t="str">
            <v>EA</v>
          </cell>
          <cell r="D9" t="str">
            <v>S</v>
          </cell>
          <cell r="F9">
            <v>1.0209999999999999</v>
          </cell>
          <cell r="R9">
            <v>1.0209999999999999</v>
          </cell>
        </row>
        <row r="10">
          <cell r="A10">
            <v>1431</v>
          </cell>
          <cell r="B10" t="str">
            <v>SHIP OPERATIONS BUILDING</v>
          </cell>
          <cell r="C10" t="str">
            <v>SF</v>
          </cell>
          <cell r="D10" t="str">
            <v>B</v>
          </cell>
          <cell r="E10">
            <v>1.0740000000000001</v>
          </cell>
          <cell r="F10">
            <v>1.0209999999999999</v>
          </cell>
          <cell r="G10">
            <v>1.0269999999999999</v>
          </cell>
          <cell r="H10">
            <v>1.0029999999999999</v>
          </cell>
          <cell r="I10">
            <v>1.0289999999999999</v>
          </cell>
          <cell r="J10">
            <v>1.0049999999999999</v>
          </cell>
          <cell r="K10">
            <v>1.026</v>
          </cell>
          <cell r="L10">
            <v>1.0129999999999999</v>
          </cell>
          <cell r="M10">
            <v>1.0029999999999999</v>
          </cell>
          <cell r="N10">
            <v>1.0029999999999999</v>
          </cell>
          <cell r="O10">
            <v>1.0209999999999999</v>
          </cell>
          <cell r="P10">
            <v>1.032</v>
          </cell>
          <cell r="Q10">
            <v>1.0349999999999999</v>
          </cell>
          <cell r="R10">
            <v>1.3319480854780448</v>
          </cell>
        </row>
        <row r="11">
          <cell r="A11">
            <v>1441</v>
          </cell>
          <cell r="B11" t="str">
            <v>PHOTO/TV PRODUCTION BUILDING</v>
          </cell>
          <cell r="C11" t="str">
            <v>SF</v>
          </cell>
          <cell r="D11" t="str">
            <v>B</v>
          </cell>
          <cell r="E11">
            <v>1.0740000000000001</v>
          </cell>
          <cell r="F11">
            <v>1.0209999999999999</v>
          </cell>
          <cell r="G11">
            <v>1.0269999999999999</v>
          </cell>
          <cell r="H11">
            <v>1.0029999999999999</v>
          </cell>
          <cell r="I11">
            <v>1.0289999999999999</v>
          </cell>
          <cell r="J11">
            <v>1.0049999999999999</v>
          </cell>
          <cell r="K11">
            <v>1.026</v>
          </cell>
          <cell r="L11">
            <v>1.0129999999999999</v>
          </cell>
          <cell r="M11">
            <v>1.0029999999999999</v>
          </cell>
          <cell r="N11">
            <v>1.0029999999999999</v>
          </cell>
          <cell r="O11">
            <v>1.0209999999999999</v>
          </cell>
          <cell r="P11">
            <v>1.032</v>
          </cell>
          <cell r="Q11">
            <v>1.0349999999999999</v>
          </cell>
          <cell r="R11">
            <v>1.3319480854780448</v>
          </cell>
        </row>
        <row r="12">
          <cell r="A12">
            <v>1442</v>
          </cell>
          <cell r="B12" t="str">
            <v>OPERATIONS SUPPORT LAB</v>
          </cell>
          <cell r="C12" t="str">
            <v>SF</v>
          </cell>
          <cell r="D12" t="str">
            <v>B</v>
          </cell>
          <cell r="E12">
            <v>1.0740000000000001</v>
          </cell>
          <cell r="F12">
            <v>1.0209999999999999</v>
          </cell>
          <cell r="G12">
            <v>1.0269999999999999</v>
          </cell>
          <cell r="H12">
            <v>1.0029999999999999</v>
          </cell>
          <cell r="I12">
            <v>1.0289999999999999</v>
          </cell>
          <cell r="J12">
            <v>1.0049999999999999</v>
          </cell>
          <cell r="K12">
            <v>1.026</v>
          </cell>
          <cell r="L12">
            <v>1.0129999999999999</v>
          </cell>
          <cell r="M12">
            <v>1.0029999999999999</v>
          </cell>
          <cell r="N12">
            <v>1.0029999999999999</v>
          </cell>
          <cell r="O12">
            <v>1.0209999999999999</v>
          </cell>
          <cell r="P12">
            <v>1.032</v>
          </cell>
          <cell r="Q12">
            <v>1.0349999999999999</v>
          </cell>
          <cell r="R12">
            <v>1.3319480854780448</v>
          </cell>
        </row>
        <row r="13">
          <cell r="A13">
            <v>1443</v>
          </cell>
          <cell r="B13" t="str">
            <v>OPERATIONS SUPPLY BUILDING</v>
          </cell>
          <cell r="C13" t="str">
            <v>SF</v>
          </cell>
          <cell r="D13" t="str">
            <v>B</v>
          </cell>
          <cell r="E13">
            <v>1.0740000000000001</v>
          </cell>
          <cell r="F13">
            <v>1.0209999999999999</v>
          </cell>
          <cell r="G13">
            <v>1.0269999999999999</v>
          </cell>
          <cell r="H13">
            <v>1.0029999999999999</v>
          </cell>
          <cell r="I13">
            <v>1.0289999999999999</v>
          </cell>
          <cell r="J13">
            <v>1.0049999999999999</v>
          </cell>
          <cell r="M13">
            <v>1.0029999999999999</v>
          </cell>
          <cell r="N13">
            <v>1.0029999999999999</v>
          </cell>
          <cell r="P13">
            <v>1.032</v>
          </cell>
          <cell r="Q13">
            <v>1.0349999999999999</v>
          </cell>
          <cell r="R13">
            <v>1.2551763558420395</v>
          </cell>
        </row>
        <row r="14">
          <cell r="A14">
            <v>1446</v>
          </cell>
          <cell r="B14" t="str">
            <v>SECURITY FORCE BUILDING</v>
          </cell>
          <cell r="C14" t="str">
            <v>SF</v>
          </cell>
          <cell r="D14" t="str">
            <v>B</v>
          </cell>
          <cell r="E14">
            <v>1.0740000000000001</v>
          </cell>
          <cell r="F14">
            <v>1.0209999999999999</v>
          </cell>
          <cell r="G14">
            <v>1.0269999999999999</v>
          </cell>
          <cell r="I14">
            <v>1.0289999999999999</v>
          </cell>
          <cell r="J14">
            <v>1.0049999999999999</v>
          </cell>
          <cell r="K14">
            <v>1.026</v>
          </cell>
          <cell r="L14">
            <v>1.0129999999999999</v>
          </cell>
          <cell r="M14">
            <v>1.0029999999999999</v>
          </cell>
          <cell r="N14">
            <v>1.0029999999999999</v>
          </cell>
          <cell r="O14">
            <v>1.0209999999999999</v>
          </cell>
          <cell r="P14">
            <v>1.032</v>
          </cell>
          <cell r="Q14">
            <v>1.0349999999999999</v>
          </cell>
          <cell r="R14">
            <v>1.3279641928993471</v>
          </cell>
        </row>
        <row r="15">
          <cell r="A15">
            <v>1491</v>
          </cell>
          <cell r="B15" t="str">
            <v>NUCLEAR WEAPONS SUPPORT FACILITY</v>
          </cell>
          <cell r="C15" t="str">
            <v>EA</v>
          </cell>
          <cell r="D15" t="str">
            <v>S</v>
          </cell>
          <cell r="E15">
            <v>1.0740000000000001</v>
          </cell>
          <cell r="F15">
            <v>1.0209999999999999</v>
          </cell>
          <cell r="G15">
            <v>1.0269999999999999</v>
          </cell>
          <cell r="O15">
            <v>1.0209999999999999</v>
          </cell>
          <cell r="P15">
            <v>1.032</v>
          </cell>
          <cell r="Q15">
            <v>1.0349999999999999</v>
          </cell>
          <cell r="R15">
            <v>1.2281354183505979</v>
          </cell>
        </row>
        <row r="16">
          <cell r="A16">
            <v>1493</v>
          </cell>
          <cell r="B16" t="str">
            <v>EXPLOSIVES RAILWAY HOLDING YARD</v>
          </cell>
          <cell r="C16" t="str">
            <v>EA</v>
          </cell>
          <cell r="D16" t="str">
            <v>S</v>
          </cell>
          <cell r="F16">
            <v>1.0209999999999999</v>
          </cell>
          <cell r="G16">
            <v>1.0269999999999999</v>
          </cell>
          <cell r="P16">
            <v>1.032</v>
          </cell>
          <cell r="Q16">
            <v>1.0349999999999999</v>
          </cell>
          <cell r="R16">
            <v>1.1199953840399997</v>
          </cell>
        </row>
        <row r="17">
          <cell r="A17">
            <v>1495</v>
          </cell>
          <cell r="B17" t="str">
            <v>REVETMENT</v>
          </cell>
          <cell r="C17" t="str">
            <v>EA</v>
          </cell>
          <cell r="D17" t="str">
            <v>S</v>
          </cell>
          <cell r="F17">
            <v>1.0209999999999999</v>
          </cell>
          <cell r="R17">
            <v>1.0209999999999999</v>
          </cell>
        </row>
        <row r="18">
          <cell r="A18">
            <v>1513</v>
          </cell>
          <cell r="B18" t="str">
            <v>PIER/WHARF ACCESS TRESTLE</v>
          </cell>
          <cell r="C18" t="str">
            <v>SY</v>
          </cell>
          <cell r="D18" t="str">
            <v>S</v>
          </cell>
          <cell r="F18">
            <v>1.0209999999999999</v>
          </cell>
          <cell r="P18">
            <v>1.032</v>
          </cell>
          <cell r="Q18">
            <v>1.0349999999999999</v>
          </cell>
          <cell r="R18">
            <v>1.0905505199999999</v>
          </cell>
        </row>
        <row r="19">
          <cell r="A19">
            <v>1541</v>
          </cell>
          <cell r="B19" t="str">
            <v>SHORE EROSION PREVENTION FACILITY</v>
          </cell>
          <cell r="C19" t="str">
            <v>LF</v>
          </cell>
          <cell r="D19" t="str">
            <v>S</v>
          </cell>
          <cell r="F19">
            <v>1.0209999999999999</v>
          </cell>
          <cell r="R19">
            <v>1.0209999999999999</v>
          </cell>
        </row>
        <row r="20">
          <cell r="A20">
            <v>1551</v>
          </cell>
          <cell r="B20" t="str">
            <v>SMALL CRAFT BERTHING</v>
          </cell>
          <cell r="C20" t="str">
            <v>FB</v>
          </cell>
          <cell r="D20" t="str">
            <v>S</v>
          </cell>
          <cell r="F20">
            <v>1.0209999999999999</v>
          </cell>
          <cell r="P20">
            <v>1.032</v>
          </cell>
          <cell r="Q20">
            <v>1.0349999999999999</v>
          </cell>
          <cell r="R20">
            <v>1.0905505199999999</v>
          </cell>
        </row>
        <row r="21">
          <cell r="A21">
            <v>1552</v>
          </cell>
          <cell r="B21" t="str">
            <v>SMALL CRAFT BUILDING</v>
          </cell>
          <cell r="C21" t="str">
            <v>SF</v>
          </cell>
          <cell r="D21" t="str">
            <v>B</v>
          </cell>
          <cell r="F21">
            <v>1.0209999999999999</v>
          </cell>
          <cell r="J21">
            <v>1.0049999999999999</v>
          </cell>
          <cell r="N21">
            <v>1.0029999999999999</v>
          </cell>
          <cell r="O21">
            <v>1.0209999999999999</v>
          </cell>
          <cell r="P21">
            <v>1.032</v>
          </cell>
          <cell r="Q21">
            <v>1.0349999999999999</v>
          </cell>
          <cell r="R21">
            <v>1.1223763993485734</v>
          </cell>
        </row>
        <row r="22">
          <cell r="A22">
            <v>1591</v>
          </cell>
          <cell r="B22" t="str">
            <v>MISCELLANEOUS WATERFRONT FACILITY</v>
          </cell>
          <cell r="C22" t="str">
            <v>EA</v>
          </cell>
          <cell r="D22" t="str">
            <v>S</v>
          </cell>
          <cell r="F22">
            <v>1.0209999999999999</v>
          </cell>
          <cell r="R22">
            <v>1.0209999999999999</v>
          </cell>
        </row>
        <row r="23">
          <cell r="A23">
            <v>1593</v>
          </cell>
          <cell r="B23" t="str">
            <v>WATER LAUNCH RAMP</v>
          </cell>
          <cell r="C23" t="str">
            <v>SY</v>
          </cell>
          <cell r="D23" t="str">
            <v>S</v>
          </cell>
          <cell r="F23">
            <v>1.0209999999999999</v>
          </cell>
          <cell r="R23">
            <v>1.0209999999999999</v>
          </cell>
        </row>
        <row r="24">
          <cell r="A24">
            <v>1641</v>
          </cell>
          <cell r="B24" t="str">
            <v>HARBOR MARINE IMPROVEMENTS</v>
          </cell>
          <cell r="C24" t="str">
            <v>LF</v>
          </cell>
          <cell r="D24" t="str">
            <v>S</v>
          </cell>
          <cell r="F24">
            <v>1.0209999999999999</v>
          </cell>
          <cell r="R24">
            <v>1.0209999999999999</v>
          </cell>
        </row>
        <row r="25">
          <cell r="A25">
            <v>1725</v>
          </cell>
          <cell r="B25" t="str">
            <v>TRAINING POOL AND TANK</v>
          </cell>
          <cell r="C25" t="str">
            <v>EA</v>
          </cell>
          <cell r="D25" t="str">
            <v>S</v>
          </cell>
          <cell r="F25">
            <v>1.0209999999999999</v>
          </cell>
          <cell r="G25">
            <v>1.0269999999999999</v>
          </cell>
          <cell r="L25">
            <v>1.0129999999999999</v>
          </cell>
          <cell r="N25">
            <v>1.0029999999999999</v>
          </cell>
          <cell r="P25">
            <v>1.032</v>
          </cell>
          <cell r="Q25">
            <v>1.0349999999999999</v>
          </cell>
          <cell r="R25">
            <v>1.1379589900046172</v>
          </cell>
        </row>
        <row r="26">
          <cell r="A26">
            <v>1726</v>
          </cell>
          <cell r="B26" t="str">
            <v>ENCLOSED FIRE FIGHTER TRAINER FACILITY</v>
          </cell>
          <cell r="C26" t="str">
            <v>SF</v>
          </cell>
          <cell r="D26" t="str">
            <v>B</v>
          </cell>
          <cell r="F26">
            <v>1.0209999999999999</v>
          </cell>
          <cell r="G26">
            <v>1.0269999999999999</v>
          </cell>
          <cell r="P26">
            <v>1.032</v>
          </cell>
          <cell r="R26">
            <v>1.0821211439999998</v>
          </cell>
        </row>
        <row r="27">
          <cell r="A27">
            <v>1745</v>
          </cell>
          <cell r="B27" t="str">
            <v>PARADE AND DRILL FIELD</v>
          </cell>
          <cell r="C27" t="str">
            <v>AC</v>
          </cell>
          <cell r="D27" t="str">
            <v>S</v>
          </cell>
          <cell r="F27">
            <v>1.0209999999999999</v>
          </cell>
          <cell r="R27">
            <v>1.0209999999999999</v>
          </cell>
        </row>
        <row r="28">
          <cell r="A28">
            <v>1750</v>
          </cell>
          <cell r="B28" t="str">
            <v>GENERAL PURPOSE SMALL ARMS RANGE</v>
          </cell>
          <cell r="C28" t="str">
            <v>FP</v>
          </cell>
          <cell r="D28" t="str">
            <v>S</v>
          </cell>
          <cell r="F28">
            <v>1.0209999999999999</v>
          </cell>
          <cell r="G28">
            <v>1.0269999999999999</v>
          </cell>
          <cell r="R28">
            <v>1.0485669999999998</v>
          </cell>
        </row>
        <row r="29">
          <cell r="A29">
            <v>1751</v>
          </cell>
          <cell r="B29" t="str">
            <v>ZERO RANGE</v>
          </cell>
          <cell r="C29" t="str">
            <v>FP</v>
          </cell>
          <cell r="D29" t="str">
            <v>S</v>
          </cell>
          <cell r="F29">
            <v>1.0209999999999999</v>
          </cell>
          <cell r="G29">
            <v>1.0269999999999999</v>
          </cell>
          <cell r="R29">
            <v>1.0485669999999998</v>
          </cell>
        </row>
        <row r="30">
          <cell r="A30">
            <v>1752</v>
          </cell>
          <cell r="B30" t="str">
            <v>FIELD FIRE RANGE</v>
          </cell>
          <cell r="C30" t="str">
            <v>FP</v>
          </cell>
          <cell r="D30" t="str">
            <v>S</v>
          </cell>
          <cell r="F30">
            <v>1.0209999999999999</v>
          </cell>
          <cell r="G30">
            <v>1.0269999999999999</v>
          </cell>
          <cell r="R30">
            <v>1.0485669999999998</v>
          </cell>
        </row>
        <row r="31">
          <cell r="A31">
            <v>1753</v>
          </cell>
          <cell r="B31" t="str">
            <v>RECORD FIRE RANGE</v>
          </cell>
          <cell r="C31" t="str">
            <v>FP</v>
          </cell>
          <cell r="D31" t="str">
            <v>S</v>
          </cell>
          <cell r="F31">
            <v>1.0209999999999999</v>
          </cell>
          <cell r="G31">
            <v>1.0269999999999999</v>
          </cell>
          <cell r="R31">
            <v>1.0485669999999998</v>
          </cell>
        </row>
        <row r="32">
          <cell r="A32">
            <v>1754</v>
          </cell>
          <cell r="B32" t="str">
            <v>NIGHT FIRE RANGE</v>
          </cell>
          <cell r="C32" t="str">
            <v>FP</v>
          </cell>
          <cell r="D32" t="str">
            <v>S</v>
          </cell>
          <cell r="F32">
            <v>1.0209999999999999</v>
          </cell>
          <cell r="G32">
            <v>1.0269999999999999</v>
          </cell>
          <cell r="R32">
            <v>1.0485669999999998</v>
          </cell>
        </row>
        <row r="33">
          <cell r="A33">
            <v>1755</v>
          </cell>
          <cell r="B33" t="str">
            <v>KNOWN DISTANCE RANGE</v>
          </cell>
          <cell r="C33" t="str">
            <v>FP</v>
          </cell>
          <cell r="D33" t="str">
            <v>S</v>
          </cell>
          <cell r="F33">
            <v>1.0209999999999999</v>
          </cell>
          <cell r="G33">
            <v>1.0269999999999999</v>
          </cell>
          <cell r="R33">
            <v>1.0485669999999998</v>
          </cell>
        </row>
        <row r="34">
          <cell r="A34">
            <v>1756</v>
          </cell>
          <cell r="B34" t="str">
            <v>SNIPER RANGE</v>
          </cell>
          <cell r="C34" t="str">
            <v>FP</v>
          </cell>
          <cell r="D34" t="str">
            <v>S</v>
          </cell>
          <cell r="F34">
            <v>1.0209999999999999</v>
          </cell>
          <cell r="G34">
            <v>1.0269999999999999</v>
          </cell>
          <cell r="R34">
            <v>1.0485669999999998</v>
          </cell>
        </row>
        <row r="35">
          <cell r="A35">
            <v>1757</v>
          </cell>
          <cell r="B35" t="str">
            <v>PISTOL RANGE</v>
          </cell>
          <cell r="C35" t="str">
            <v>FP</v>
          </cell>
          <cell r="D35" t="str">
            <v>S</v>
          </cell>
          <cell r="F35">
            <v>1.0209999999999999</v>
          </cell>
          <cell r="G35">
            <v>1.0269999999999999</v>
          </cell>
          <cell r="R35">
            <v>1.0485669999999998</v>
          </cell>
        </row>
        <row r="36">
          <cell r="A36">
            <v>1758</v>
          </cell>
          <cell r="B36" t="str">
            <v>MACHINEGUN RANGE</v>
          </cell>
          <cell r="C36" t="str">
            <v>FP</v>
          </cell>
          <cell r="D36" t="str">
            <v>S</v>
          </cell>
          <cell r="F36">
            <v>1.0209999999999999</v>
          </cell>
          <cell r="G36">
            <v>1.0269999999999999</v>
          </cell>
          <cell r="R36">
            <v>1.0485669999999998</v>
          </cell>
        </row>
        <row r="37">
          <cell r="A37">
            <v>1760</v>
          </cell>
          <cell r="B37" t="str">
            <v>GENERAL PURPOSE DIRECT FIRE RANGE</v>
          </cell>
          <cell r="C37" t="str">
            <v>FP</v>
          </cell>
          <cell r="D37" t="str">
            <v>S</v>
          </cell>
          <cell r="F37">
            <v>1.0209999999999999</v>
          </cell>
          <cell r="G37">
            <v>1.0269999999999999</v>
          </cell>
          <cell r="R37">
            <v>1.0485669999999998</v>
          </cell>
        </row>
        <row r="38">
          <cell r="A38">
            <v>1761</v>
          </cell>
          <cell r="B38" t="str">
            <v>GRENADE LAUNCHER RANGE</v>
          </cell>
          <cell r="C38" t="str">
            <v>FP</v>
          </cell>
          <cell r="D38" t="str">
            <v>S</v>
          </cell>
          <cell r="F38">
            <v>1.0209999999999999</v>
          </cell>
          <cell r="G38">
            <v>1.0269999999999999</v>
          </cell>
          <cell r="R38">
            <v>1.0485669999999998</v>
          </cell>
        </row>
        <row r="39">
          <cell r="A39">
            <v>1762</v>
          </cell>
          <cell r="B39" t="str">
            <v>GRENADE MACHINEGUN RANGE</v>
          </cell>
          <cell r="C39" t="str">
            <v>LN</v>
          </cell>
          <cell r="D39" t="str">
            <v>S</v>
          </cell>
          <cell r="F39">
            <v>1.0209999999999999</v>
          </cell>
          <cell r="G39">
            <v>1.0269999999999999</v>
          </cell>
          <cell r="R39">
            <v>1.0485669999999998</v>
          </cell>
        </row>
        <row r="40">
          <cell r="A40">
            <v>1763</v>
          </cell>
          <cell r="B40" t="str">
            <v>LIGHT ANTIARMOR WEAPON RANGE</v>
          </cell>
          <cell r="C40" t="str">
            <v>FP</v>
          </cell>
          <cell r="D40" t="str">
            <v>S</v>
          </cell>
          <cell r="F40">
            <v>1.0209999999999999</v>
          </cell>
          <cell r="G40">
            <v>1.0269999999999999</v>
          </cell>
          <cell r="R40">
            <v>1.0485669999999998</v>
          </cell>
        </row>
        <row r="41">
          <cell r="A41">
            <v>1764</v>
          </cell>
          <cell r="B41" t="str">
            <v>HEAVY ANTIARMOR WEAPON RANGE</v>
          </cell>
          <cell r="C41" t="str">
            <v>LN</v>
          </cell>
          <cell r="D41" t="str">
            <v>S</v>
          </cell>
          <cell r="F41">
            <v>1.0209999999999999</v>
          </cell>
          <cell r="G41">
            <v>1.0269999999999999</v>
          </cell>
          <cell r="R41">
            <v>1.0485669999999998</v>
          </cell>
        </row>
        <row r="42">
          <cell r="A42">
            <v>1765</v>
          </cell>
          <cell r="B42" t="str">
            <v>ARTILLERY DIRECT FIRE RANGE</v>
          </cell>
          <cell r="C42" t="str">
            <v>EA</v>
          </cell>
          <cell r="D42" t="str">
            <v>S</v>
          </cell>
          <cell r="F42">
            <v>1.0209999999999999</v>
          </cell>
          <cell r="G42">
            <v>1.0269999999999999</v>
          </cell>
          <cell r="R42">
            <v>1.0485669999999998</v>
          </cell>
        </row>
        <row r="43">
          <cell r="A43">
            <v>1766</v>
          </cell>
          <cell r="B43" t="str">
            <v>TANK STATIONARY GUNNERY RANGE</v>
          </cell>
          <cell r="C43" t="str">
            <v>EA</v>
          </cell>
          <cell r="D43" t="str">
            <v>S</v>
          </cell>
          <cell r="F43">
            <v>1.0209999999999999</v>
          </cell>
          <cell r="G43">
            <v>1.0269999999999999</v>
          </cell>
          <cell r="R43">
            <v>1.0485669999999998</v>
          </cell>
        </row>
        <row r="44">
          <cell r="A44">
            <v>1767</v>
          </cell>
          <cell r="B44" t="str">
            <v>INDIRECT FIRE RANGE</v>
          </cell>
          <cell r="C44" t="str">
            <v>EA</v>
          </cell>
          <cell r="D44" t="str">
            <v>S</v>
          </cell>
          <cell r="F44">
            <v>1.0209999999999999</v>
          </cell>
          <cell r="G44">
            <v>1.0269999999999999</v>
          </cell>
          <cell r="R44">
            <v>1.0485669999999998</v>
          </cell>
        </row>
        <row r="45">
          <cell r="A45">
            <v>1768</v>
          </cell>
          <cell r="B45" t="str">
            <v>SCALED INDIRECT FIRE RANGE</v>
          </cell>
          <cell r="C45" t="str">
            <v>EA</v>
          </cell>
          <cell r="D45" t="str">
            <v>S</v>
          </cell>
          <cell r="F45">
            <v>1.0209999999999999</v>
          </cell>
          <cell r="G45">
            <v>1.0269999999999999</v>
          </cell>
          <cell r="R45">
            <v>1.0485669999999998</v>
          </cell>
        </row>
        <row r="46">
          <cell r="A46">
            <v>1769</v>
          </cell>
          <cell r="B46" t="str">
            <v>SCALED GUNNERY RANGE</v>
          </cell>
          <cell r="C46" t="str">
            <v>EA</v>
          </cell>
          <cell r="D46" t="str">
            <v>S</v>
          </cell>
          <cell r="F46">
            <v>1.0209999999999999</v>
          </cell>
          <cell r="G46">
            <v>1.0269999999999999</v>
          </cell>
          <cell r="R46">
            <v>1.0485669999999998</v>
          </cell>
        </row>
        <row r="47">
          <cell r="A47">
            <v>1771</v>
          </cell>
          <cell r="B47" t="str">
            <v>ARMOR VEHICLE CREW TRAINING RANGE</v>
          </cell>
          <cell r="C47" t="str">
            <v>LN</v>
          </cell>
          <cell r="D47" t="str">
            <v>S</v>
          </cell>
          <cell r="F47">
            <v>1.0209999999999999</v>
          </cell>
          <cell r="G47">
            <v>1.0269999999999999</v>
          </cell>
          <cell r="P47">
            <v>1.032</v>
          </cell>
          <cell r="R47">
            <v>1.0821211439999998</v>
          </cell>
        </row>
        <row r="48">
          <cell r="A48">
            <v>1772</v>
          </cell>
          <cell r="B48" t="str">
            <v>ARMOR VEHICLE UNIT TRAINING RANGE</v>
          </cell>
          <cell r="C48" t="str">
            <v>EA</v>
          </cell>
          <cell r="D48" t="str">
            <v>S</v>
          </cell>
          <cell r="F48">
            <v>1.0209999999999999</v>
          </cell>
          <cell r="G48">
            <v>1.0269999999999999</v>
          </cell>
          <cell r="P48">
            <v>1.032</v>
          </cell>
          <cell r="R48">
            <v>1.0821211439999998</v>
          </cell>
        </row>
        <row r="49">
          <cell r="A49">
            <v>1773</v>
          </cell>
          <cell r="B49" t="str">
            <v>FIRE AND MOVEMENT RANGE</v>
          </cell>
          <cell r="C49" t="str">
            <v>LN</v>
          </cell>
          <cell r="D49" t="str">
            <v>S</v>
          </cell>
          <cell r="F49">
            <v>1.0209999999999999</v>
          </cell>
          <cell r="G49">
            <v>1.0269999999999999</v>
          </cell>
          <cell r="R49">
            <v>1.0485669999999998</v>
          </cell>
        </row>
        <row r="50">
          <cell r="A50">
            <v>1774</v>
          </cell>
          <cell r="B50" t="str">
            <v>SQUAD DEFENSE RANGE</v>
          </cell>
          <cell r="C50" t="str">
            <v>EA</v>
          </cell>
          <cell r="D50" t="str">
            <v>S</v>
          </cell>
          <cell r="F50">
            <v>1.0209999999999999</v>
          </cell>
          <cell r="G50">
            <v>1.0269999999999999</v>
          </cell>
          <cell r="R50">
            <v>1.0485669999999998</v>
          </cell>
        </row>
        <row r="51">
          <cell r="A51">
            <v>1775</v>
          </cell>
          <cell r="B51" t="str">
            <v>INFANTRY BATTLE COURSE</v>
          </cell>
          <cell r="C51" t="str">
            <v>EA</v>
          </cell>
          <cell r="D51" t="str">
            <v>S</v>
          </cell>
          <cell r="F51">
            <v>1.0209999999999999</v>
          </cell>
          <cell r="G51">
            <v>1.0269999999999999</v>
          </cell>
          <cell r="R51">
            <v>1.0485669999999998</v>
          </cell>
        </row>
        <row r="52">
          <cell r="A52">
            <v>1776</v>
          </cell>
          <cell r="B52" t="str">
            <v>URBAN COMBAT TRAINING RANGE</v>
          </cell>
          <cell r="C52" t="str">
            <v>EA</v>
          </cell>
          <cell r="D52" t="str">
            <v>S</v>
          </cell>
          <cell r="F52">
            <v>1.0209999999999999</v>
          </cell>
          <cell r="G52">
            <v>1.0269999999999999</v>
          </cell>
          <cell r="P52">
            <v>1.032</v>
          </cell>
          <cell r="R52">
            <v>1.0821211439999998</v>
          </cell>
        </row>
        <row r="53">
          <cell r="A53">
            <v>1777</v>
          </cell>
          <cell r="B53" t="str">
            <v>CONVOY LIVE FIRE RANGE</v>
          </cell>
          <cell r="C53" t="str">
            <v>FP</v>
          </cell>
          <cell r="D53" t="str">
            <v>S</v>
          </cell>
          <cell r="F53">
            <v>1.0209999999999999</v>
          </cell>
          <cell r="G53">
            <v>1.0269999999999999</v>
          </cell>
          <cell r="R53">
            <v>1.0485669999999998</v>
          </cell>
        </row>
        <row r="54">
          <cell r="A54">
            <v>1781</v>
          </cell>
          <cell r="B54" t="str">
            <v>LIVE HAND GRENADE RANGE</v>
          </cell>
          <cell r="C54" t="str">
            <v>FP</v>
          </cell>
          <cell r="D54" t="str">
            <v>S</v>
          </cell>
          <cell r="F54">
            <v>1.0209999999999999</v>
          </cell>
          <cell r="G54">
            <v>1.0269999999999999</v>
          </cell>
          <cell r="R54">
            <v>1.0485669999999998</v>
          </cell>
        </row>
        <row r="55">
          <cell r="A55">
            <v>1782</v>
          </cell>
          <cell r="B55" t="str">
            <v>ENGINEER QUALIFICATION RANGE</v>
          </cell>
          <cell r="C55" t="str">
            <v>FP</v>
          </cell>
          <cell r="D55" t="str">
            <v>S</v>
          </cell>
          <cell r="F55">
            <v>1.0209999999999999</v>
          </cell>
          <cell r="G55">
            <v>1.0269999999999999</v>
          </cell>
          <cell r="R55">
            <v>1.0485669999999998</v>
          </cell>
        </row>
        <row r="56">
          <cell r="A56">
            <v>1783</v>
          </cell>
          <cell r="B56" t="str">
            <v>LIGHT DEMOLITION AND FLAME TRAINING RANGE</v>
          </cell>
          <cell r="C56" t="str">
            <v>FP</v>
          </cell>
          <cell r="D56" t="str">
            <v>S</v>
          </cell>
          <cell r="F56">
            <v>1.0209999999999999</v>
          </cell>
          <cell r="G56">
            <v>1.0269999999999999</v>
          </cell>
          <cell r="R56">
            <v>1.0485669999999998</v>
          </cell>
        </row>
        <row r="57">
          <cell r="A57">
            <v>1790</v>
          </cell>
          <cell r="B57" t="str">
            <v>MISCELLANEOUS TRAINING FACILITY</v>
          </cell>
          <cell r="C57" t="str">
            <v>EA</v>
          </cell>
          <cell r="D57" t="str">
            <v>S</v>
          </cell>
          <cell r="F57">
            <v>1.0209999999999999</v>
          </cell>
          <cell r="G57">
            <v>1.0269999999999999</v>
          </cell>
          <cell r="R57">
            <v>1.0485669999999998</v>
          </cell>
        </row>
        <row r="58">
          <cell r="A58">
            <v>1791</v>
          </cell>
          <cell r="B58" t="str">
            <v>AIRCRAFT WEAPONS CALIBRATION RANGE</v>
          </cell>
          <cell r="C58" t="str">
            <v>EA</v>
          </cell>
          <cell r="D58" t="str">
            <v>S</v>
          </cell>
          <cell r="F58">
            <v>1.0209999999999999</v>
          </cell>
          <cell r="G58">
            <v>1.0269999999999999</v>
          </cell>
          <cell r="R58">
            <v>1.0485669999999998</v>
          </cell>
        </row>
        <row r="59">
          <cell r="A59">
            <v>1792</v>
          </cell>
          <cell r="B59" t="str">
            <v>ATTACK HELICOPTER WEAPONS RANGE</v>
          </cell>
          <cell r="C59" t="str">
            <v>EA</v>
          </cell>
          <cell r="D59" t="str">
            <v>S</v>
          </cell>
          <cell r="F59">
            <v>1.0209999999999999</v>
          </cell>
          <cell r="G59">
            <v>1.0269999999999999</v>
          </cell>
          <cell r="P59">
            <v>1.032</v>
          </cell>
          <cell r="R59">
            <v>1.0821211439999998</v>
          </cell>
        </row>
        <row r="60">
          <cell r="A60">
            <v>1793</v>
          </cell>
          <cell r="B60" t="str">
            <v>AIRCRAFT WEAPONS RANGE</v>
          </cell>
          <cell r="C60" t="str">
            <v>EA</v>
          </cell>
          <cell r="D60" t="str">
            <v>S</v>
          </cell>
          <cell r="F60">
            <v>1.0209999999999999</v>
          </cell>
          <cell r="G60">
            <v>1.0269999999999999</v>
          </cell>
          <cell r="R60">
            <v>1.0485669999999998</v>
          </cell>
        </row>
        <row r="61">
          <cell r="A61">
            <v>1794</v>
          </cell>
          <cell r="B61" t="str">
            <v>AIR DEFENSE RANGE</v>
          </cell>
          <cell r="C61" t="str">
            <v>FP</v>
          </cell>
          <cell r="D61" t="str">
            <v>S</v>
          </cell>
          <cell r="F61">
            <v>1.0209999999999999</v>
          </cell>
          <cell r="G61">
            <v>1.0269999999999999</v>
          </cell>
          <cell r="R61">
            <v>1.0485669999999998</v>
          </cell>
        </row>
        <row r="62">
          <cell r="A62">
            <v>1795</v>
          </cell>
          <cell r="B62" t="str">
            <v>UNENCLOSED FIRE FIGHTER TRAINER FACILITY</v>
          </cell>
          <cell r="C62" t="str">
            <v>SF</v>
          </cell>
          <cell r="D62" t="str">
            <v>S</v>
          </cell>
          <cell r="F62">
            <v>1.0209999999999999</v>
          </cell>
          <cell r="G62">
            <v>1.0269999999999999</v>
          </cell>
          <cell r="P62">
            <v>1.032</v>
          </cell>
          <cell r="R62">
            <v>1.0821211439999998</v>
          </cell>
        </row>
        <row r="63">
          <cell r="A63">
            <v>1796</v>
          </cell>
          <cell r="B63" t="str">
            <v>URBAN COMBAT TRAINING AREA, NON-FIRE</v>
          </cell>
          <cell r="C63" t="str">
            <v>SF</v>
          </cell>
          <cell r="D63" t="str">
            <v>S</v>
          </cell>
          <cell r="F63">
            <v>1.0209999999999999</v>
          </cell>
          <cell r="G63">
            <v>1.0269999999999999</v>
          </cell>
          <cell r="P63">
            <v>1.032</v>
          </cell>
          <cell r="R63">
            <v>1.0821211439999998</v>
          </cell>
        </row>
        <row r="64">
          <cell r="A64">
            <v>1797</v>
          </cell>
          <cell r="B64" t="str">
            <v>HAND GRENADE RANGE, NON-FIRING</v>
          </cell>
          <cell r="C64" t="str">
            <v>FP</v>
          </cell>
          <cell r="D64" t="str">
            <v>S</v>
          </cell>
          <cell r="F64">
            <v>1.0209999999999999</v>
          </cell>
          <cell r="G64">
            <v>1.0269999999999999</v>
          </cell>
          <cell r="R64">
            <v>1.0485669999999998</v>
          </cell>
        </row>
        <row r="65">
          <cell r="A65">
            <v>1798</v>
          </cell>
          <cell r="B65" t="str">
            <v>INFILTRATION COURSE, LIVE FIRE</v>
          </cell>
          <cell r="C65" t="str">
            <v>EA</v>
          </cell>
          <cell r="D65" t="str">
            <v>S</v>
          </cell>
          <cell r="F65">
            <v>1.0209999999999999</v>
          </cell>
          <cell r="G65">
            <v>1.0269999999999999</v>
          </cell>
          <cell r="R65">
            <v>1.0485669999999998</v>
          </cell>
        </row>
        <row r="66">
          <cell r="A66">
            <v>1799</v>
          </cell>
          <cell r="B66" t="str">
            <v>CONFIDENCE/OBSTACLE COURSE</v>
          </cell>
          <cell r="C66" t="str">
            <v>EA</v>
          </cell>
          <cell r="D66" t="str">
            <v>S</v>
          </cell>
          <cell r="F66">
            <v>1.0209999999999999</v>
          </cell>
          <cell r="G66">
            <v>1.0269999999999999</v>
          </cell>
          <cell r="R66">
            <v>1.0485669999999998</v>
          </cell>
        </row>
        <row r="67">
          <cell r="A67">
            <v>2112</v>
          </cell>
          <cell r="B67" t="str">
            <v>AIRCRAFT MAINTENANCE SHOP</v>
          </cell>
          <cell r="C67" t="str">
            <v>SF</v>
          </cell>
          <cell r="D67" t="str">
            <v>B</v>
          </cell>
          <cell r="F67">
            <v>1.0209999999999999</v>
          </cell>
          <cell r="G67">
            <v>1.0269999999999999</v>
          </cell>
          <cell r="H67">
            <v>1.0029999999999999</v>
          </cell>
          <cell r="I67">
            <v>1.0289999999999999</v>
          </cell>
          <cell r="J67">
            <v>1.0049999999999999</v>
          </cell>
          <cell r="M67">
            <v>1.0029999999999999</v>
          </cell>
          <cell r="N67">
            <v>1.0029999999999999</v>
          </cell>
          <cell r="O67">
            <v>1.0209999999999999</v>
          </cell>
          <cell r="P67">
            <v>1.032</v>
          </cell>
          <cell r="Q67">
            <v>1.0349999999999999</v>
          </cell>
          <cell r="R67">
            <v>1.1932356231980656</v>
          </cell>
        </row>
        <row r="68">
          <cell r="A68">
            <v>2121</v>
          </cell>
          <cell r="B68" t="str">
            <v>MISSILE MAINTENANCE/ASSEMBLY BUILDING</v>
          </cell>
          <cell r="C68" t="str">
            <v>SF</v>
          </cell>
          <cell r="D68" t="str">
            <v>B</v>
          </cell>
          <cell r="F68">
            <v>1.0209999999999999</v>
          </cell>
          <cell r="G68">
            <v>1.0269999999999999</v>
          </cell>
          <cell r="H68">
            <v>1.0029999999999999</v>
          </cell>
          <cell r="I68">
            <v>1.0289999999999999</v>
          </cell>
          <cell r="J68">
            <v>1.0049999999999999</v>
          </cell>
          <cell r="M68">
            <v>1.0029999999999999</v>
          </cell>
          <cell r="N68">
            <v>1.0029999999999999</v>
          </cell>
          <cell r="O68">
            <v>1.0209999999999999</v>
          </cell>
          <cell r="P68">
            <v>1.032</v>
          </cell>
          <cell r="Q68">
            <v>1.0349999999999999</v>
          </cell>
          <cell r="R68">
            <v>1.1932356231980656</v>
          </cell>
        </row>
        <row r="69">
          <cell r="A69">
            <v>2123</v>
          </cell>
          <cell r="B69" t="str">
            <v>MISSILE/LAUNCHER MAINTENANCE SUPPORT FACILITY</v>
          </cell>
          <cell r="C69" t="str">
            <v>SF</v>
          </cell>
          <cell r="D69" t="str">
            <v>B</v>
          </cell>
          <cell r="F69">
            <v>1.0209999999999999</v>
          </cell>
          <cell r="G69">
            <v>1.0269999999999999</v>
          </cell>
          <cell r="H69">
            <v>1.0029999999999999</v>
          </cell>
          <cell r="I69">
            <v>1.0289999999999999</v>
          </cell>
          <cell r="J69">
            <v>1.0049999999999999</v>
          </cell>
          <cell r="M69">
            <v>1.0029999999999999</v>
          </cell>
          <cell r="N69">
            <v>1.0029999999999999</v>
          </cell>
          <cell r="O69">
            <v>1.0209999999999999</v>
          </cell>
          <cell r="P69">
            <v>1.032</v>
          </cell>
          <cell r="Q69">
            <v>1.0349999999999999</v>
          </cell>
          <cell r="R69">
            <v>1.1932356231980656</v>
          </cell>
        </row>
        <row r="70">
          <cell r="A70">
            <v>2124</v>
          </cell>
          <cell r="B70" t="str">
            <v>MISSILE TEST TOWER</v>
          </cell>
          <cell r="C70" t="str">
            <v>EA</v>
          </cell>
          <cell r="D70" t="str">
            <v>S</v>
          </cell>
          <cell r="F70">
            <v>1.0209999999999999</v>
          </cell>
          <cell r="G70">
            <v>1.0269999999999999</v>
          </cell>
          <cell r="N70">
            <v>1.0029999999999999</v>
          </cell>
          <cell r="P70">
            <v>1.032</v>
          </cell>
          <cell r="Q70">
            <v>1.0349999999999999</v>
          </cell>
          <cell r="R70">
            <v>1.1233553701921195</v>
          </cell>
        </row>
        <row r="71">
          <cell r="A71">
            <v>2125</v>
          </cell>
          <cell r="B71" t="str">
            <v>MISSILE MAINTENANCE/ASSEMBLY BUILDING, DEPOT</v>
          </cell>
          <cell r="C71" t="str">
            <v>SF</v>
          </cell>
          <cell r="D71" t="str">
            <v>B</v>
          </cell>
          <cell r="F71">
            <v>1.0209999999999999</v>
          </cell>
          <cell r="G71">
            <v>1.0269999999999999</v>
          </cell>
          <cell r="H71">
            <v>1.0029999999999999</v>
          </cell>
          <cell r="I71">
            <v>1.0289999999999999</v>
          </cell>
          <cell r="J71">
            <v>1.0049999999999999</v>
          </cell>
          <cell r="M71">
            <v>1.0029999999999999</v>
          </cell>
          <cell r="N71">
            <v>1.0029999999999999</v>
          </cell>
          <cell r="O71">
            <v>1.0209999999999999</v>
          </cell>
          <cell r="P71">
            <v>1.032</v>
          </cell>
          <cell r="Q71">
            <v>1.0349999999999999</v>
          </cell>
          <cell r="R71">
            <v>1.1932356231980656</v>
          </cell>
        </row>
        <row r="72">
          <cell r="A72">
            <v>2126</v>
          </cell>
          <cell r="B72" t="str">
            <v>ICBM PROCESSING FACILITY</v>
          </cell>
          <cell r="C72" t="str">
            <v>SF</v>
          </cell>
          <cell r="D72" t="str">
            <v>B</v>
          </cell>
          <cell r="F72">
            <v>1.0209999999999999</v>
          </cell>
          <cell r="G72">
            <v>1.0269999999999999</v>
          </cell>
          <cell r="H72">
            <v>1.0029999999999999</v>
          </cell>
          <cell r="I72">
            <v>1.0289999999999999</v>
          </cell>
          <cell r="J72">
            <v>1.0049999999999999</v>
          </cell>
          <cell r="M72">
            <v>1.0029999999999999</v>
          </cell>
          <cell r="N72">
            <v>1.0029999999999999</v>
          </cell>
          <cell r="O72">
            <v>1.0209999999999999</v>
          </cell>
          <cell r="P72">
            <v>1.032</v>
          </cell>
          <cell r="Q72">
            <v>1.0349999999999999</v>
          </cell>
          <cell r="R72">
            <v>1.1932356231980656</v>
          </cell>
        </row>
        <row r="73">
          <cell r="A73">
            <v>2131</v>
          </cell>
          <cell r="B73" t="str">
            <v>SHIP MAINTENANCE DRY DOCK</v>
          </cell>
          <cell r="C73" t="str">
            <v>SF</v>
          </cell>
          <cell r="D73" t="str">
            <v>S</v>
          </cell>
          <cell r="F73">
            <v>1.0209999999999999</v>
          </cell>
          <cell r="G73">
            <v>1.0269999999999999</v>
          </cell>
          <cell r="H73">
            <v>1.0029999999999999</v>
          </cell>
          <cell r="N73">
            <v>1.0029999999999999</v>
          </cell>
          <cell r="O73">
            <v>1.0209999999999999</v>
          </cell>
          <cell r="P73">
            <v>1.032</v>
          </cell>
          <cell r="Q73">
            <v>1.0349999999999999</v>
          </cell>
          <cell r="R73">
            <v>1.1503866704650523</v>
          </cell>
        </row>
        <row r="74">
          <cell r="A74">
            <v>2134</v>
          </cell>
          <cell r="B74" t="str">
            <v>MARINE MAINTENANCE SUPPORT FACILITY</v>
          </cell>
          <cell r="C74" t="str">
            <v>SF</v>
          </cell>
          <cell r="D74" t="str">
            <v>B</v>
          </cell>
          <cell r="F74">
            <v>1.0209999999999999</v>
          </cell>
          <cell r="G74">
            <v>1.0269999999999999</v>
          </cell>
          <cell r="J74">
            <v>1.0049999999999999</v>
          </cell>
          <cell r="N74">
            <v>1.0029999999999999</v>
          </cell>
          <cell r="P74">
            <v>1.032</v>
          </cell>
          <cell r="Q74">
            <v>1.0349999999999999</v>
          </cell>
          <cell r="R74">
            <v>1.12897214704308</v>
          </cell>
        </row>
        <row r="75">
          <cell r="A75">
            <v>2152</v>
          </cell>
          <cell r="B75" t="str">
            <v>WEAPON MAINTENANCE SHOP, DEPOT</v>
          </cell>
          <cell r="C75" t="str">
            <v>SF</v>
          </cell>
          <cell r="D75" t="str">
            <v>B</v>
          </cell>
          <cell r="F75">
            <v>1.0209999999999999</v>
          </cell>
          <cell r="G75">
            <v>1.0269999999999999</v>
          </cell>
          <cell r="H75">
            <v>1.0029999999999999</v>
          </cell>
          <cell r="I75">
            <v>1.0289999999999999</v>
          </cell>
          <cell r="J75">
            <v>1.0049999999999999</v>
          </cell>
          <cell r="M75">
            <v>1.0029999999999999</v>
          </cell>
          <cell r="N75">
            <v>1.0029999999999999</v>
          </cell>
          <cell r="O75">
            <v>1.0209999999999999</v>
          </cell>
          <cell r="P75">
            <v>1.032</v>
          </cell>
          <cell r="Q75">
            <v>1.0349999999999999</v>
          </cell>
          <cell r="R75">
            <v>1.1932356231980656</v>
          </cell>
        </row>
        <row r="76">
          <cell r="A76">
            <v>2154</v>
          </cell>
          <cell r="B76" t="str">
            <v>WEAPON MAINTENANCE FACILITY, DEPOT</v>
          </cell>
          <cell r="C76" t="str">
            <v>SF</v>
          </cell>
          <cell r="D76" t="str">
            <v>S</v>
          </cell>
          <cell r="F76">
            <v>1.0209999999999999</v>
          </cell>
          <cell r="G76">
            <v>1.0269999999999999</v>
          </cell>
          <cell r="J76">
            <v>1.0049999999999999</v>
          </cell>
          <cell r="M76">
            <v>1.0029999999999999</v>
          </cell>
          <cell r="N76">
            <v>1.0029999999999999</v>
          </cell>
          <cell r="O76">
            <v>1.0209999999999999</v>
          </cell>
          <cell r="P76">
            <v>1.032</v>
          </cell>
          <cell r="Q76">
            <v>1.0349999999999999</v>
          </cell>
          <cell r="R76">
            <v>1.1561386038173773</v>
          </cell>
        </row>
        <row r="77">
          <cell r="A77">
            <v>2161</v>
          </cell>
          <cell r="B77" t="str">
            <v>AMMUNITION MAINTENANCE SHOP</v>
          </cell>
          <cell r="C77" t="str">
            <v>SF</v>
          </cell>
          <cell r="D77" t="str">
            <v>S</v>
          </cell>
          <cell r="F77">
            <v>1.0209999999999999</v>
          </cell>
          <cell r="G77">
            <v>1.0269999999999999</v>
          </cell>
          <cell r="J77">
            <v>1.0049999999999999</v>
          </cell>
          <cell r="M77">
            <v>1.0029999999999999</v>
          </cell>
          <cell r="N77">
            <v>1.0029999999999999</v>
          </cell>
          <cell r="O77">
            <v>1.0209999999999999</v>
          </cell>
          <cell r="P77">
            <v>1.032</v>
          </cell>
          <cell r="Q77">
            <v>1.0349999999999999</v>
          </cell>
          <cell r="R77">
            <v>1.1561386038173773</v>
          </cell>
        </row>
        <row r="78">
          <cell r="A78">
            <v>2162</v>
          </cell>
          <cell r="B78" t="str">
            <v>AMMUNITION MAINTENANCE SHOP, DEPOT</v>
          </cell>
          <cell r="C78" t="str">
            <v>SF</v>
          </cell>
          <cell r="D78" t="str">
            <v>S</v>
          </cell>
          <cell r="F78">
            <v>1.0209999999999999</v>
          </cell>
          <cell r="G78">
            <v>1.0269999999999999</v>
          </cell>
          <cell r="J78">
            <v>1.0049999999999999</v>
          </cell>
          <cell r="M78">
            <v>1.0029999999999999</v>
          </cell>
          <cell r="N78">
            <v>1.0029999999999999</v>
          </cell>
          <cell r="O78">
            <v>1.0209999999999999</v>
          </cell>
          <cell r="P78">
            <v>1.032</v>
          </cell>
          <cell r="Q78">
            <v>1.0349999999999999</v>
          </cell>
          <cell r="R78">
            <v>1.1561386038173773</v>
          </cell>
        </row>
        <row r="79">
          <cell r="A79">
            <v>2163</v>
          </cell>
          <cell r="B79" t="str">
            <v>AMMUNITION MAINTENANCE FACILITY, DEPOT</v>
          </cell>
          <cell r="C79" t="str">
            <v>SF</v>
          </cell>
          <cell r="D79" t="str">
            <v>S</v>
          </cell>
          <cell r="F79">
            <v>1.0209999999999999</v>
          </cell>
          <cell r="G79">
            <v>1.0269999999999999</v>
          </cell>
          <cell r="J79">
            <v>1.0049999999999999</v>
          </cell>
          <cell r="M79">
            <v>1.0029999999999999</v>
          </cell>
          <cell r="N79">
            <v>1.0029999999999999</v>
          </cell>
          <cell r="O79">
            <v>1.0209999999999999</v>
          </cell>
          <cell r="P79">
            <v>1.032</v>
          </cell>
          <cell r="Q79">
            <v>1.0349999999999999</v>
          </cell>
          <cell r="R79">
            <v>1.1561386038173773</v>
          </cell>
        </row>
        <row r="80">
          <cell r="A80">
            <v>2173</v>
          </cell>
          <cell r="B80" t="str">
            <v>ELECTRONIC AND COMMUNICATION MAINTENANCE FACILITY</v>
          </cell>
          <cell r="C80" t="str">
            <v>EA</v>
          </cell>
          <cell r="D80" t="str">
            <v>S</v>
          </cell>
          <cell r="F80">
            <v>1.0209999999999999</v>
          </cell>
          <cell r="G80">
            <v>1.0269999999999999</v>
          </cell>
          <cell r="R80">
            <v>1.0485669999999998</v>
          </cell>
        </row>
        <row r="81">
          <cell r="A81">
            <v>2191</v>
          </cell>
          <cell r="B81" t="str">
            <v>FACILITY ENGINEER MAINTENANCE SHOP</v>
          </cell>
          <cell r="C81" t="str">
            <v>SF</v>
          </cell>
          <cell r="D81" t="str">
            <v>B</v>
          </cell>
          <cell r="E81">
            <v>1.0740000000000001</v>
          </cell>
          <cell r="F81">
            <v>1.0209999999999999</v>
          </cell>
          <cell r="G81">
            <v>1.0269999999999999</v>
          </cell>
          <cell r="J81">
            <v>1.0049999999999999</v>
          </cell>
          <cell r="M81">
            <v>1.0029999999999999</v>
          </cell>
          <cell r="N81">
            <v>1.0029999999999999</v>
          </cell>
          <cell r="O81">
            <v>1.0209999999999999</v>
          </cell>
          <cell r="P81">
            <v>1.032</v>
          </cell>
          <cell r="Q81">
            <v>1.0349999999999999</v>
          </cell>
          <cell r="R81">
            <v>1.2416928604998634</v>
          </cell>
        </row>
        <row r="82">
          <cell r="A82">
            <v>2192</v>
          </cell>
          <cell r="B82" t="str">
            <v>FACILITY ENGINEER MAINTENANCE FACILITY</v>
          </cell>
          <cell r="C82" t="str">
            <v>EA</v>
          </cell>
          <cell r="D82" t="str">
            <v>S</v>
          </cell>
          <cell r="F82">
            <v>1.0209999999999999</v>
          </cell>
          <cell r="G82">
            <v>1.0269999999999999</v>
          </cell>
          <cell r="N82">
            <v>1.0029999999999999</v>
          </cell>
          <cell r="R82">
            <v>1.0517127009999996</v>
          </cell>
        </row>
        <row r="83">
          <cell r="A83">
            <v>2211</v>
          </cell>
          <cell r="B83" t="str">
            <v>AIRCRAFT PRODUCTION PLANT</v>
          </cell>
          <cell r="C83" t="str">
            <v>SF</v>
          </cell>
          <cell r="D83" t="str">
            <v>B</v>
          </cell>
          <cell r="F83">
            <v>1.0209999999999999</v>
          </cell>
          <cell r="G83">
            <v>1.0269999999999999</v>
          </cell>
          <cell r="H83">
            <v>1.0029999999999999</v>
          </cell>
          <cell r="I83">
            <v>1.0289999999999999</v>
          </cell>
          <cell r="J83">
            <v>1.0049999999999999</v>
          </cell>
          <cell r="M83">
            <v>1.0029999999999999</v>
          </cell>
          <cell r="N83">
            <v>1.0029999999999999</v>
          </cell>
          <cell r="O83">
            <v>1.0209999999999999</v>
          </cell>
          <cell r="P83">
            <v>1.032</v>
          </cell>
          <cell r="Q83">
            <v>1.0349999999999999</v>
          </cell>
          <cell r="R83">
            <v>1.1932356231980656</v>
          </cell>
        </row>
        <row r="84">
          <cell r="A84">
            <v>2213</v>
          </cell>
          <cell r="B84" t="str">
            <v>AIRCRAFT PRODUCTION STRUCTURE</v>
          </cell>
          <cell r="C84" t="str">
            <v>SF</v>
          </cell>
          <cell r="D84" t="str">
            <v>S</v>
          </cell>
          <cell r="F84">
            <v>1.0209999999999999</v>
          </cell>
          <cell r="G84">
            <v>1.0269999999999999</v>
          </cell>
          <cell r="H84">
            <v>1.0029999999999999</v>
          </cell>
          <cell r="I84">
            <v>1.0289999999999999</v>
          </cell>
          <cell r="N84">
            <v>1.0029999999999999</v>
          </cell>
          <cell r="O84">
            <v>1.0209999999999999</v>
          </cell>
          <cell r="P84">
            <v>1.032</v>
          </cell>
          <cell r="Q84">
            <v>1.0349999999999999</v>
          </cell>
          <cell r="R84">
            <v>1.1837478839085387</v>
          </cell>
        </row>
        <row r="85">
          <cell r="A85">
            <v>2221</v>
          </cell>
          <cell r="B85" t="str">
            <v>MISSILE PRODUCTION PLANT</v>
          </cell>
          <cell r="C85" t="str">
            <v>SF</v>
          </cell>
          <cell r="D85" t="str">
            <v>B</v>
          </cell>
          <cell r="F85">
            <v>1.0209999999999999</v>
          </cell>
          <cell r="G85">
            <v>1.0269999999999999</v>
          </cell>
          <cell r="H85">
            <v>1.0029999999999999</v>
          </cell>
          <cell r="I85">
            <v>1.0289999999999999</v>
          </cell>
          <cell r="J85">
            <v>1.0049999999999999</v>
          </cell>
          <cell r="M85">
            <v>1.0029999999999999</v>
          </cell>
          <cell r="N85">
            <v>1.0029999999999999</v>
          </cell>
          <cell r="O85">
            <v>1.0209999999999999</v>
          </cell>
          <cell r="P85">
            <v>1.032</v>
          </cell>
          <cell r="Q85">
            <v>1.0349999999999999</v>
          </cell>
          <cell r="R85">
            <v>1.1932356231980656</v>
          </cell>
        </row>
        <row r="86">
          <cell r="A86">
            <v>2231</v>
          </cell>
          <cell r="B86" t="str">
            <v>SHIP PRODUCTION PLANT</v>
          </cell>
          <cell r="C86" t="str">
            <v>SF</v>
          </cell>
          <cell r="D86" t="str">
            <v>B</v>
          </cell>
          <cell r="F86">
            <v>1.0209999999999999</v>
          </cell>
          <cell r="G86">
            <v>1.0269999999999999</v>
          </cell>
          <cell r="H86">
            <v>1.0029999999999999</v>
          </cell>
          <cell r="I86">
            <v>1.0289999999999999</v>
          </cell>
          <cell r="J86">
            <v>1.0049999999999999</v>
          </cell>
          <cell r="M86">
            <v>1.0029999999999999</v>
          </cell>
          <cell r="N86">
            <v>1.0029999999999999</v>
          </cell>
          <cell r="O86">
            <v>1.0209999999999999</v>
          </cell>
          <cell r="P86">
            <v>1.032</v>
          </cell>
          <cell r="Q86">
            <v>1.0349999999999999</v>
          </cell>
          <cell r="R86">
            <v>1.1932356231980656</v>
          </cell>
        </row>
        <row r="87">
          <cell r="A87">
            <v>2241</v>
          </cell>
          <cell r="B87" t="str">
            <v>TANK/AUTOMOTIVE PRODUCTION PLANT</v>
          </cell>
          <cell r="C87" t="str">
            <v>SF</v>
          </cell>
          <cell r="D87" t="str">
            <v>B</v>
          </cell>
          <cell r="F87">
            <v>1.0209999999999999</v>
          </cell>
          <cell r="G87">
            <v>1.0269999999999999</v>
          </cell>
          <cell r="H87">
            <v>1.0029999999999999</v>
          </cell>
          <cell r="I87">
            <v>1.0289999999999999</v>
          </cell>
          <cell r="J87">
            <v>1.0049999999999999</v>
          </cell>
          <cell r="M87">
            <v>1.0029999999999999</v>
          </cell>
          <cell r="N87">
            <v>1.0029999999999999</v>
          </cell>
          <cell r="O87">
            <v>1.0209999999999999</v>
          </cell>
          <cell r="P87">
            <v>1.032</v>
          </cell>
          <cell r="Q87">
            <v>1.0349999999999999</v>
          </cell>
          <cell r="R87">
            <v>1.1932356231980656</v>
          </cell>
        </row>
        <row r="88">
          <cell r="A88">
            <v>2242</v>
          </cell>
          <cell r="B88" t="str">
            <v>TANK/AUTOMOTIVE PRODUCTION FACILITY</v>
          </cell>
          <cell r="C88" t="str">
            <v>SF</v>
          </cell>
          <cell r="D88" t="str">
            <v>S</v>
          </cell>
          <cell r="F88">
            <v>1.0209999999999999</v>
          </cell>
          <cell r="G88">
            <v>1.0269999999999999</v>
          </cell>
          <cell r="P88">
            <v>1.032</v>
          </cell>
          <cell r="Q88">
            <v>1.0349999999999999</v>
          </cell>
          <cell r="R88">
            <v>1.1199953840399997</v>
          </cell>
        </row>
        <row r="89">
          <cell r="A89">
            <v>2251</v>
          </cell>
          <cell r="B89" t="str">
            <v>WEAPON PRODUCTION PLANT</v>
          </cell>
          <cell r="C89" t="str">
            <v>SF</v>
          </cell>
          <cell r="D89" t="str">
            <v>B</v>
          </cell>
          <cell r="F89">
            <v>1.0209999999999999</v>
          </cell>
          <cell r="G89">
            <v>1.0269999999999999</v>
          </cell>
          <cell r="H89">
            <v>1.0029999999999999</v>
          </cell>
          <cell r="I89">
            <v>1.0289999999999999</v>
          </cell>
          <cell r="J89">
            <v>1.0049999999999999</v>
          </cell>
          <cell r="M89">
            <v>1.0029999999999999</v>
          </cell>
          <cell r="N89">
            <v>1.0029999999999999</v>
          </cell>
          <cell r="O89">
            <v>1.0209999999999999</v>
          </cell>
          <cell r="P89">
            <v>1.032</v>
          </cell>
          <cell r="Q89">
            <v>1.0349999999999999</v>
          </cell>
          <cell r="R89">
            <v>1.1932356231980656</v>
          </cell>
        </row>
        <row r="90">
          <cell r="A90">
            <v>2252</v>
          </cell>
          <cell r="B90" t="str">
            <v>WEAPON PRODUCTION FACILITY</v>
          </cell>
          <cell r="C90" t="str">
            <v>SF</v>
          </cell>
          <cell r="D90" t="str">
            <v>S</v>
          </cell>
          <cell r="F90">
            <v>1.0209999999999999</v>
          </cell>
          <cell r="G90">
            <v>1.0269999999999999</v>
          </cell>
          <cell r="H90">
            <v>1.0029999999999999</v>
          </cell>
          <cell r="I90">
            <v>1.0289999999999999</v>
          </cell>
          <cell r="J90">
            <v>1.0049999999999999</v>
          </cell>
          <cell r="M90">
            <v>1.0029999999999999</v>
          </cell>
          <cell r="N90">
            <v>1.0029999999999999</v>
          </cell>
          <cell r="O90">
            <v>1.0209999999999999</v>
          </cell>
          <cell r="P90">
            <v>1.032</v>
          </cell>
          <cell r="Q90">
            <v>1.0349999999999999</v>
          </cell>
          <cell r="R90">
            <v>1.1932356231980656</v>
          </cell>
        </row>
        <row r="91">
          <cell r="A91">
            <v>2261</v>
          </cell>
          <cell r="B91" t="str">
            <v>AMMUNITION PRODUCTION PLANT</v>
          </cell>
          <cell r="C91" t="str">
            <v>SF</v>
          </cell>
          <cell r="D91" t="str">
            <v>B</v>
          </cell>
          <cell r="F91">
            <v>1.0209999999999999</v>
          </cell>
          <cell r="G91">
            <v>1.0269999999999999</v>
          </cell>
          <cell r="H91">
            <v>1.0029999999999999</v>
          </cell>
          <cell r="I91">
            <v>1.0289999999999999</v>
          </cell>
          <cell r="J91">
            <v>1.0049999999999999</v>
          </cell>
          <cell r="M91">
            <v>1.0029999999999999</v>
          </cell>
          <cell r="N91">
            <v>1.0029999999999999</v>
          </cell>
          <cell r="O91">
            <v>1.0209999999999999</v>
          </cell>
          <cell r="P91">
            <v>1.032</v>
          </cell>
          <cell r="Q91">
            <v>1.0349999999999999</v>
          </cell>
          <cell r="R91">
            <v>1.1932356231980656</v>
          </cell>
        </row>
        <row r="92">
          <cell r="A92">
            <v>2262</v>
          </cell>
          <cell r="B92" t="str">
            <v>AMMUNITION PRODUCTION FACILITY</v>
          </cell>
          <cell r="C92" t="str">
            <v>SF</v>
          </cell>
          <cell r="D92" t="str">
            <v>S</v>
          </cell>
          <cell r="F92">
            <v>1.0209999999999999</v>
          </cell>
          <cell r="P92">
            <v>1.032</v>
          </cell>
          <cell r="Q92">
            <v>1.0349999999999999</v>
          </cell>
          <cell r="R92">
            <v>1.0905505199999999</v>
          </cell>
        </row>
        <row r="93">
          <cell r="A93">
            <v>2271</v>
          </cell>
          <cell r="B93" t="str">
            <v>ELECTRONIC AND COMMUNICATION PRODUCTION PLANT</v>
          </cell>
          <cell r="C93" t="str">
            <v>SF</v>
          </cell>
          <cell r="D93" t="str">
            <v>B</v>
          </cell>
          <cell r="F93">
            <v>1.0209999999999999</v>
          </cell>
          <cell r="G93">
            <v>1.0269999999999999</v>
          </cell>
          <cell r="H93">
            <v>1.0029999999999999</v>
          </cell>
          <cell r="I93">
            <v>1.0289999999999999</v>
          </cell>
          <cell r="J93">
            <v>1.0049999999999999</v>
          </cell>
          <cell r="M93">
            <v>1.0029999999999999</v>
          </cell>
          <cell r="N93">
            <v>1.0029999999999999</v>
          </cell>
          <cell r="O93">
            <v>1.0209999999999999</v>
          </cell>
          <cell r="P93">
            <v>1.032</v>
          </cell>
          <cell r="Q93">
            <v>1.0349999999999999</v>
          </cell>
          <cell r="R93">
            <v>1.1932356231980656</v>
          </cell>
        </row>
        <row r="94">
          <cell r="A94">
            <v>2281</v>
          </cell>
          <cell r="B94" t="str">
            <v>MISCELLANEOUS SUPPORT PRODUCTION PLANT</v>
          </cell>
          <cell r="C94" t="str">
            <v>SF</v>
          </cell>
          <cell r="D94" t="str">
            <v>B</v>
          </cell>
          <cell r="F94">
            <v>1.0209999999999999</v>
          </cell>
          <cell r="G94">
            <v>1.0269999999999999</v>
          </cell>
          <cell r="H94">
            <v>1.0029999999999999</v>
          </cell>
          <cell r="I94">
            <v>1.0289999999999999</v>
          </cell>
          <cell r="J94">
            <v>1.0049999999999999</v>
          </cell>
          <cell r="M94">
            <v>1.0029999999999999</v>
          </cell>
          <cell r="N94">
            <v>1.0029999999999999</v>
          </cell>
          <cell r="O94">
            <v>1.0209999999999999</v>
          </cell>
          <cell r="P94">
            <v>1.032</v>
          </cell>
          <cell r="Q94">
            <v>1.0349999999999999</v>
          </cell>
          <cell r="R94">
            <v>1.1932356231980656</v>
          </cell>
        </row>
        <row r="95">
          <cell r="A95">
            <v>2291</v>
          </cell>
          <cell r="B95" t="str">
            <v>CONSTRUCTION MATERIAL PRODUCTION PLANT</v>
          </cell>
          <cell r="C95" t="str">
            <v>EA</v>
          </cell>
          <cell r="D95" t="str">
            <v>S</v>
          </cell>
          <cell r="F95">
            <v>1.0209999999999999</v>
          </cell>
          <cell r="G95">
            <v>1.0269999999999999</v>
          </cell>
          <cell r="N95">
            <v>1.0029999999999999</v>
          </cell>
          <cell r="P95">
            <v>1.032</v>
          </cell>
          <cell r="Q95">
            <v>1.0349999999999999</v>
          </cell>
          <cell r="R95">
            <v>1.1233553701921195</v>
          </cell>
        </row>
        <row r="96">
          <cell r="A96">
            <v>3101</v>
          </cell>
          <cell r="B96" t="str">
            <v>RDT&amp;E LABORATORY</v>
          </cell>
          <cell r="C96" t="str">
            <v>SF</v>
          </cell>
          <cell r="D96" t="str">
            <v>B</v>
          </cell>
          <cell r="E96">
            <v>1.0740000000000001</v>
          </cell>
          <cell r="F96">
            <v>1.0209999999999999</v>
          </cell>
          <cell r="G96">
            <v>1.0269999999999999</v>
          </cell>
          <cell r="H96">
            <v>1.0029999999999999</v>
          </cell>
          <cell r="I96">
            <v>1.0289999999999999</v>
          </cell>
          <cell r="J96">
            <v>1.0049999999999999</v>
          </cell>
          <cell r="K96">
            <v>1.026</v>
          </cell>
          <cell r="L96">
            <v>1.0129999999999999</v>
          </cell>
          <cell r="M96">
            <v>1.0029999999999999</v>
          </cell>
          <cell r="N96">
            <v>1.0029999999999999</v>
          </cell>
          <cell r="O96">
            <v>1.0209999999999999</v>
          </cell>
          <cell r="P96">
            <v>1.032</v>
          </cell>
          <cell r="Q96">
            <v>1.0349999999999999</v>
          </cell>
          <cell r="R96">
            <v>1.3319480854780448</v>
          </cell>
        </row>
        <row r="97">
          <cell r="A97">
            <v>3102</v>
          </cell>
          <cell r="B97" t="str">
            <v>MEDICAL RESEARCH LABORATORY</v>
          </cell>
          <cell r="C97" t="str">
            <v>SF</v>
          </cell>
          <cell r="D97" t="str">
            <v>B</v>
          </cell>
          <cell r="E97">
            <v>1.0740000000000001</v>
          </cell>
          <cell r="F97">
            <v>1.0209999999999999</v>
          </cell>
          <cell r="G97">
            <v>1.0269999999999999</v>
          </cell>
          <cell r="H97">
            <v>1.0029999999999999</v>
          </cell>
          <cell r="I97">
            <v>1.0289999999999999</v>
          </cell>
          <cell r="J97">
            <v>1.0049999999999999</v>
          </cell>
          <cell r="K97">
            <v>1.026</v>
          </cell>
          <cell r="L97">
            <v>1.0129999999999999</v>
          </cell>
          <cell r="M97">
            <v>1.0029999999999999</v>
          </cell>
          <cell r="N97">
            <v>1.0029999999999999</v>
          </cell>
          <cell r="O97">
            <v>1.0209999999999999</v>
          </cell>
          <cell r="P97">
            <v>1.032</v>
          </cell>
          <cell r="Q97">
            <v>1.0349999999999999</v>
          </cell>
          <cell r="R97">
            <v>1.3319480854780448</v>
          </cell>
        </row>
        <row r="98">
          <cell r="A98">
            <v>3103</v>
          </cell>
          <cell r="B98" t="str">
            <v>BIOSAFETY LEVEL 3 LABORATORY</v>
          </cell>
          <cell r="C98" t="str">
            <v>SF</v>
          </cell>
          <cell r="D98" t="str">
            <v>B</v>
          </cell>
          <cell r="E98">
            <v>1.0740000000000001</v>
          </cell>
          <cell r="F98">
            <v>1.0209999999999999</v>
          </cell>
          <cell r="G98">
            <v>1.0269999999999999</v>
          </cell>
          <cell r="H98">
            <v>1.0029999999999999</v>
          </cell>
          <cell r="I98">
            <v>1.0289999999999999</v>
          </cell>
          <cell r="J98">
            <v>1.0049999999999999</v>
          </cell>
          <cell r="K98">
            <v>1.026</v>
          </cell>
          <cell r="L98">
            <v>1.0129999999999999</v>
          </cell>
          <cell r="M98">
            <v>1.0029999999999999</v>
          </cell>
          <cell r="N98">
            <v>1.0029999999999999</v>
          </cell>
          <cell r="O98">
            <v>1.0209999999999999</v>
          </cell>
          <cell r="P98">
            <v>1.032</v>
          </cell>
          <cell r="Q98">
            <v>1.0349999999999999</v>
          </cell>
          <cell r="R98">
            <v>1.3319480854780448</v>
          </cell>
        </row>
        <row r="99">
          <cell r="A99">
            <v>3104</v>
          </cell>
          <cell r="B99" t="str">
            <v>BIOSAFETY LEVEL 4 LABORATORY</v>
          </cell>
          <cell r="C99" t="str">
            <v>SF</v>
          </cell>
          <cell r="D99" t="str">
            <v>B</v>
          </cell>
          <cell r="E99">
            <v>1.0740000000000001</v>
          </cell>
          <cell r="F99">
            <v>1.0209999999999999</v>
          </cell>
          <cell r="G99">
            <v>1.0269999999999999</v>
          </cell>
          <cell r="H99">
            <v>1.0029999999999999</v>
          </cell>
          <cell r="I99">
            <v>1.0289999999999999</v>
          </cell>
          <cell r="J99">
            <v>1.0049999999999999</v>
          </cell>
          <cell r="K99">
            <v>1.026</v>
          </cell>
          <cell r="L99">
            <v>1.0129999999999999</v>
          </cell>
          <cell r="M99">
            <v>1.0029999999999999</v>
          </cell>
          <cell r="N99">
            <v>1.0029999999999999</v>
          </cell>
          <cell r="O99">
            <v>1.0209999999999999</v>
          </cell>
          <cell r="P99">
            <v>1.032</v>
          </cell>
          <cell r="Q99">
            <v>1.0349999999999999</v>
          </cell>
          <cell r="R99">
            <v>1.3319480854780448</v>
          </cell>
        </row>
        <row r="100">
          <cell r="A100">
            <v>3131</v>
          </cell>
          <cell r="B100" t="str">
            <v>SHIP AND MARINE RDT&amp;E FACILITY</v>
          </cell>
          <cell r="C100" t="str">
            <v>SF</v>
          </cell>
          <cell r="D100" t="str">
            <v>B</v>
          </cell>
          <cell r="E100">
            <v>1.0740000000000001</v>
          </cell>
          <cell r="F100">
            <v>1.0209999999999999</v>
          </cell>
          <cell r="G100">
            <v>1.0269999999999999</v>
          </cell>
          <cell r="H100">
            <v>1.0029999999999999</v>
          </cell>
          <cell r="I100">
            <v>1.0289999999999999</v>
          </cell>
          <cell r="J100">
            <v>1.0049999999999999</v>
          </cell>
          <cell r="K100">
            <v>1.026</v>
          </cell>
          <cell r="L100">
            <v>1.0129999999999999</v>
          </cell>
          <cell r="M100">
            <v>1.0029999999999999</v>
          </cell>
          <cell r="N100">
            <v>1.0029999999999999</v>
          </cell>
          <cell r="O100">
            <v>1.0209999999999999</v>
          </cell>
          <cell r="P100">
            <v>1.032</v>
          </cell>
          <cell r="Q100">
            <v>1.0349999999999999</v>
          </cell>
          <cell r="R100">
            <v>1.3319480854780448</v>
          </cell>
        </row>
        <row r="101">
          <cell r="A101">
            <v>3141</v>
          </cell>
          <cell r="B101" t="str">
            <v>TANK AND AUTOMOTIVE RDT&amp;E FACILITY</v>
          </cell>
          <cell r="C101" t="str">
            <v>SF</v>
          </cell>
          <cell r="D101" t="str">
            <v>B</v>
          </cell>
          <cell r="E101">
            <v>1.0740000000000001</v>
          </cell>
          <cell r="F101">
            <v>1.0209999999999999</v>
          </cell>
          <cell r="G101">
            <v>1.0269999999999999</v>
          </cell>
          <cell r="H101">
            <v>1.0029999999999999</v>
          </cell>
          <cell r="I101">
            <v>1.0289999999999999</v>
          </cell>
          <cell r="J101">
            <v>1.0049999999999999</v>
          </cell>
          <cell r="K101">
            <v>1.026</v>
          </cell>
          <cell r="L101">
            <v>1.0129999999999999</v>
          </cell>
          <cell r="M101">
            <v>1.0029999999999999</v>
          </cell>
          <cell r="N101">
            <v>1.0029999999999999</v>
          </cell>
          <cell r="O101">
            <v>1.0209999999999999</v>
          </cell>
          <cell r="P101">
            <v>1.032</v>
          </cell>
          <cell r="Q101">
            <v>1.0349999999999999</v>
          </cell>
          <cell r="R101">
            <v>1.3319480854780448</v>
          </cell>
        </row>
        <row r="102">
          <cell r="A102">
            <v>3151</v>
          </cell>
          <cell r="B102" t="str">
            <v>WEAPONS RDT&amp;E FACILITY</v>
          </cell>
          <cell r="C102" t="str">
            <v>SF</v>
          </cell>
          <cell r="D102" t="str">
            <v>B</v>
          </cell>
          <cell r="E102">
            <v>1.0740000000000001</v>
          </cell>
          <cell r="F102">
            <v>1.0209999999999999</v>
          </cell>
          <cell r="G102">
            <v>1.0269999999999999</v>
          </cell>
          <cell r="H102">
            <v>1.0029999999999999</v>
          </cell>
          <cell r="I102">
            <v>1.0289999999999999</v>
          </cell>
          <cell r="J102">
            <v>1.0049999999999999</v>
          </cell>
          <cell r="K102">
            <v>1.026</v>
          </cell>
          <cell r="L102">
            <v>1.0129999999999999</v>
          </cell>
          <cell r="M102">
            <v>1.0029999999999999</v>
          </cell>
          <cell r="N102">
            <v>1.0029999999999999</v>
          </cell>
          <cell r="O102">
            <v>1.0209999999999999</v>
          </cell>
          <cell r="P102">
            <v>1.032</v>
          </cell>
          <cell r="Q102">
            <v>1.0349999999999999</v>
          </cell>
          <cell r="R102">
            <v>1.3319480854780448</v>
          </cell>
        </row>
        <row r="103">
          <cell r="A103">
            <v>3161</v>
          </cell>
          <cell r="B103" t="str">
            <v>AMMUNITION, EXPLOSIVE, AND TOXIC RDT&amp;E FACILITY</v>
          </cell>
          <cell r="C103" t="str">
            <v>SF</v>
          </cell>
          <cell r="D103" t="str">
            <v>B</v>
          </cell>
          <cell r="E103">
            <v>1.0740000000000001</v>
          </cell>
          <cell r="F103">
            <v>1.0209999999999999</v>
          </cell>
          <cell r="G103">
            <v>1.0269999999999999</v>
          </cell>
          <cell r="H103">
            <v>1.0029999999999999</v>
          </cell>
          <cell r="I103">
            <v>1.0289999999999999</v>
          </cell>
          <cell r="J103">
            <v>1.0049999999999999</v>
          </cell>
          <cell r="K103">
            <v>1.026</v>
          </cell>
          <cell r="L103">
            <v>1.0129999999999999</v>
          </cell>
          <cell r="M103">
            <v>1.0029999999999999</v>
          </cell>
          <cell r="N103">
            <v>1.0029999999999999</v>
          </cell>
          <cell r="O103">
            <v>1.0209999999999999</v>
          </cell>
          <cell r="P103">
            <v>1.032</v>
          </cell>
          <cell r="Q103">
            <v>1.0349999999999999</v>
          </cell>
          <cell r="R103">
            <v>1.3319480854780448</v>
          </cell>
        </row>
        <row r="104">
          <cell r="A104">
            <v>3171</v>
          </cell>
          <cell r="B104" t="str">
            <v>ELECTRONIC AND COMMUNICATION RDT&amp;E FACILITY</v>
          </cell>
          <cell r="C104" t="str">
            <v>SF</v>
          </cell>
          <cell r="D104" t="str">
            <v>B</v>
          </cell>
          <cell r="E104">
            <v>1.0740000000000001</v>
          </cell>
          <cell r="F104">
            <v>1.0209999999999999</v>
          </cell>
          <cell r="G104">
            <v>1.0269999999999999</v>
          </cell>
          <cell r="H104">
            <v>1.0029999999999999</v>
          </cell>
          <cell r="I104">
            <v>1.0289999999999999</v>
          </cell>
          <cell r="J104">
            <v>1.0049999999999999</v>
          </cell>
          <cell r="K104">
            <v>1.026</v>
          </cell>
          <cell r="L104">
            <v>1.0129999999999999</v>
          </cell>
          <cell r="M104">
            <v>1.0029999999999999</v>
          </cell>
          <cell r="N104">
            <v>1.0029999999999999</v>
          </cell>
          <cell r="O104">
            <v>1.0209999999999999</v>
          </cell>
          <cell r="P104">
            <v>1.032</v>
          </cell>
          <cell r="Q104">
            <v>1.0349999999999999</v>
          </cell>
          <cell r="R104">
            <v>1.3319480854780448</v>
          </cell>
        </row>
        <row r="105">
          <cell r="A105">
            <v>3181</v>
          </cell>
          <cell r="B105" t="str">
            <v>PROPULSION RDT&amp;E FACILITY</v>
          </cell>
          <cell r="C105" t="str">
            <v>SF</v>
          </cell>
          <cell r="D105" t="str">
            <v>B</v>
          </cell>
          <cell r="E105">
            <v>1.0740000000000001</v>
          </cell>
          <cell r="F105">
            <v>1.0209999999999999</v>
          </cell>
          <cell r="H105">
            <v>1.0029999999999999</v>
          </cell>
          <cell r="I105">
            <v>1.0289999999999999</v>
          </cell>
          <cell r="J105">
            <v>1.0049999999999999</v>
          </cell>
          <cell r="K105">
            <v>1.026</v>
          </cell>
          <cell r="L105">
            <v>1.0129999999999999</v>
          </cell>
          <cell r="M105">
            <v>1.0029999999999999</v>
          </cell>
          <cell r="N105">
            <v>1.0029999999999999</v>
          </cell>
          <cell r="O105">
            <v>1.0209999999999999</v>
          </cell>
          <cell r="P105">
            <v>1.032</v>
          </cell>
          <cell r="Q105">
            <v>1.0349999999999999</v>
          </cell>
          <cell r="R105">
            <v>1.2969309498325658</v>
          </cell>
        </row>
        <row r="106">
          <cell r="A106">
            <v>3191</v>
          </cell>
          <cell r="B106" t="str">
            <v>MISCELLANEOUS ITEM AND EQUIPMENT RDT&amp;E FACILITY</v>
          </cell>
          <cell r="C106" t="str">
            <v>SF</v>
          </cell>
          <cell r="D106" t="str">
            <v>B</v>
          </cell>
          <cell r="E106">
            <v>1.0740000000000001</v>
          </cell>
          <cell r="F106">
            <v>1.0209999999999999</v>
          </cell>
          <cell r="G106">
            <v>1.0269999999999999</v>
          </cell>
          <cell r="H106">
            <v>1.0029999999999999</v>
          </cell>
          <cell r="I106">
            <v>1.0289999999999999</v>
          </cell>
          <cell r="J106">
            <v>1.0049999999999999</v>
          </cell>
          <cell r="K106">
            <v>1.026</v>
          </cell>
          <cell r="L106">
            <v>1.0129999999999999</v>
          </cell>
          <cell r="M106">
            <v>1.0029999999999999</v>
          </cell>
          <cell r="N106">
            <v>1.0029999999999999</v>
          </cell>
          <cell r="O106">
            <v>1.0209999999999999</v>
          </cell>
          <cell r="P106">
            <v>1.032</v>
          </cell>
          <cell r="Q106">
            <v>1.0349999999999999</v>
          </cell>
          <cell r="R106">
            <v>1.3319480854780448</v>
          </cell>
        </row>
        <row r="107">
          <cell r="A107">
            <v>3201</v>
          </cell>
          <cell r="B107" t="str">
            <v>UNDERWATER EQUIPMENT RDT&amp;E FACILITY</v>
          </cell>
          <cell r="C107" t="str">
            <v>SF</v>
          </cell>
          <cell r="D107" t="str">
            <v>B</v>
          </cell>
          <cell r="E107">
            <v>1.0740000000000001</v>
          </cell>
          <cell r="F107">
            <v>1.0209999999999999</v>
          </cell>
          <cell r="G107">
            <v>1.0269999999999999</v>
          </cell>
          <cell r="H107">
            <v>1.0029999999999999</v>
          </cell>
          <cell r="I107">
            <v>1.0289999999999999</v>
          </cell>
          <cell r="J107">
            <v>1.0049999999999999</v>
          </cell>
          <cell r="K107">
            <v>1.026</v>
          </cell>
          <cell r="L107">
            <v>1.0129999999999999</v>
          </cell>
          <cell r="M107">
            <v>1.0029999999999999</v>
          </cell>
          <cell r="N107">
            <v>1.0029999999999999</v>
          </cell>
          <cell r="O107">
            <v>1.0209999999999999</v>
          </cell>
          <cell r="P107">
            <v>1.032</v>
          </cell>
          <cell r="Q107">
            <v>1.0349999999999999</v>
          </cell>
          <cell r="R107">
            <v>1.3319480854780448</v>
          </cell>
        </row>
        <row r="108">
          <cell r="A108">
            <v>4114</v>
          </cell>
          <cell r="B108" t="str">
            <v>SMALL BULK STORAGE</v>
          </cell>
          <cell r="C108" t="str">
            <v>GA</v>
          </cell>
          <cell r="D108" t="str">
            <v>S</v>
          </cell>
          <cell r="F108">
            <v>1.0209999999999999</v>
          </cell>
          <cell r="R108">
            <v>1.0209999999999999</v>
          </cell>
        </row>
        <row r="109">
          <cell r="A109">
            <v>4212</v>
          </cell>
          <cell r="B109" t="str">
            <v>INTERCONTINENTAL BALLISTIC MISSILE STORAGE FACILITY</v>
          </cell>
          <cell r="C109" t="str">
            <v>SF</v>
          </cell>
          <cell r="D109" t="str">
            <v>B</v>
          </cell>
          <cell r="F109">
            <v>1.0209999999999999</v>
          </cell>
          <cell r="G109">
            <v>1.0269999999999999</v>
          </cell>
          <cell r="H109">
            <v>1.0029999999999999</v>
          </cell>
          <cell r="I109">
            <v>1.0289999999999999</v>
          </cell>
          <cell r="J109">
            <v>1.0049999999999999</v>
          </cell>
          <cell r="M109">
            <v>1.0029999999999999</v>
          </cell>
          <cell r="N109">
            <v>1.0029999999999999</v>
          </cell>
          <cell r="O109">
            <v>1.0209999999999999</v>
          </cell>
          <cell r="P109">
            <v>1.032</v>
          </cell>
          <cell r="Q109">
            <v>1.0349999999999999</v>
          </cell>
          <cell r="R109">
            <v>1.1932356231980656</v>
          </cell>
        </row>
        <row r="110">
          <cell r="A110">
            <v>4231</v>
          </cell>
          <cell r="B110" t="str">
            <v>LIQUID PROPELLANT STORAGE, AMMUNITION RELATED</v>
          </cell>
          <cell r="C110" t="str">
            <v>GA</v>
          </cell>
          <cell r="D110" t="str">
            <v>S</v>
          </cell>
          <cell r="F110">
            <v>1.0209999999999999</v>
          </cell>
          <cell r="R110">
            <v>1.0209999999999999</v>
          </cell>
        </row>
        <row r="111">
          <cell r="A111">
            <v>4251</v>
          </cell>
          <cell r="B111" t="str">
            <v>OPEN AMMUNITION STORAGE</v>
          </cell>
          <cell r="C111" t="str">
            <v>SY</v>
          </cell>
          <cell r="D111" t="str">
            <v>S</v>
          </cell>
          <cell r="F111">
            <v>1.0209999999999999</v>
          </cell>
          <cell r="P111">
            <v>1.032</v>
          </cell>
          <cell r="Q111">
            <v>1.0349999999999999</v>
          </cell>
          <cell r="R111">
            <v>1.0905505199999999</v>
          </cell>
        </row>
        <row r="112">
          <cell r="A112">
            <v>4311</v>
          </cell>
          <cell r="B112" t="str">
            <v>COLD STORAGE, DEPOT</v>
          </cell>
          <cell r="C112" t="str">
            <v>SF</v>
          </cell>
          <cell r="D112" t="str">
            <v>B</v>
          </cell>
          <cell r="F112">
            <v>1.0209999999999999</v>
          </cell>
          <cell r="G112">
            <v>1.0269999999999999</v>
          </cell>
          <cell r="H112">
            <v>1.0029999999999999</v>
          </cell>
          <cell r="I112">
            <v>1.0289999999999999</v>
          </cell>
          <cell r="J112">
            <v>1.0049999999999999</v>
          </cell>
          <cell r="M112">
            <v>1.0029999999999999</v>
          </cell>
          <cell r="N112">
            <v>1.0029999999999999</v>
          </cell>
          <cell r="P112">
            <v>1.032</v>
          </cell>
          <cell r="Q112">
            <v>1.0349999999999999</v>
          </cell>
          <cell r="R112">
            <v>1.168693068754227</v>
          </cell>
        </row>
        <row r="113">
          <cell r="A113">
            <v>4321</v>
          </cell>
          <cell r="B113" t="str">
            <v>COLD STORAGE, INSTALLATION</v>
          </cell>
          <cell r="C113" t="str">
            <v>SF</v>
          </cell>
          <cell r="D113" t="str">
            <v>B</v>
          </cell>
          <cell r="F113">
            <v>1.0209999999999999</v>
          </cell>
          <cell r="G113">
            <v>1.0269999999999999</v>
          </cell>
          <cell r="I113">
            <v>1.0289999999999999</v>
          </cell>
          <cell r="J113">
            <v>1.0049999999999999</v>
          </cell>
          <cell r="M113">
            <v>1.0029999999999999</v>
          </cell>
          <cell r="N113">
            <v>1.0029999999999999</v>
          </cell>
          <cell r="P113">
            <v>1.032</v>
          </cell>
          <cell r="Q113">
            <v>1.0349999999999999</v>
          </cell>
          <cell r="R113">
            <v>1.1651974763252515</v>
          </cell>
        </row>
        <row r="114">
          <cell r="A114">
            <v>4414</v>
          </cell>
          <cell r="B114" t="str">
            <v>CONTROLLED HUMIDITY STORAGE, DEPOT</v>
          </cell>
          <cell r="C114" t="str">
            <v>SF</v>
          </cell>
          <cell r="D114" t="str">
            <v>B</v>
          </cell>
          <cell r="F114">
            <v>1.0209999999999999</v>
          </cell>
          <cell r="G114">
            <v>1.0269999999999999</v>
          </cell>
          <cell r="H114">
            <v>1.0029999999999999</v>
          </cell>
          <cell r="I114">
            <v>1.0289999999999999</v>
          </cell>
          <cell r="J114">
            <v>1.0049999999999999</v>
          </cell>
          <cell r="M114">
            <v>1.0029999999999999</v>
          </cell>
          <cell r="N114">
            <v>1.0029999999999999</v>
          </cell>
          <cell r="P114">
            <v>1.032</v>
          </cell>
          <cell r="Q114">
            <v>1.0349999999999999</v>
          </cell>
          <cell r="R114">
            <v>1.168693068754227</v>
          </cell>
        </row>
        <row r="115">
          <cell r="A115">
            <v>4424</v>
          </cell>
          <cell r="B115" t="str">
            <v>CONTROLLED HUMIDITY STORAGE, INSTALLATION</v>
          </cell>
          <cell r="C115" t="str">
            <v>SF</v>
          </cell>
          <cell r="D115" t="str">
            <v>B</v>
          </cell>
          <cell r="F115">
            <v>1.0209999999999999</v>
          </cell>
          <cell r="G115">
            <v>1.0269999999999999</v>
          </cell>
          <cell r="H115">
            <v>1.0029999999999999</v>
          </cell>
          <cell r="I115">
            <v>1.0289999999999999</v>
          </cell>
          <cell r="J115">
            <v>1.0049999999999999</v>
          </cell>
          <cell r="M115">
            <v>1.0029999999999999</v>
          </cell>
          <cell r="N115">
            <v>1.0029999999999999</v>
          </cell>
          <cell r="P115">
            <v>1.032</v>
          </cell>
          <cell r="Q115">
            <v>1.0349999999999999</v>
          </cell>
          <cell r="R115">
            <v>1.168693068754227</v>
          </cell>
        </row>
        <row r="116">
          <cell r="A116">
            <v>4425</v>
          </cell>
          <cell r="B116" t="str">
            <v>VEHICLE STORAGE, COVERED</v>
          </cell>
          <cell r="C116" t="str">
            <v>SF</v>
          </cell>
          <cell r="D116" t="str">
            <v>B</v>
          </cell>
          <cell r="F116">
            <v>1.0209999999999999</v>
          </cell>
          <cell r="G116">
            <v>1.0269999999999999</v>
          </cell>
          <cell r="J116">
            <v>1.0049999999999999</v>
          </cell>
          <cell r="P116">
            <v>1.032</v>
          </cell>
          <cell r="Q116">
            <v>1.0349999999999999</v>
          </cell>
          <cell r="R116">
            <v>1.1255953609601996</v>
          </cell>
        </row>
        <row r="117">
          <cell r="A117">
            <v>4426</v>
          </cell>
          <cell r="B117" t="str">
            <v>STORAGE SILO, LOOSE MATERIAL</v>
          </cell>
          <cell r="C117" t="str">
            <v>SF</v>
          </cell>
          <cell r="D117" t="str">
            <v>B</v>
          </cell>
          <cell r="F117">
            <v>1.0209999999999999</v>
          </cell>
          <cell r="P117">
            <v>1.032</v>
          </cell>
          <cell r="Q117">
            <v>1.0349999999999999</v>
          </cell>
          <cell r="R117">
            <v>1.0905505199999999</v>
          </cell>
        </row>
        <row r="118">
          <cell r="A118">
            <v>4428</v>
          </cell>
          <cell r="B118" t="str">
            <v>STORAGE AND CUSTOMER SERVICE</v>
          </cell>
          <cell r="C118" t="str">
            <v>SF</v>
          </cell>
          <cell r="D118" t="str">
            <v>B</v>
          </cell>
          <cell r="F118">
            <v>1.0209999999999999</v>
          </cell>
          <cell r="J118">
            <v>1.0049999999999999</v>
          </cell>
          <cell r="M118">
            <v>1.0029999999999999</v>
          </cell>
          <cell r="N118">
            <v>1.0029999999999999</v>
          </cell>
          <cell r="P118">
            <v>1.032</v>
          </cell>
          <cell r="Q118">
            <v>1.0349999999999999</v>
          </cell>
          <cell r="R118">
            <v>1.1025891562650529</v>
          </cell>
        </row>
        <row r="119">
          <cell r="A119">
            <v>4511</v>
          </cell>
          <cell r="B119" t="str">
            <v>OPEN STORAGE, DEPOT</v>
          </cell>
          <cell r="C119" t="str">
            <v>SY</v>
          </cell>
          <cell r="D119" t="str">
            <v>S</v>
          </cell>
          <cell r="F119">
            <v>1.0209999999999999</v>
          </cell>
          <cell r="P119">
            <v>1.032</v>
          </cell>
          <cell r="Q119">
            <v>1.0349999999999999</v>
          </cell>
          <cell r="R119">
            <v>1.0905505199999999</v>
          </cell>
        </row>
        <row r="120">
          <cell r="A120">
            <v>4521</v>
          </cell>
          <cell r="B120" t="str">
            <v>OPEN STORAGE, INSTALLATION</v>
          </cell>
          <cell r="C120" t="str">
            <v>SY</v>
          </cell>
          <cell r="D120" t="str">
            <v>S</v>
          </cell>
          <cell r="F120">
            <v>1.0209999999999999</v>
          </cell>
          <cell r="P120">
            <v>1.032</v>
          </cell>
          <cell r="Q120">
            <v>1.0349999999999999</v>
          </cell>
          <cell r="R120">
            <v>1.0905505199999999</v>
          </cell>
        </row>
        <row r="121">
          <cell r="A121">
            <v>5302</v>
          </cell>
          <cell r="B121" t="str">
            <v>MEDICAL LABORATORY</v>
          </cell>
          <cell r="C121" t="str">
            <v>SF</v>
          </cell>
          <cell r="D121" t="str">
            <v>B</v>
          </cell>
          <cell r="E121">
            <v>1.0740000000000001</v>
          </cell>
          <cell r="F121">
            <v>1.0209999999999999</v>
          </cell>
          <cell r="G121">
            <v>1.0269999999999999</v>
          </cell>
          <cell r="H121">
            <v>1.0029999999999999</v>
          </cell>
          <cell r="I121">
            <v>1.0289999999999999</v>
          </cell>
          <cell r="J121">
            <v>1.0049999999999999</v>
          </cell>
          <cell r="K121">
            <v>1.026</v>
          </cell>
          <cell r="L121">
            <v>1.0129999999999999</v>
          </cell>
          <cell r="M121">
            <v>1.0029999999999999</v>
          </cell>
          <cell r="N121">
            <v>1.0029999999999999</v>
          </cell>
          <cell r="O121">
            <v>1.0209999999999999</v>
          </cell>
          <cell r="P121">
            <v>1.032</v>
          </cell>
          <cell r="Q121">
            <v>1.0349999999999999</v>
          </cell>
          <cell r="R121">
            <v>1.3319480854780448</v>
          </cell>
        </row>
        <row r="122">
          <cell r="A122">
            <v>5303</v>
          </cell>
          <cell r="B122" t="str">
            <v>MORGUE</v>
          </cell>
          <cell r="C122" t="str">
            <v>SF</v>
          </cell>
          <cell r="D122" t="str">
            <v>B</v>
          </cell>
          <cell r="E122">
            <v>1.0740000000000001</v>
          </cell>
          <cell r="F122">
            <v>1.0209999999999999</v>
          </cell>
          <cell r="G122">
            <v>1.0269999999999999</v>
          </cell>
          <cell r="H122">
            <v>1.0029999999999999</v>
          </cell>
          <cell r="I122">
            <v>1.0289999999999999</v>
          </cell>
          <cell r="J122">
            <v>1.0049999999999999</v>
          </cell>
          <cell r="K122">
            <v>1.026</v>
          </cell>
          <cell r="L122">
            <v>1.0129999999999999</v>
          </cell>
          <cell r="M122">
            <v>1.0029999999999999</v>
          </cell>
          <cell r="N122">
            <v>1.0029999999999999</v>
          </cell>
          <cell r="O122">
            <v>1.0209999999999999</v>
          </cell>
          <cell r="P122">
            <v>1.032</v>
          </cell>
          <cell r="Q122">
            <v>1.0349999999999999</v>
          </cell>
          <cell r="R122">
            <v>1.3319480854780448</v>
          </cell>
        </row>
        <row r="123">
          <cell r="A123">
            <v>5304</v>
          </cell>
          <cell r="B123" t="str">
            <v>VETERINARY FACILITY</v>
          </cell>
          <cell r="C123" t="str">
            <v>SF</v>
          </cell>
          <cell r="D123" t="str">
            <v>B</v>
          </cell>
          <cell r="E123">
            <v>1.0740000000000001</v>
          </cell>
          <cell r="F123">
            <v>1.0209999999999999</v>
          </cell>
          <cell r="G123">
            <v>1.0269999999999999</v>
          </cell>
          <cell r="H123">
            <v>1.0029999999999999</v>
          </cell>
          <cell r="I123">
            <v>1.0289999999999999</v>
          </cell>
          <cell r="J123">
            <v>1.0049999999999999</v>
          </cell>
          <cell r="K123">
            <v>1.026</v>
          </cell>
          <cell r="L123">
            <v>1.0129999999999999</v>
          </cell>
          <cell r="M123">
            <v>1.0029999999999999</v>
          </cell>
          <cell r="N123">
            <v>1.0029999999999999</v>
          </cell>
          <cell r="O123">
            <v>1.0209999999999999</v>
          </cell>
          <cell r="P123">
            <v>1.032</v>
          </cell>
          <cell r="Q123">
            <v>1.0349999999999999</v>
          </cell>
          <cell r="R123">
            <v>1.3319480854780448</v>
          </cell>
        </row>
        <row r="124">
          <cell r="A124">
            <v>5306</v>
          </cell>
          <cell r="B124" t="str">
            <v>MEDICAL WAREHOUSE</v>
          </cell>
          <cell r="C124" t="str">
            <v>SF</v>
          </cell>
          <cell r="D124" t="str">
            <v>B</v>
          </cell>
          <cell r="E124">
            <v>1.0740000000000001</v>
          </cell>
          <cell r="F124">
            <v>1.0209999999999999</v>
          </cell>
          <cell r="G124">
            <v>1.0269999999999999</v>
          </cell>
          <cell r="H124">
            <v>1.0029999999999999</v>
          </cell>
          <cell r="I124">
            <v>1.0289999999999999</v>
          </cell>
          <cell r="J124">
            <v>1.0049999999999999</v>
          </cell>
          <cell r="L124">
            <v>1.0129999999999999</v>
          </cell>
          <cell r="M124">
            <v>1.0029999999999999</v>
          </cell>
          <cell r="N124">
            <v>1.0029999999999999</v>
          </cell>
          <cell r="O124">
            <v>1.0209999999999999</v>
          </cell>
          <cell r="P124">
            <v>1.032</v>
          </cell>
          <cell r="Q124">
            <v>1.0349999999999999</v>
          </cell>
          <cell r="R124">
            <v>1.2981950150858137</v>
          </cell>
        </row>
        <row r="125">
          <cell r="A125">
            <v>5307</v>
          </cell>
          <cell r="B125" t="str">
            <v>AMBULANCE SHELTER</v>
          </cell>
          <cell r="C125" t="str">
            <v>SF</v>
          </cell>
          <cell r="D125" t="str">
            <v>B</v>
          </cell>
          <cell r="F125">
            <v>1.0209999999999999</v>
          </cell>
          <cell r="G125">
            <v>1.0269999999999999</v>
          </cell>
          <cell r="P125">
            <v>1.032</v>
          </cell>
          <cell r="Q125">
            <v>1.0349999999999999</v>
          </cell>
          <cell r="R125">
            <v>1.1199953840399997</v>
          </cell>
        </row>
        <row r="126">
          <cell r="A126">
            <v>6103</v>
          </cell>
          <cell r="B126" t="str">
            <v>PRINTING AND REPRODUCTION PLANT</v>
          </cell>
          <cell r="C126" t="str">
            <v>SF</v>
          </cell>
          <cell r="D126" t="str">
            <v>B</v>
          </cell>
          <cell r="F126">
            <v>1.0209999999999999</v>
          </cell>
          <cell r="G126">
            <v>1.0269999999999999</v>
          </cell>
          <cell r="H126">
            <v>1.0029999999999999</v>
          </cell>
          <cell r="I126">
            <v>1.0289999999999999</v>
          </cell>
          <cell r="J126">
            <v>1.0049999999999999</v>
          </cell>
          <cell r="O126">
            <v>1.0209999999999999</v>
          </cell>
          <cell r="P126">
            <v>1.032</v>
          </cell>
          <cell r="Q126">
            <v>1.0349999999999999</v>
          </cell>
          <cell r="R126">
            <v>1.1861082984327833</v>
          </cell>
        </row>
        <row r="127">
          <cell r="A127">
            <v>6107</v>
          </cell>
          <cell r="B127" t="str">
            <v>GENERAL ADMIN BUILDING, HIGH-RISE</v>
          </cell>
          <cell r="C127" t="str">
            <v>SF</v>
          </cell>
          <cell r="D127" t="str">
            <v>B</v>
          </cell>
          <cell r="E127">
            <v>1.0740000000000001</v>
          </cell>
          <cell r="F127">
            <v>1.0209999999999999</v>
          </cell>
          <cell r="G127">
            <v>1.0269999999999999</v>
          </cell>
          <cell r="H127">
            <v>1.0029999999999999</v>
          </cell>
          <cell r="I127">
            <v>1.0289999999999999</v>
          </cell>
          <cell r="J127">
            <v>1.0049999999999999</v>
          </cell>
          <cell r="K127">
            <v>1.026</v>
          </cell>
          <cell r="L127">
            <v>1.0129999999999999</v>
          </cell>
          <cell r="M127">
            <v>1.0029999999999999</v>
          </cell>
          <cell r="N127">
            <v>1.0029999999999999</v>
          </cell>
          <cell r="O127">
            <v>1.0209999999999999</v>
          </cell>
          <cell r="P127">
            <v>1.032</v>
          </cell>
          <cell r="Q127">
            <v>1.0349999999999999</v>
          </cell>
          <cell r="R127">
            <v>1.3319480854780448</v>
          </cell>
        </row>
        <row r="128">
          <cell r="A128">
            <v>6900</v>
          </cell>
          <cell r="B128" t="str">
            <v>ADMINISTRATIVE STRUCTURE, OTHER THAN BUILDINGS</v>
          </cell>
          <cell r="C128" t="str">
            <v>EA</v>
          </cell>
          <cell r="D128" t="str">
            <v>S</v>
          </cell>
          <cell r="F128">
            <v>1.0209999999999999</v>
          </cell>
          <cell r="R128">
            <v>1.0209999999999999</v>
          </cell>
        </row>
        <row r="129">
          <cell r="A129">
            <v>7120</v>
          </cell>
          <cell r="B129" t="str">
            <v>FAMILY HOUSING TRAILER</v>
          </cell>
          <cell r="C129" t="str">
            <v>SF</v>
          </cell>
          <cell r="D129" t="str">
            <v>B</v>
          </cell>
          <cell r="F129">
            <v>1.0209999999999999</v>
          </cell>
          <cell r="R129">
            <v>1.0209999999999999</v>
          </cell>
        </row>
        <row r="130">
          <cell r="A130">
            <v>7130</v>
          </cell>
          <cell r="B130" t="str">
            <v>FAMILY HOUSING TRAILER SITE</v>
          </cell>
          <cell r="C130" t="str">
            <v>SY</v>
          </cell>
          <cell r="D130" t="str">
            <v>LS</v>
          </cell>
          <cell r="F130">
            <v>1.0209999999999999</v>
          </cell>
          <cell r="R130">
            <v>1.0209999999999999</v>
          </cell>
        </row>
        <row r="131">
          <cell r="A131">
            <v>7141</v>
          </cell>
          <cell r="B131" t="str">
            <v>FAMILY HOUSING GARAGE</v>
          </cell>
          <cell r="C131" t="str">
            <v>SF</v>
          </cell>
          <cell r="D131" t="str">
            <v>B</v>
          </cell>
          <cell r="F131">
            <v>1.0209999999999999</v>
          </cell>
          <cell r="P131">
            <v>1.032</v>
          </cell>
          <cell r="Q131">
            <v>1.0349999999999999</v>
          </cell>
          <cell r="R131">
            <v>1.0905505199999999</v>
          </cell>
        </row>
        <row r="132">
          <cell r="A132">
            <v>7142</v>
          </cell>
          <cell r="B132" t="str">
            <v>FAMILY HOUSING STORAGE FACILITY</v>
          </cell>
          <cell r="C132" t="str">
            <v>SF</v>
          </cell>
          <cell r="D132" t="str">
            <v>B</v>
          </cell>
          <cell r="F132">
            <v>1.0209999999999999</v>
          </cell>
          <cell r="R132">
            <v>1.0209999999999999</v>
          </cell>
        </row>
        <row r="133">
          <cell r="A133">
            <v>7143</v>
          </cell>
          <cell r="B133" t="str">
            <v>MISCELLANEOUS FAMILY HOUSING SUPPORT FACILITY</v>
          </cell>
          <cell r="C133" t="str">
            <v>SF</v>
          </cell>
          <cell r="D133" t="str">
            <v>B</v>
          </cell>
          <cell r="F133">
            <v>1.0209999999999999</v>
          </cell>
          <cell r="R133">
            <v>1.0209999999999999</v>
          </cell>
        </row>
        <row r="134">
          <cell r="A134">
            <v>7145</v>
          </cell>
          <cell r="B134" t="str">
            <v>TRAILER COURT SUPPORT FACILITY</v>
          </cell>
          <cell r="C134" t="str">
            <v>SF</v>
          </cell>
          <cell r="D134" t="str">
            <v>B</v>
          </cell>
          <cell r="F134">
            <v>1.0209999999999999</v>
          </cell>
          <cell r="R134">
            <v>1.0209999999999999</v>
          </cell>
        </row>
        <row r="135">
          <cell r="A135">
            <v>7147</v>
          </cell>
          <cell r="B135" t="str">
            <v>FAMILY HOUSING CARPORT</v>
          </cell>
          <cell r="C135" t="str">
            <v>SF</v>
          </cell>
          <cell r="D135" t="str">
            <v>S</v>
          </cell>
          <cell r="F135">
            <v>1.0209999999999999</v>
          </cell>
          <cell r="P135">
            <v>1.032</v>
          </cell>
          <cell r="Q135">
            <v>1.0349999999999999</v>
          </cell>
          <cell r="R135">
            <v>1.0905505199999999</v>
          </cell>
        </row>
        <row r="136">
          <cell r="A136">
            <v>7215</v>
          </cell>
          <cell r="B136" t="str">
            <v>UNACCOMPANIED HOUSING FOR WOUNDED WARRIORS</v>
          </cell>
          <cell r="C136" t="str">
            <v>SF</v>
          </cell>
          <cell r="D136" t="str">
            <v>B</v>
          </cell>
          <cell r="E136">
            <v>1.0740000000000001</v>
          </cell>
          <cell r="F136">
            <v>1.0209999999999999</v>
          </cell>
          <cell r="G136">
            <v>1.0269999999999999</v>
          </cell>
          <cell r="H136">
            <v>1.0029999999999999</v>
          </cell>
          <cell r="I136">
            <v>1.0289999999999999</v>
          </cell>
          <cell r="J136">
            <v>1.0049999999999999</v>
          </cell>
          <cell r="K136">
            <v>1.026</v>
          </cell>
          <cell r="L136">
            <v>1.0129999999999999</v>
          </cell>
          <cell r="M136">
            <v>1.0029999999999999</v>
          </cell>
          <cell r="N136">
            <v>1.0029999999999999</v>
          </cell>
          <cell r="O136">
            <v>1.0209999999999999</v>
          </cell>
          <cell r="P136">
            <v>1.032</v>
          </cell>
          <cell r="Q136">
            <v>1.0349999999999999</v>
          </cell>
          <cell r="R136">
            <v>1.3319480854780448</v>
          </cell>
        </row>
        <row r="137">
          <cell r="A137">
            <v>7231</v>
          </cell>
          <cell r="B137" t="str">
            <v>MISCELLANEOUS UPH SUPPORT BUILDING</v>
          </cell>
          <cell r="C137" t="str">
            <v>SF</v>
          </cell>
          <cell r="D137" t="str">
            <v>B</v>
          </cell>
          <cell r="E137">
            <v>1.0740000000000001</v>
          </cell>
          <cell r="F137">
            <v>1.0209999999999999</v>
          </cell>
          <cell r="G137">
            <v>1.0269999999999999</v>
          </cell>
          <cell r="M137">
            <v>1.0029999999999999</v>
          </cell>
          <cell r="Q137">
            <v>1.0349999999999999</v>
          </cell>
          <cell r="R137">
            <v>1.1690733213045894</v>
          </cell>
        </row>
        <row r="138">
          <cell r="A138">
            <v>7232</v>
          </cell>
          <cell r="B138" t="str">
            <v>UNACCOMPANIED PERSONNEL HOUSING GARAGE</v>
          </cell>
          <cell r="C138" t="str">
            <v>SF</v>
          </cell>
          <cell r="D138" t="str">
            <v>B</v>
          </cell>
          <cell r="F138">
            <v>1.0209999999999999</v>
          </cell>
          <cell r="H138">
            <v>1.0029999999999999</v>
          </cell>
          <cell r="P138">
            <v>1.032</v>
          </cell>
          <cell r="Q138">
            <v>1.0349999999999999</v>
          </cell>
          <cell r="R138">
            <v>1.0938221715599996</v>
          </cell>
        </row>
        <row r="139">
          <cell r="A139">
            <v>7233</v>
          </cell>
          <cell r="B139" t="str">
            <v>DINING SUPPORT FACILITY</v>
          </cell>
          <cell r="C139" t="str">
            <v>SF</v>
          </cell>
          <cell r="D139" t="str">
            <v>B</v>
          </cell>
          <cell r="F139">
            <v>1.0209999999999999</v>
          </cell>
          <cell r="G139">
            <v>1.0269999999999999</v>
          </cell>
          <cell r="H139">
            <v>1.0029999999999999</v>
          </cell>
          <cell r="J139">
            <v>1.0049999999999999</v>
          </cell>
          <cell r="R139">
            <v>1.0569712645049996</v>
          </cell>
        </row>
        <row r="140">
          <cell r="A140">
            <v>7234</v>
          </cell>
          <cell r="B140" t="str">
            <v>LATRINE/SHOWER FACILITY</v>
          </cell>
          <cell r="C140" t="str">
            <v>SF</v>
          </cell>
          <cell r="D140" t="str">
            <v>B</v>
          </cell>
          <cell r="F140">
            <v>1.0209999999999999</v>
          </cell>
          <cell r="G140">
            <v>1.0269999999999999</v>
          </cell>
          <cell r="K140">
            <v>1.026</v>
          </cell>
          <cell r="L140">
            <v>1.0129999999999999</v>
          </cell>
          <cell r="N140">
            <v>1.0029999999999999</v>
          </cell>
          <cell r="P140">
            <v>1.032</v>
          </cell>
          <cell r="Q140">
            <v>1.0349999999999999</v>
          </cell>
          <cell r="R140">
            <v>1.1675459237447372</v>
          </cell>
        </row>
        <row r="141">
          <cell r="A141">
            <v>7235</v>
          </cell>
          <cell r="B141" t="str">
            <v>MISCELLANEOUS UPH SUPPORT FACILITY</v>
          </cell>
          <cell r="C141" t="str">
            <v>EA</v>
          </cell>
          <cell r="D141" t="str">
            <v>S</v>
          </cell>
          <cell r="F141">
            <v>1.0209999999999999</v>
          </cell>
          <cell r="R141">
            <v>1.0209999999999999</v>
          </cell>
        </row>
        <row r="142">
          <cell r="A142">
            <v>7241</v>
          </cell>
          <cell r="B142" t="str">
            <v>OFFICER UPH, TRANSIENT</v>
          </cell>
          <cell r="C142" t="str">
            <v>SF</v>
          </cell>
          <cell r="D142" t="str">
            <v>B</v>
          </cell>
          <cell r="E142">
            <v>1.0740000000000001</v>
          </cell>
          <cell r="F142">
            <v>1.0209999999999999</v>
          </cell>
          <cell r="G142">
            <v>1.0269999999999999</v>
          </cell>
          <cell r="H142">
            <v>1.0029999999999999</v>
          </cell>
          <cell r="I142">
            <v>1.0289999999999999</v>
          </cell>
          <cell r="J142">
            <v>1.0049999999999999</v>
          </cell>
          <cell r="K142">
            <v>1.026</v>
          </cell>
          <cell r="L142">
            <v>1.0129999999999999</v>
          </cell>
          <cell r="M142">
            <v>1.0029999999999999</v>
          </cell>
          <cell r="N142">
            <v>1.0029999999999999</v>
          </cell>
          <cell r="O142">
            <v>1.0209999999999999</v>
          </cell>
          <cell r="P142">
            <v>1.032</v>
          </cell>
          <cell r="Q142">
            <v>1.0349999999999999</v>
          </cell>
          <cell r="R142">
            <v>1.3319480854780448</v>
          </cell>
        </row>
        <row r="143">
          <cell r="A143">
            <v>7242</v>
          </cell>
          <cell r="B143" t="str">
            <v>SERVICE ACADEMY UNACCOMPANIED PERSONNEL HOUSING</v>
          </cell>
          <cell r="C143" t="str">
            <v>SF</v>
          </cell>
          <cell r="D143" t="str">
            <v>B</v>
          </cell>
          <cell r="E143">
            <v>1.0740000000000001</v>
          </cell>
          <cell r="F143">
            <v>1.0209999999999999</v>
          </cell>
          <cell r="G143">
            <v>1.0269999999999999</v>
          </cell>
          <cell r="H143">
            <v>1.0029999999999999</v>
          </cell>
          <cell r="I143">
            <v>1.0289999999999999</v>
          </cell>
          <cell r="J143">
            <v>1.0049999999999999</v>
          </cell>
          <cell r="K143">
            <v>1.026</v>
          </cell>
          <cell r="L143">
            <v>1.0129999999999999</v>
          </cell>
          <cell r="M143">
            <v>1.0029999999999999</v>
          </cell>
          <cell r="N143">
            <v>1.0029999999999999</v>
          </cell>
          <cell r="O143">
            <v>1.0209999999999999</v>
          </cell>
          <cell r="P143">
            <v>1.032</v>
          </cell>
          <cell r="Q143">
            <v>1.0349999999999999</v>
          </cell>
          <cell r="R143">
            <v>1.3319480854780448</v>
          </cell>
        </row>
        <row r="144">
          <cell r="A144">
            <v>7250</v>
          </cell>
          <cell r="B144" t="str">
            <v>EMERGENCY UNACCOMPANIED PERSONNEL HOUSING</v>
          </cell>
          <cell r="C144" t="str">
            <v>SF</v>
          </cell>
          <cell r="D144" t="str">
            <v>B</v>
          </cell>
          <cell r="E144">
            <v>1.0740000000000001</v>
          </cell>
          <cell r="F144">
            <v>1.0209999999999999</v>
          </cell>
          <cell r="G144">
            <v>1.0269999999999999</v>
          </cell>
          <cell r="H144">
            <v>1.0029999999999999</v>
          </cell>
          <cell r="I144">
            <v>1.0289999999999999</v>
          </cell>
          <cell r="J144">
            <v>1.0049999999999999</v>
          </cell>
          <cell r="K144">
            <v>1.026</v>
          </cell>
          <cell r="L144">
            <v>1.0129999999999999</v>
          </cell>
          <cell r="M144">
            <v>1.0029999999999999</v>
          </cell>
          <cell r="N144">
            <v>1.0029999999999999</v>
          </cell>
          <cell r="O144">
            <v>1.0209999999999999</v>
          </cell>
          <cell r="P144">
            <v>1.032</v>
          </cell>
          <cell r="Q144">
            <v>1.0349999999999999</v>
          </cell>
          <cell r="R144">
            <v>1.3319480854780448</v>
          </cell>
        </row>
        <row r="145">
          <cell r="A145">
            <v>7312</v>
          </cell>
          <cell r="B145" t="str">
            <v>PRISON/CONFINEMENT FACILITY</v>
          </cell>
          <cell r="C145" t="str">
            <v>SF</v>
          </cell>
          <cell r="D145" t="str">
            <v>B</v>
          </cell>
          <cell r="E145">
            <v>1.0740000000000001</v>
          </cell>
          <cell r="F145">
            <v>1.0209999999999999</v>
          </cell>
          <cell r="G145">
            <v>1.0269999999999999</v>
          </cell>
          <cell r="H145">
            <v>1.0029999999999999</v>
          </cell>
          <cell r="I145">
            <v>1.0289999999999999</v>
          </cell>
          <cell r="J145">
            <v>1.0049999999999999</v>
          </cell>
          <cell r="K145">
            <v>1.026</v>
          </cell>
          <cell r="L145">
            <v>1.0129999999999999</v>
          </cell>
          <cell r="M145">
            <v>1.0029999999999999</v>
          </cell>
          <cell r="N145">
            <v>1.0029999999999999</v>
          </cell>
          <cell r="O145">
            <v>1.0209999999999999</v>
          </cell>
          <cell r="P145">
            <v>1.032</v>
          </cell>
          <cell r="Q145">
            <v>1.0349999999999999</v>
          </cell>
          <cell r="R145">
            <v>1.3319480854780448</v>
          </cell>
        </row>
        <row r="146">
          <cell r="A146">
            <v>7313</v>
          </cell>
          <cell r="B146" t="str">
            <v>POLICE STATION</v>
          </cell>
          <cell r="C146" t="str">
            <v>SF</v>
          </cell>
          <cell r="D146" t="str">
            <v>B</v>
          </cell>
          <cell r="E146">
            <v>1.0740000000000001</v>
          </cell>
          <cell r="F146">
            <v>1.0209999999999999</v>
          </cell>
          <cell r="G146">
            <v>1.0269999999999999</v>
          </cell>
          <cell r="H146">
            <v>1.0029999999999999</v>
          </cell>
          <cell r="I146">
            <v>1.0289999999999999</v>
          </cell>
          <cell r="J146">
            <v>1.0049999999999999</v>
          </cell>
          <cell r="K146">
            <v>1.026</v>
          </cell>
          <cell r="L146">
            <v>1.0129999999999999</v>
          </cell>
          <cell r="M146">
            <v>1.0029999999999999</v>
          </cell>
          <cell r="N146">
            <v>1.0029999999999999</v>
          </cell>
          <cell r="O146">
            <v>1.0209999999999999</v>
          </cell>
          <cell r="P146">
            <v>1.032</v>
          </cell>
          <cell r="Q146">
            <v>1.0349999999999999</v>
          </cell>
          <cell r="R146">
            <v>1.3319480854780448</v>
          </cell>
        </row>
        <row r="147">
          <cell r="A147">
            <v>7314</v>
          </cell>
          <cell r="B147" t="str">
            <v>DRUG AND ALCOHOL ABUSE CENTER</v>
          </cell>
          <cell r="C147" t="str">
            <v>SF</v>
          </cell>
          <cell r="D147" t="str">
            <v>B</v>
          </cell>
          <cell r="E147">
            <v>1.0740000000000001</v>
          </cell>
          <cell r="F147">
            <v>1.0209999999999999</v>
          </cell>
          <cell r="G147">
            <v>1.0269999999999999</v>
          </cell>
          <cell r="H147">
            <v>1.0029999999999999</v>
          </cell>
          <cell r="I147">
            <v>1.0289999999999999</v>
          </cell>
          <cell r="J147">
            <v>1.0049999999999999</v>
          </cell>
          <cell r="K147">
            <v>1.026</v>
          </cell>
          <cell r="L147">
            <v>1.0129999999999999</v>
          </cell>
          <cell r="M147">
            <v>1.0029999999999999</v>
          </cell>
          <cell r="N147">
            <v>1.0029999999999999</v>
          </cell>
          <cell r="O147">
            <v>1.0209999999999999</v>
          </cell>
          <cell r="P147">
            <v>1.032</v>
          </cell>
          <cell r="Q147">
            <v>1.0349999999999999</v>
          </cell>
          <cell r="R147">
            <v>1.3319480854780448</v>
          </cell>
        </row>
        <row r="148">
          <cell r="A148">
            <v>7321</v>
          </cell>
          <cell r="B148" t="str">
            <v>BREAD/PASTRY KITCHEN</v>
          </cell>
          <cell r="C148" t="str">
            <v>SF</v>
          </cell>
          <cell r="D148" t="str">
            <v>B</v>
          </cell>
          <cell r="F148">
            <v>1.0209999999999999</v>
          </cell>
          <cell r="G148">
            <v>1.0269999999999999</v>
          </cell>
          <cell r="H148">
            <v>1.0029999999999999</v>
          </cell>
          <cell r="I148">
            <v>1.0289999999999999</v>
          </cell>
          <cell r="J148">
            <v>1.0049999999999999</v>
          </cell>
          <cell r="L148">
            <v>1.0129999999999999</v>
          </cell>
          <cell r="M148">
            <v>1.0029999999999999</v>
          </cell>
          <cell r="N148">
            <v>1.0029999999999999</v>
          </cell>
          <cell r="P148">
            <v>1.032</v>
          </cell>
          <cell r="Q148">
            <v>1.0349999999999999</v>
          </cell>
          <cell r="R148">
            <v>1.1838860786480316</v>
          </cell>
        </row>
        <row r="149">
          <cell r="A149">
            <v>7322</v>
          </cell>
          <cell r="B149" t="str">
            <v>ICE/DAIRY PRODUCTS PLANT</v>
          </cell>
          <cell r="C149" t="str">
            <v>SF</v>
          </cell>
          <cell r="D149" t="str">
            <v>B</v>
          </cell>
          <cell r="F149">
            <v>1.0209999999999999</v>
          </cell>
          <cell r="G149">
            <v>1.0269999999999999</v>
          </cell>
          <cell r="H149">
            <v>1.0029999999999999</v>
          </cell>
          <cell r="I149">
            <v>1.0289999999999999</v>
          </cell>
          <cell r="J149">
            <v>1.0049999999999999</v>
          </cell>
          <cell r="L149">
            <v>1.0129999999999999</v>
          </cell>
          <cell r="M149">
            <v>1.0029999999999999</v>
          </cell>
          <cell r="N149">
            <v>1.0029999999999999</v>
          </cell>
          <cell r="P149">
            <v>1.032</v>
          </cell>
          <cell r="Q149">
            <v>1.0349999999999999</v>
          </cell>
          <cell r="R149">
            <v>1.1838860786480316</v>
          </cell>
        </row>
        <row r="150">
          <cell r="A150">
            <v>7323</v>
          </cell>
          <cell r="B150" t="str">
            <v>GREENHOUSE</v>
          </cell>
          <cell r="C150" t="str">
            <v>SF</v>
          </cell>
          <cell r="D150" t="str">
            <v>B</v>
          </cell>
          <cell r="F150">
            <v>1.0209999999999999</v>
          </cell>
          <cell r="R150">
            <v>1.0209999999999999</v>
          </cell>
        </row>
        <row r="151">
          <cell r="A151">
            <v>7331</v>
          </cell>
          <cell r="B151" t="str">
            <v>EXCHANGE EATING FACILITY</v>
          </cell>
          <cell r="C151" t="str">
            <v>SF</v>
          </cell>
          <cell r="D151" t="str">
            <v>B</v>
          </cell>
          <cell r="E151">
            <v>1.0740000000000001</v>
          </cell>
          <cell r="F151">
            <v>1.0209999999999999</v>
          </cell>
          <cell r="G151">
            <v>1.0269999999999999</v>
          </cell>
          <cell r="J151">
            <v>1.0049999999999999</v>
          </cell>
          <cell r="K151">
            <v>1.026</v>
          </cell>
          <cell r="L151">
            <v>1.0129999999999999</v>
          </cell>
          <cell r="M151">
            <v>1.0029999999999999</v>
          </cell>
          <cell r="N151">
            <v>1.0029999999999999</v>
          </cell>
          <cell r="O151">
            <v>1.0209999999999999</v>
          </cell>
          <cell r="P151">
            <v>1.032</v>
          </cell>
          <cell r="Q151">
            <v>1.0349999999999999</v>
          </cell>
          <cell r="R151">
            <v>1.290538574246207</v>
          </cell>
        </row>
        <row r="152">
          <cell r="A152">
            <v>7333</v>
          </cell>
          <cell r="B152" t="str">
            <v>OPEN MESS AND CLUB FACILITY</v>
          </cell>
          <cell r="C152" t="str">
            <v>SF</v>
          </cell>
          <cell r="D152" t="str">
            <v>B</v>
          </cell>
          <cell r="E152">
            <v>1.0740000000000001</v>
          </cell>
          <cell r="F152">
            <v>1.0209999999999999</v>
          </cell>
          <cell r="G152">
            <v>1.0269999999999999</v>
          </cell>
          <cell r="H152">
            <v>1.0029999999999999</v>
          </cell>
          <cell r="I152">
            <v>1.0289999999999999</v>
          </cell>
          <cell r="J152">
            <v>1.0049999999999999</v>
          </cell>
          <cell r="K152">
            <v>1.026</v>
          </cell>
          <cell r="L152">
            <v>1.0129999999999999</v>
          </cell>
          <cell r="M152">
            <v>1.0029999999999999</v>
          </cell>
          <cell r="N152">
            <v>1.0029999999999999</v>
          </cell>
          <cell r="O152">
            <v>1.0209999999999999</v>
          </cell>
          <cell r="P152">
            <v>1.032</v>
          </cell>
          <cell r="Q152">
            <v>1.0349999999999999</v>
          </cell>
          <cell r="R152">
            <v>1.3319480854780448</v>
          </cell>
        </row>
        <row r="153">
          <cell r="A153">
            <v>7340</v>
          </cell>
          <cell r="B153" t="str">
            <v>THRIFT SHOP</v>
          </cell>
          <cell r="C153" t="str">
            <v>SF</v>
          </cell>
          <cell r="D153" t="str">
            <v>B</v>
          </cell>
          <cell r="F153">
            <v>1.0209999999999999</v>
          </cell>
          <cell r="J153">
            <v>1.0049999999999999</v>
          </cell>
          <cell r="N153">
            <v>1.0029999999999999</v>
          </cell>
          <cell r="R153">
            <v>1.0291833149999998</v>
          </cell>
        </row>
        <row r="154">
          <cell r="A154">
            <v>7341</v>
          </cell>
          <cell r="B154" t="str">
            <v>BUS STATION</v>
          </cell>
          <cell r="C154" t="str">
            <v>SF</v>
          </cell>
          <cell r="D154" t="str">
            <v>B</v>
          </cell>
          <cell r="F154">
            <v>1.0209999999999999</v>
          </cell>
          <cell r="H154">
            <v>1.0029999999999999</v>
          </cell>
          <cell r="I154">
            <v>1.0289999999999999</v>
          </cell>
          <cell r="J154">
            <v>1.0049999999999999</v>
          </cell>
          <cell r="N154">
            <v>1.0029999999999999</v>
          </cell>
          <cell r="P154">
            <v>1.032</v>
          </cell>
          <cell r="Q154">
            <v>1.0349999999999999</v>
          </cell>
          <cell r="R154">
            <v>1.1345642417967394</v>
          </cell>
        </row>
        <row r="155">
          <cell r="A155">
            <v>7342</v>
          </cell>
          <cell r="B155" t="str">
            <v>LAUNDRY/DRY CLEANING FACILITY</v>
          </cell>
          <cell r="C155" t="str">
            <v>SF</v>
          </cell>
          <cell r="D155" t="str">
            <v>B</v>
          </cell>
          <cell r="F155">
            <v>1.0209999999999999</v>
          </cell>
          <cell r="L155">
            <v>1.0129999999999999</v>
          </cell>
          <cell r="M155">
            <v>1.0029999999999999</v>
          </cell>
          <cell r="N155">
            <v>1.0029999999999999</v>
          </cell>
          <cell r="P155">
            <v>1.032</v>
          </cell>
          <cell r="Q155">
            <v>1.0349999999999999</v>
          </cell>
          <cell r="R155">
            <v>1.1113659853696505</v>
          </cell>
        </row>
        <row r="156">
          <cell r="A156">
            <v>7344</v>
          </cell>
          <cell r="B156" t="str">
            <v>POSTAL FACILITY</v>
          </cell>
          <cell r="C156" t="str">
            <v>SF</v>
          </cell>
          <cell r="D156" t="str">
            <v>B</v>
          </cell>
          <cell r="E156">
            <v>1.0740000000000001</v>
          </cell>
          <cell r="F156">
            <v>1.0209999999999999</v>
          </cell>
          <cell r="G156">
            <v>1.0269999999999999</v>
          </cell>
          <cell r="H156">
            <v>1.0029999999999999</v>
          </cell>
          <cell r="I156">
            <v>1.0289999999999999</v>
          </cell>
          <cell r="J156">
            <v>1.0049999999999999</v>
          </cell>
          <cell r="K156">
            <v>1.026</v>
          </cell>
          <cell r="L156">
            <v>1.0129999999999999</v>
          </cell>
          <cell r="M156">
            <v>1.0029999999999999</v>
          </cell>
          <cell r="N156">
            <v>1.0029999999999999</v>
          </cell>
          <cell r="O156">
            <v>1.0209999999999999</v>
          </cell>
          <cell r="P156">
            <v>1.032</v>
          </cell>
          <cell r="Q156">
            <v>1.0349999999999999</v>
          </cell>
          <cell r="R156">
            <v>1.3319480854780448</v>
          </cell>
        </row>
        <row r="157">
          <cell r="A157">
            <v>7345</v>
          </cell>
          <cell r="B157" t="str">
            <v>EXCHANGE AUTOMOBILE FACILITY</v>
          </cell>
          <cell r="C157" t="str">
            <v>SF</v>
          </cell>
          <cell r="D157" t="str">
            <v>B</v>
          </cell>
          <cell r="F157">
            <v>1.0209999999999999</v>
          </cell>
          <cell r="G157">
            <v>1.0269999999999999</v>
          </cell>
          <cell r="H157">
            <v>1.0029999999999999</v>
          </cell>
          <cell r="I157">
            <v>1.0289999999999999</v>
          </cell>
          <cell r="J157">
            <v>1.0049999999999999</v>
          </cell>
          <cell r="N157">
            <v>1.0029999999999999</v>
          </cell>
          <cell r="P157">
            <v>1.032</v>
          </cell>
          <cell r="Q157">
            <v>1.0349999999999999</v>
          </cell>
          <cell r="R157">
            <v>1.1651974763252515</v>
          </cell>
        </row>
        <row r="158">
          <cell r="A158">
            <v>7346</v>
          </cell>
          <cell r="B158" t="str">
            <v>EXCHANGE SALES FACILITY</v>
          </cell>
          <cell r="C158" t="str">
            <v>SF</v>
          </cell>
          <cell r="D158" t="str">
            <v>B</v>
          </cell>
          <cell r="F158">
            <v>1.0209999999999999</v>
          </cell>
          <cell r="G158">
            <v>1.0269999999999999</v>
          </cell>
          <cell r="H158">
            <v>1.0029999999999999</v>
          </cell>
          <cell r="I158">
            <v>1.0289999999999999</v>
          </cell>
          <cell r="J158">
            <v>1.0049999999999999</v>
          </cell>
          <cell r="K158">
            <v>1.026</v>
          </cell>
          <cell r="L158">
            <v>1.0129999999999999</v>
          </cell>
          <cell r="M158">
            <v>1.0029999999999999</v>
          </cell>
          <cell r="N158">
            <v>1.0029999999999999</v>
          </cell>
          <cell r="P158">
            <v>1.032</v>
          </cell>
          <cell r="Q158">
            <v>1.0349999999999999</v>
          </cell>
          <cell r="R158">
            <v>1.2146671166928804</v>
          </cell>
        </row>
        <row r="159">
          <cell r="A159">
            <v>7347</v>
          </cell>
          <cell r="B159" t="str">
            <v>BANK AND CREDIT UNION</v>
          </cell>
          <cell r="C159" t="str">
            <v>SF</v>
          </cell>
          <cell r="D159" t="str">
            <v>B</v>
          </cell>
          <cell r="E159">
            <v>1.0740000000000001</v>
          </cell>
          <cell r="F159">
            <v>1.0209999999999999</v>
          </cell>
          <cell r="G159">
            <v>1.0269999999999999</v>
          </cell>
          <cell r="H159">
            <v>1.0029999999999999</v>
          </cell>
          <cell r="I159">
            <v>1.0289999999999999</v>
          </cell>
          <cell r="J159">
            <v>1.0049999999999999</v>
          </cell>
          <cell r="K159">
            <v>1.026</v>
          </cell>
          <cell r="M159">
            <v>1.0029999999999999</v>
          </cell>
          <cell r="N159">
            <v>1.0029999999999999</v>
          </cell>
          <cell r="O159">
            <v>1.0209999999999999</v>
          </cell>
          <cell r="P159">
            <v>1.032</v>
          </cell>
          <cell r="Q159">
            <v>1.0349999999999999</v>
          </cell>
          <cell r="R159">
            <v>1.3148549708569053</v>
          </cell>
        </row>
        <row r="160">
          <cell r="A160">
            <v>7348</v>
          </cell>
          <cell r="B160" t="str">
            <v>CAR WASH FACILITY</v>
          </cell>
          <cell r="C160" t="str">
            <v>SF</v>
          </cell>
          <cell r="D160" t="str">
            <v>B</v>
          </cell>
          <cell r="F160">
            <v>1.0209999999999999</v>
          </cell>
          <cell r="L160">
            <v>1.0129999999999999</v>
          </cell>
          <cell r="N160">
            <v>1.0029999999999999</v>
          </cell>
          <cell r="P160">
            <v>1.032</v>
          </cell>
          <cell r="Q160">
            <v>1.0349999999999999</v>
          </cell>
          <cell r="R160">
            <v>1.1080418597902797</v>
          </cell>
        </row>
        <row r="161">
          <cell r="A161">
            <v>7349</v>
          </cell>
          <cell r="B161" t="str">
            <v>COMMISSARY</v>
          </cell>
          <cell r="C161" t="str">
            <v>SF</v>
          </cell>
          <cell r="D161" t="str">
            <v>B</v>
          </cell>
          <cell r="E161">
            <v>1.0740000000000001</v>
          </cell>
          <cell r="F161">
            <v>1.0209999999999999</v>
          </cell>
          <cell r="G161">
            <v>1.0269999999999999</v>
          </cell>
          <cell r="H161">
            <v>1.0029999999999999</v>
          </cell>
          <cell r="I161">
            <v>1.0289999999999999</v>
          </cell>
          <cell r="J161">
            <v>1.0049999999999999</v>
          </cell>
          <cell r="L161">
            <v>1.0129999999999999</v>
          </cell>
          <cell r="M161">
            <v>1.0029999999999999</v>
          </cell>
          <cell r="N161">
            <v>1.0029999999999999</v>
          </cell>
          <cell r="O161">
            <v>1.0209999999999999</v>
          </cell>
          <cell r="P161">
            <v>1.032</v>
          </cell>
          <cell r="Q161">
            <v>1.0349999999999999</v>
          </cell>
          <cell r="R161">
            <v>1.2981950150858137</v>
          </cell>
        </row>
        <row r="162">
          <cell r="A162">
            <v>7350</v>
          </cell>
          <cell r="B162" t="str">
            <v>CAR WASH STRUCTURE</v>
          </cell>
          <cell r="C162" t="str">
            <v>SF</v>
          </cell>
          <cell r="D162" t="str">
            <v>S</v>
          </cell>
          <cell r="F162">
            <v>1.0209999999999999</v>
          </cell>
          <cell r="L162">
            <v>1.0129999999999999</v>
          </cell>
          <cell r="N162">
            <v>1.0029999999999999</v>
          </cell>
          <cell r="P162">
            <v>1.032</v>
          </cell>
          <cell r="Q162">
            <v>1.0349999999999999</v>
          </cell>
          <cell r="R162">
            <v>1.1080418597902797</v>
          </cell>
        </row>
        <row r="163">
          <cell r="A163">
            <v>7351</v>
          </cell>
          <cell r="B163" t="str">
            <v>EDUCATION CENTER</v>
          </cell>
          <cell r="C163" t="str">
            <v>SF</v>
          </cell>
          <cell r="D163" t="str">
            <v>B</v>
          </cell>
          <cell r="E163">
            <v>1.0740000000000001</v>
          </cell>
          <cell r="F163">
            <v>1.0209999999999999</v>
          </cell>
          <cell r="G163">
            <v>1.0269999999999999</v>
          </cell>
          <cell r="H163">
            <v>1.0029999999999999</v>
          </cell>
          <cell r="I163">
            <v>1.0289999999999999</v>
          </cell>
          <cell r="J163">
            <v>1.0049999999999999</v>
          </cell>
          <cell r="K163">
            <v>1.026</v>
          </cell>
          <cell r="L163">
            <v>1.0129999999999999</v>
          </cell>
          <cell r="M163">
            <v>1.0029999999999999</v>
          </cell>
          <cell r="N163">
            <v>1.0029999999999999</v>
          </cell>
          <cell r="O163">
            <v>1.0209999999999999</v>
          </cell>
          <cell r="P163">
            <v>1.032</v>
          </cell>
          <cell r="Q163">
            <v>1.0349999999999999</v>
          </cell>
          <cell r="R163">
            <v>1.3319480854780448</v>
          </cell>
        </row>
        <row r="164">
          <cell r="A164">
            <v>7354</v>
          </cell>
          <cell r="B164" t="str">
            <v>SCHOOL PLAYGROUNDS</v>
          </cell>
          <cell r="C164" t="str">
            <v>EA</v>
          </cell>
          <cell r="D164" t="str">
            <v>S</v>
          </cell>
          <cell r="F164">
            <v>1.0209999999999999</v>
          </cell>
          <cell r="R164">
            <v>1.0209999999999999</v>
          </cell>
        </row>
        <row r="165">
          <cell r="A165">
            <v>7362</v>
          </cell>
          <cell r="B165" t="str">
            <v>RELIGIOUS EDUCATION FACILITY</v>
          </cell>
          <cell r="C165" t="str">
            <v>SF</v>
          </cell>
          <cell r="D165" t="str">
            <v>B</v>
          </cell>
          <cell r="E165">
            <v>1.0740000000000001</v>
          </cell>
          <cell r="F165">
            <v>1.0209999999999999</v>
          </cell>
          <cell r="G165">
            <v>1.0269999999999999</v>
          </cell>
          <cell r="H165">
            <v>1.0029999999999999</v>
          </cell>
          <cell r="I165">
            <v>1.0289999999999999</v>
          </cell>
          <cell r="J165">
            <v>1.0049999999999999</v>
          </cell>
          <cell r="K165">
            <v>1.026</v>
          </cell>
          <cell r="L165">
            <v>1.0129999999999999</v>
          </cell>
          <cell r="M165">
            <v>1.0029999999999999</v>
          </cell>
          <cell r="N165">
            <v>1.0029999999999999</v>
          </cell>
          <cell r="P165">
            <v>1.032</v>
          </cell>
          <cell r="Q165">
            <v>1.0349999999999999</v>
          </cell>
          <cell r="R165">
            <v>1.3045524833281539</v>
          </cell>
        </row>
        <row r="166">
          <cell r="A166">
            <v>7372</v>
          </cell>
          <cell r="B166" t="str">
            <v>FAMILY SERVICE CENTER</v>
          </cell>
          <cell r="C166" t="str">
            <v>SF</v>
          </cell>
          <cell r="D166" t="str">
            <v>B</v>
          </cell>
          <cell r="E166">
            <v>1.0740000000000001</v>
          </cell>
          <cell r="F166">
            <v>1.0209999999999999</v>
          </cell>
          <cell r="G166">
            <v>1.0269999999999999</v>
          </cell>
          <cell r="H166">
            <v>1.0029999999999999</v>
          </cell>
          <cell r="I166">
            <v>1.0289999999999999</v>
          </cell>
          <cell r="J166">
            <v>1.0049999999999999</v>
          </cell>
          <cell r="K166">
            <v>1.026</v>
          </cell>
          <cell r="L166">
            <v>1.0129999999999999</v>
          </cell>
          <cell r="M166">
            <v>1.0029999999999999</v>
          </cell>
          <cell r="N166">
            <v>1.0029999999999999</v>
          </cell>
          <cell r="O166">
            <v>1.0209999999999999</v>
          </cell>
          <cell r="P166">
            <v>1.032</v>
          </cell>
          <cell r="Q166">
            <v>1.0349999999999999</v>
          </cell>
          <cell r="R166">
            <v>1.3319480854780448</v>
          </cell>
        </row>
        <row r="167">
          <cell r="A167">
            <v>7381</v>
          </cell>
          <cell r="B167" t="str">
            <v>FORESTRY GUARD STATION</v>
          </cell>
          <cell r="C167" t="str">
            <v>SF</v>
          </cell>
          <cell r="D167" t="str">
            <v>B</v>
          </cell>
          <cell r="F167">
            <v>1.0209999999999999</v>
          </cell>
          <cell r="R167">
            <v>1.0209999999999999</v>
          </cell>
        </row>
        <row r="168">
          <cell r="A168">
            <v>7382</v>
          </cell>
          <cell r="B168" t="str">
            <v>LOCKER ROOM</v>
          </cell>
          <cell r="C168" t="str">
            <v>SF</v>
          </cell>
          <cell r="D168" t="str">
            <v>B</v>
          </cell>
          <cell r="F168">
            <v>1.0209999999999999</v>
          </cell>
          <cell r="R168">
            <v>1.0209999999999999</v>
          </cell>
        </row>
        <row r="169">
          <cell r="A169">
            <v>7384</v>
          </cell>
          <cell r="B169" t="str">
            <v>MISCELLANEOUS PERSONNEL SHELTER</v>
          </cell>
          <cell r="C169" t="str">
            <v>SF</v>
          </cell>
          <cell r="D169" t="str">
            <v>S</v>
          </cell>
          <cell r="F169">
            <v>1.0209999999999999</v>
          </cell>
          <cell r="R169">
            <v>1.0209999999999999</v>
          </cell>
        </row>
        <row r="170">
          <cell r="A170">
            <v>7385</v>
          </cell>
          <cell r="B170" t="str">
            <v>PUBLIC RESTROOM/SHOWER</v>
          </cell>
          <cell r="C170" t="str">
            <v>SF</v>
          </cell>
          <cell r="D170" t="str">
            <v>B</v>
          </cell>
          <cell r="E170">
            <v>1.0740000000000001</v>
          </cell>
          <cell r="F170">
            <v>1.0209999999999999</v>
          </cell>
          <cell r="L170">
            <v>1.0129999999999999</v>
          </cell>
          <cell r="N170">
            <v>1.0029999999999999</v>
          </cell>
          <cell r="R170">
            <v>1.1141416296059998</v>
          </cell>
        </row>
        <row r="171">
          <cell r="A171">
            <v>7386</v>
          </cell>
          <cell r="B171" t="str">
            <v>CEREMONIAL HALL</v>
          </cell>
          <cell r="C171" t="str">
            <v>SF</v>
          </cell>
          <cell r="D171" t="str">
            <v>B</v>
          </cell>
          <cell r="E171">
            <v>1.0740000000000001</v>
          </cell>
          <cell r="F171">
            <v>1.0209999999999999</v>
          </cell>
          <cell r="G171">
            <v>1.0269999999999999</v>
          </cell>
          <cell r="H171">
            <v>1.0029999999999999</v>
          </cell>
          <cell r="I171">
            <v>1.0289999999999999</v>
          </cell>
          <cell r="J171">
            <v>1.0049999999999999</v>
          </cell>
          <cell r="K171">
            <v>1.026</v>
          </cell>
          <cell r="L171">
            <v>1.0129999999999999</v>
          </cell>
          <cell r="M171">
            <v>1.0029999999999999</v>
          </cell>
          <cell r="N171">
            <v>1.0029999999999999</v>
          </cell>
          <cell r="O171">
            <v>1.0209999999999999</v>
          </cell>
          <cell r="P171">
            <v>1.032</v>
          </cell>
          <cell r="Q171">
            <v>1.0349999999999999</v>
          </cell>
          <cell r="R171">
            <v>1.3319480854780448</v>
          </cell>
        </row>
        <row r="172">
          <cell r="A172">
            <v>7387</v>
          </cell>
          <cell r="B172" t="str">
            <v>EXCHANGE SUPPORT FACILITY</v>
          </cell>
          <cell r="C172" t="str">
            <v>SF</v>
          </cell>
          <cell r="D172" t="str">
            <v>B</v>
          </cell>
          <cell r="F172">
            <v>1.0209999999999999</v>
          </cell>
          <cell r="R172">
            <v>1.0209999999999999</v>
          </cell>
        </row>
        <row r="173">
          <cell r="A173">
            <v>7389</v>
          </cell>
          <cell r="B173" t="str">
            <v>PRIVATE VEHICLE INSECTION STATION</v>
          </cell>
          <cell r="C173" t="str">
            <v>SF</v>
          </cell>
          <cell r="D173" t="str">
            <v>B</v>
          </cell>
          <cell r="F173" t="str">
            <v>1.O21</v>
          </cell>
          <cell r="R173">
            <v>1.0209999999999999</v>
          </cell>
        </row>
        <row r="174">
          <cell r="A174">
            <v>7411</v>
          </cell>
          <cell r="B174" t="str">
            <v>HOBBY AND CRAFT CENTER</v>
          </cell>
          <cell r="C174" t="str">
            <v>SF</v>
          </cell>
          <cell r="D174" t="str">
            <v>B</v>
          </cell>
          <cell r="F174">
            <v>1.0209999999999999</v>
          </cell>
          <cell r="R174">
            <v>1.0209999999999999</v>
          </cell>
        </row>
        <row r="175">
          <cell r="A175">
            <v>7412</v>
          </cell>
          <cell r="B175" t="str">
            <v>AUTOMOBILE CRAFT CENTER</v>
          </cell>
          <cell r="C175" t="str">
            <v>SF</v>
          </cell>
          <cell r="D175" t="str">
            <v>B</v>
          </cell>
          <cell r="F175">
            <v>1.0209999999999999</v>
          </cell>
          <cell r="H175">
            <v>1.0029999999999999</v>
          </cell>
          <cell r="R175">
            <v>1.0240629999999997</v>
          </cell>
        </row>
        <row r="176">
          <cell r="A176">
            <v>7413</v>
          </cell>
          <cell r="B176" t="str">
            <v>GOLF CLUB HOUSE AND SALES</v>
          </cell>
          <cell r="C176" t="str">
            <v>SF</v>
          </cell>
          <cell r="D176" t="str">
            <v>B</v>
          </cell>
          <cell r="E176">
            <v>1.0740000000000001</v>
          </cell>
          <cell r="F176">
            <v>1.0209999999999999</v>
          </cell>
          <cell r="G176">
            <v>1.0269999999999999</v>
          </cell>
          <cell r="H176">
            <v>1.0029999999999999</v>
          </cell>
          <cell r="I176">
            <v>1.0289999999999999</v>
          </cell>
          <cell r="J176">
            <v>1.0049999999999999</v>
          </cell>
          <cell r="K176">
            <v>1.026</v>
          </cell>
          <cell r="L176">
            <v>1.0129999999999999</v>
          </cell>
          <cell r="M176">
            <v>1.0029999999999999</v>
          </cell>
          <cell r="N176">
            <v>1.0029999999999999</v>
          </cell>
          <cell r="O176">
            <v>1.0209999999999999</v>
          </cell>
          <cell r="P176">
            <v>1.032</v>
          </cell>
          <cell r="Q176">
            <v>1.0349999999999999</v>
          </cell>
          <cell r="R176">
            <v>1.3319480854780448</v>
          </cell>
        </row>
        <row r="177">
          <cell r="A177">
            <v>7414</v>
          </cell>
          <cell r="B177" t="str">
            <v>CLUB AND ORGANIZATION BUILDING</v>
          </cell>
          <cell r="C177" t="str">
            <v>SF</v>
          </cell>
          <cell r="D177" t="str">
            <v>B</v>
          </cell>
          <cell r="E177">
            <v>1.0740000000000001</v>
          </cell>
          <cell r="F177">
            <v>1.0209999999999999</v>
          </cell>
          <cell r="G177">
            <v>1.0269999999999999</v>
          </cell>
          <cell r="H177">
            <v>1.0029999999999999</v>
          </cell>
          <cell r="I177">
            <v>1.0289999999999999</v>
          </cell>
          <cell r="J177">
            <v>1.0049999999999999</v>
          </cell>
          <cell r="K177">
            <v>1.026</v>
          </cell>
          <cell r="L177">
            <v>1.0129999999999999</v>
          </cell>
          <cell r="M177">
            <v>1.0029999999999999</v>
          </cell>
          <cell r="N177">
            <v>1.0029999999999999</v>
          </cell>
          <cell r="O177">
            <v>1.0209999999999999</v>
          </cell>
          <cell r="R177">
            <v>1.2470022895162014</v>
          </cell>
        </row>
        <row r="178">
          <cell r="A178">
            <v>7415</v>
          </cell>
          <cell r="B178" t="str">
            <v>BOWLING CENTER</v>
          </cell>
          <cell r="C178" t="str">
            <v>SF</v>
          </cell>
          <cell r="D178" t="str">
            <v>B</v>
          </cell>
          <cell r="E178">
            <v>1.0740000000000001</v>
          </cell>
          <cell r="F178">
            <v>1.0209999999999999</v>
          </cell>
          <cell r="G178">
            <v>1.0269999999999999</v>
          </cell>
          <cell r="H178">
            <v>1.0029999999999999</v>
          </cell>
          <cell r="I178">
            <v>1.0289999999999999</v>
          </cell>
          <cell r="J178">
            <v>1.0049999999999999</v>
          </cell>
          <cell r="M178">
            <v>1.0029999999999999</v>
          </cell>
          <cell r="N178">
            <v>1.0029999999999999</v>
          </cell>
          <cell r="O178">
            <v>1.0209999999999999</v>
          </cell>
          <cell r="P178">
            <v>1.032</v>
          </cell>
          <cell r="Q178">
            <v>1.0349999999999999</v>
          </cell>
          <cell r="R178">
            <v>1.2815350593147223</v>
          </cell>
        </row>
        <row r="179">
          <cell r="A179">
            <v>7416</v>
          </cell>
          <cell r="B179" t="str">
            <v>LIBRARY, GENERAL USE</v>
          </cell>
          <cell r="C179" t="str">
            <v>SF</v>
          </cell>
          <cell r="D179" t="str">
            <v>B</v>
          </cell>
          <cell r="E179">
            <v>1.0740000000000001</v>
          </cell>
          <cell r="F179">
            <v>1.0209999999999999</v>
          </cell>
          <cell r="G179">
            <v>1.0269999999999999</v>
          </cell>
          <cell r="H179">
            <v>1.0029999999999999</v>
          </cell>
          <cell r="I179">
            <v>1.0289999999999999</v>
          </cell>
          <cell r="J179">
            <v>1.0049999999999999</v>
          </cell>
          <cell r="K179">
            <v>1.026</v>
          </cell>
          <cell r="L179">
            <v>1.0129999999999999</v>
          </cell>
          <cell r="M179">
            <v>1.0029999999999999</v>
          </cell>
          <cell r="N179">
            <v>1.0029999999999999</v>
          </cell>
          <cell r="O179">
            <v>1.0209999999999999</v>
          </cell>
          <cell r="P179">
            <v>1.032</v>
          </cell>
          <cell r="Q179">
            <v>1.0349999999999999</v>
          </cell>
          <cell r="R179">
            <v>1.3319480854780448</v>
          </cell>
        </row>
        <row r="180">
          <cell r="A180">
            <v>7417</v>
          </cell>
          <cell r="B180" t="str">
            <v>RECREATION CENTER</v>
          </cell>
          <cell r="C180" t="str">
            <v>SF</v>
          </cell>
          <cell r="D180" t="str">
            <v>B</v>
          </cell>
          <cell r="E180">
            <v>1.0740000000000001</v>
          </cell>
          <cell r="F180">
            <v>1.0209999999999999</v>
          </cell>
          <cell r="G180">
            <v>1.0269999999999999</v>
          </cell>
          <cell r="H180">
            <v>1.0029999999999999</v>
          </cell>
          <cell r="I180">
            <v>1.0289999999999999</v>
          </cell>
          <cell r="J180">
            <v>1.0049999999999999</v>
          </cell>
          <cell r="L180">
            <v>1.0129999999999999</v>
          </cell>
          <cell r="M180">
            <v>1.0029999999999999</v>
          </cell>
          <cell r="N180">
            <v>1.0029999999999999</v>
          </cell>
          <cell r="O180">
            <v>1.0209999999999999</v>
          </cell>
          <cell r="P180">
            <v>1.032</v>
          </cell>
          <cell r="Q180">
            <v>1.0349999999999999</v>
          </cell>
          <cell r="R180">
            <v>1.2981950150858137</v>
          </cell>
        </row>
        <row r="181">
          <cell r="A181">
            <v>7418</v>
          </cell>
          <cell r="B181" t="str">
            <v>INDOOR SKATING RINK</v>
          </cell>
          <cell r="C181" t="str">
            <v>SF</v>
          </cell>
          <cell r="D181" t="str">
            <v>B</v>
          </cell>
          <cell r="F181">
            <v>1.0209999999999999</v>
          </cell>
          <cell r="G181">
            <v>1.0269999999999999</v>
          </cell>
          <cell r="H181">
            <v>1.0029999999999999</v>
          </cell>
          <cell r="I181">
            <v>1.0289999999999999</v>
          </cell>
          <cell r="J181">
            <v>1.0049999999999999</v>
          </cell>
          <cell r="N181">
            <v>1.0029999999999999</v>
          </cell>
          <cell r="O181">
            <v>1.0209999999999999</v>
          </cell>
          <cell r="P181">
            <v>1.032</v>
          </cell>
          <cell r="Q181">
            <v>1.0349999999999999</v>
          </cell>
          <cell r="R181">
            <v>1.1896666233280813</v>
          </cell>
        </row>
        <row r="182">
          <cell r="A182">
            <v>7422</v>
          </cell>
          <cell r="B182" t="str">
            <v>INDOOR SWIMMING POOL</v>
          </cell>
          <cell r="C182" t="str">
            <v>SF</v>
          </cell>
          <cell r="D182" t="str">
            <v>B</v>
          </cell>
          <cell r="F182">
            <v>1.0209999999999999</v>
          </cell>
          <cell r="G182">
            <v>1.0269999999999999</v>
          </cell>
          <cell r="H182">
            <v>1.0029999999999999</v>
          </cell>
          <cell r="I182">
            <v>1.0289999999999999</v>
          </cell>
          <cell r="J182">
            <v>1.0049999999999999</v>
          </cell>
          <cell r="L182">
            <v>1.0129999999999999</v>
          </cell>
          <cell r="N182">
            <v>1.0029999999999999</v>
          </cell>
          <cell r="O182">
            <v>1.0209999999999999</v>
          </cell>
          <cell r="P182">
            <v>1.032</v>
          </cell>
          <cell r="Q182">
            <v>1.0349999999999999</v>
          </cell>
          <cell r="R182">
            <v>1.2051322894313463</v>
          </cell>
        </row>
        <row r="183">
          <cell r="A183">
            <v>7431</v>
          </cell>
          <cell r="B183" t="str">
            <v>AUDITORIUM AND THEATER FACILITY</v>
          </cell>
          <cell r="C183" t="str">
            <v>SF</v>
          </cell>
          <cell r="D183" t="str">
            <v>B</v>
          </cell>
          <cell r="E183">
            <v>1.0740000000000001</v>
          </cell>
          <cell r="F183">
            <v>1.0209999999999999</v>
          </cell>
          <cell r="G183">
            <v>1.0269999999999999</v>
          </cell>
          <cell r="H183">
            <v>1.0029999999999999</v>
          </cell>
          <cell r="I183">
            <v>1.0289999999999999</v>
          </cell>
          <cell r="J183">
            <v>1.0049999999999999</v>
          </cell>
          <cell r="K183">
            <v>1.026</v>
          </cell>
          <cell r="M183">
            <v>1.0029999999999999</v>
          </cell>
          <cell r="N183">
            <v>1.0029999999999999</v>
          </cell>
          <cell r="O183">
            <v>1.0209999999999999</v>
          </cell>
          <cell r="P183">
            <v>1.032</v>
          </cell>
          <cell r="Q183">
            <v>1.0349999999999999</v>
          </cell>
          <cell r="R183">
            <v>1.3148549708569053</v>
          </cell>
        </row>
        <row r="184">
          <cell r="A184">
            <v>7440</v>
          </cell>
          <cell r="B184" t="str">
            <v>COMMUNITY ACTIVIES / CONFERENCE CENTER</v>
          </cell>
          <cell r="C184" t="str">
            <v>SF</v>
          </cell>
          <cell r="D184" t="str">
            <v>B</v>
          </cell>
          <cell r="E184">
            <v>1.0740000000000001</v>
          </cell>
          <cell r="F184">
            <v>1.0209999999999999</v>
          </cell>
          <cell r="G184">
            <v>1.0269999999999999</v>
          </cell>
          <cell r="H184">
            <v>1.0029999999999999</v>
          </cell>
          <cell r="I184">
            <v>1.0289999999999999</v>
          </cell>
          <cell r="J184">
            <v>1.0049999999999999</v>
          </cell>
          <cell r="K184">
            <v>1.026</v>
          </cell>
          <cell r="M184">
            <v>1.0029999999999999</v>
          </cell>
          <cell r="N184">
            <v>1.0029999999999999</v>
          </cell>
          <cell r="O184">
            <v>1.0209999999999999</v>
          </cell>
          <cell r="P184">
            <v>1.032</v>
          </cell>
          <cell r="Q184">
            <v>1.0349999999999999</v>
          </cell>
          <cell r="R184">
            <v>1.3148549708569053</v>
          </cell>
        </row>
        <row r="185">
          <cell r="A185">
            <v>7442</v>
          </cell>
          <cell r="B185" t="str">
            <v>RECREATIONAL LODGING</v>
          </cell>
          <cell r="C185" t="str">
            <v>SF</v>
          </cell>
          <cell r="D185" t="str">
            <v>B</v>
          </cell>
          <cell r="F185">
            <v>1.0209999999999999</v>
          </cell>
          <cell r="G185">
            <v>1.0269999999999999</v>
          </cell>
          <cell r="J185">
            <v>1.0049999999999999</v>
          </cell>
          <cell r="N185">
            <v>1.0029999999999999</v>
          </cell>
          <cell r="P185">
            <v>1.032</v>
          </cell>
          <cell r="Q185">
            <v>1.0349999999999999</v>
          </cell>
          <cell r="R185">
            <v>1.12897214704308</v>
          </cell>
        </row>
        <row r="186">
          <cell r="A186">
            <v>7443</v>
          </cell>
          <cell r="B186" t="str">
            <v>TRANSIENT AND RECREATIONAL LODGING SUPPORT FACILITY</v>
          </cell>
          <cell r="C186" t="str">
            <v>SF</v>
          </cell>
          <cell r="D186" t="str">
            <v>B</v>
          </cell>
          <cell r="F186">
            <v>1.0209999999999999</v>
          </cell>
          <cell r="H186">
            <v>1.0029999999999999</v>
          </cell>
          <cell r="I186">
            <v>1.0289999999999999</v>
          </cell>
          <cell r="J186">
            <v>1.0049999999999999</v>
          </cell>
          <cell r="R186">
            <v>1.0590296311349996</v>
          </cell>
        </row>
        <row r="187">
          <cell r="A187">
            <v>7444</v>
          </cell>
          <cell r="B187" t="str">
            <v>STABLE</v>
          </cell>
          <cell r="C187" t="str">
            <v>SF</v>
          </cell>
          <cell r="D187" t="str">
            <v>B</v>
          </cell>
          <cell r="F187">
            <v>1.0209999999999999</v>
          </cell>
          <cell r="R187">
            <v>1.0209999999999999</v>
          </cell>
        </row>
        <row r="188">
          <cell r="A188">
            <v>7445</v>
          </cell>
          <cell r="B188" t="str">
            <v>BOATHOUSE</v>
          </cell>
          <cell r="C188" t="str">
            <v>SF</v>
          </cell>
          <cell r="D188" t="str">
            <v>B</v>
          </cell>
          <cell r="F188">
            <v>1.0209999999999999</v>
          </cell>
          <cell r="R188">
            <v>1.0209999999999999</v>
          </cell>
        </row>
        <row r="189">
          <cell r="A189">
            <v>7446</v>
          </cell>
          <cell r="B189" t="str">
            <v>MISCELLANEOUS MWR FACILITY</v>
          </cell>
          <cell r="C189" t="str">
            <v>SF</v>
          </cell>
          <cell r="D189" t="str">
            <v>B</v>
          </cell>
          <cell r="F189">
            <v>1.0209999999999999</v>
          </cell>
          <cell r="R189">
            <v>1.0209999999999999</v>
          </cell>
        </row>
        <row r="190">
          <cell r="A190">
            <v>7448</v>
          </cell>
          <cell r="B190" t="str">
            <v>RECREATIONAL SUPPORT BUILDING</v>
          </cell>
          <cell r="C190" t="str">
            <v>SF</v>
          </cell>
          <cell r="D190" t="str">
            <v>B</v>
          </cell>
          <cell r="F190">
            <v>1.0209999999999999</v>
          </cell>
          <cell r="G190">
            <v>1.0269999999999999</v>
          </cell>
          <cell r="L190">
            <v>1.0129999999999999</v>
          </cell>
          <cell r="N190">
            <v>1.0029999999999999</v>
          </cell>
          <cell r="P190">
            <v>1.032</v>
          </cell>
          <cell r="Q190">
            <v>1.0349999999999999</v>
          </cell>
          <cell r="R190">
            <v>1.1379589900046172</v>
          </cell>
        </row>
        <row r="191">
          <cell r="A191">
            <v>7449</v>
          </cell>
          <cell r="B191" t="str">
            <v>RETAIL KENNEL</v>
          </cell>
          <cell r="C191" t="str">
            <v>SF</v>
          </cell>
          <cell r="D191" t="str">
            <v>B</v>
          </cell>
          <cell r="E191">
            <v>1.0740000000000001</v>
          </cell>
          <cell r="F191">
            <v>1.0209999999999999</v>
          </cell>
          <cell r="G191">
            <v>1.0269999999999999</v>
          </cell>
          <cell r="H191">
            <v>1.0029999999999999</v>
          </cell>
          <cell r="I191">
            <v>1.0289999999999999</v>
          </cell>
          <cell r="J191">
            <v>1.0049999999999999</v>
          </cell>
          <cell r="K191">
            <v>1.026</v>
          </cell>
          <cell r="L191">
            <v>1.0129999999999999</v>
          </cell>
          <cell r="M191">
            <v>1.0029999999999999</v>
          </cell>
          <cell r="N191">
            <v>1.0029999999999999</v>
          </cell>
          <cell r="O191">
            <v>1.0209999999999999</v>
          </cell>
          <cell r="P191">
            <v>1.032</v>
          </cell>
          <cell r="Q191">
            <v>1.0349999999999999</v>
          </cell>
          <cell r="R191">
            <v>1.3319480854780448</v>
          </cell>
        </row>
        <row r="192">
          <cell r="A192">
            <v>7512</v>
          </cell>
          <cell r="B192" t="str">
            <v>OUTDOOR SWIMMING POOL</v>
          </cell>
          <cell r="C192" t="str">
            <v>EA</v>
          </cell>
          <cell r="D192" t="str">
            <v>S</v>
          </cell>
          <cell r="F192">
            <v>1.0209999999999999</v>
          </cell>
          <cell r="G192">
            <v>1.0269999999999999</v>
          </cell>
          <cell r="L192">
            <v>1.0129999999999999</v>
          </cell>
          <cell r="N192">
            <v>1.0029999999999999</v>
          </cell>
          <cell r="P192">
            <v>1.032</v>
          </cell>
          <cell r="Q192">
            <v>1.0349999999999999</v>
          </cell>
          <cell r="R192">
            <v>1.1379589900046172</v>
          </cell>
        </row>
        <row r="193">
          <cell r="A193">
            <v>7513</v>
          </cell>
          <cell r="B193" t="str">
            <v>GOLF COURSE</v>
          </cell>
          <cell r="C193" t="str">
            <v>EA</v>
          </cell>
          <cell r="D193" t="str">
            <v>S</v>
          </cell>
          <cell r="F193">
            <v>1.0209999999999999</v>
          </cell>
          <cell r="G193">
            <v>1.0269999999999999</v>
          </cell>
          <cell r="P193">
            <v>1.032</v>
          </cell>
          <cell r="Q193">
            <v>1.0349999999999999</v>
          </cell>
          <cell r="R193">
            <v>1.1199953840399997</v>
          </cell>
        </row>
        <row r="194">
          <cell r="A194">
            <v>7514</v>
          </cell>
          <cell r="B194" t="str">
            <v>GOLF DRIVING RANGE</v>
          </cell>
          <cell r="C194" t="str">
            <v>EA</v>
          </cell>
          <cell r="D194" t="str">
            <v>S</v>
          </cell>
          <cell r="F194">
            <v>1.0209999999999999</v>
          </cell>
          <cell r="G194">
            <v>1.0269999999999999</v>
          </cell>
          <cell r="P194">
            <v>1.032</v>
          </cell>
          <cell r="Q194">
            <v>1.0349999999999999</v>
          </cell>
          <cell r="R194">
            <v>1.1199953840399997</v>
          </cell>
        </row>
        <row r="195">
          <cell r="A195">
            <v>7515</v>
          </cell>
          <cell r="B195" t="str">
            <v>GOLF PITCH AND PUTT COURSE</v>
          </cell>
          <cell r="C195" t="str">
            <v>EA</v>
          </cell>
          <cell r="D195" t="str">
            <v>S</v>
          </cell>
          <cell r="F195">
            <v>1.0209999999999999</v>
          </cell>
          <cell r="P195">
            <v>1.032</v>
          </cell>
          <cell r="Q195">
            <v>1.0349999999999999</v>
          </cell>
          <cell r="R195">
            <v>1.0905505199999999</v>
          </cell>
        </row>
        <row r="196">
          <cell r="A196">
            <v>7516</v>
          </cell>
          <cell r="B196" t="str">
            <v>OUTDOOR RECREATION AREA</v>
          </cell>
          <cell r="C196" t="str">
            <v>EA</v>
          </cell>
          <cell r="D196" t="str">
            <v>S</v>
          </cell>
          <cell r="F196">
            <v>1.0209999999999999</v>
          </cell>
          <cell r="R196">
            <v>1.0209999999999999</v>
          </cell>
        </row>
        <row r="197">
          <cell r="A197">
            <v>7517</v>
          </cell>
          <cell r="B197" t="str">
            <v>RECREATIONAL PIER</v>
          </cell>
          <cell r="C197" t="str">
            <v>EA</v>
          </cell>
          <cell r="D197" t="str">
            <v>S</v>
          </cell>
          <cell r="F197">
            <v>1.0209999999999999</v>
          </cell>
          <cell r="R197">
            <v>1.0209999999999999</v>
          </cell>
        </row>
        <row r="198">
          <cell r="A198">
            <v>7518</v>
          </cell>
          <cell r="B198" t="str">
            <v>MARINA</v>
          </cell>
          <cell r="C198" t="str">
            <v>EA</v>
          </cell>
          <cell r="D198" t="str">
            <v>S</v>
          </cell>
          <cell r="F198">
            <v>1.0209999999999999</v>
          </cell>
          <cell r="G198">
            <v>1.0269999999999999</v>
          </cell>
          <cell r="P198">
            <v>1.032</v>
          </cell>
          <cell r="Q198">
            <v>1.0349999999999999</v>
          </cell>
          <cell r="R198">
            <v>1.1199953840399997</v>
          </cell>
        </row>
        <row r="199">
          <cell r="A199">
            <v>7521</v>
          </cell>
          <cell r="B199" t="str">
            <v>OUTDOOR PLAYING COURT</v>
          </cell>
          <cell r="C199" t="str">
            <v>EA</v>
          </cell>
          <cell r="D199" t="str">
            <v>S</v>
          </cell>
          <cell r="F199">
            <v>1.0209999999999999</v>
          </cell>
          <cell r="R199">
            <v>1.0209999999999999</v>
          </cell>
        </row>
        <row r="200">
          <cell r="A200">
            <v>7523</v>
          </cell>
          <cell r="B200" t="str">
            <v>RUNNING TRACK</v>
          </cell>
          <cell r="C200" t="str">
            <v>EA</v>
          </cell>
          <cell r="D200" t="str">
            <v>S</v>
          </cell>
          <cell r="F200">
            <v>1.0209999999999999</v>
          </cell>
          <cell r="G200">
            <v>1.0269999999999999</v>
          </cell>
          <cell r="R200">
            <v>1.0485669999999998</v>
          </cell>
        </row>
        <row r="201">
          <cell r="A201">
            <v>7524</v>
          </cell>
          <cell r="B201" t="str">
            <v>STADIUM</v>
          </cell>
          <cell r="C201" t="str">
            <v>EA</v>
          </cell>
          <cell r="D201" t="str">
            <v>S</v>
          </cell>
          <cell r="F201">
            <v>1.0209999999999999</v>
          </cell>
          <cell r="G201">
            <v>1.0269999999999999</v>
          </cell>
          <cell r="P201">
            <v>1.032</v>
          </cell>
          <cell r="Q201">
            <v>1.0349999999999999</v>
          </cell>
          <cell r="R201">
            <v>1.1199953840399997</v>
          </cell>
        </row>
        <row r="202">
          <cell r="A202">
            <v>7531</v>
          </cell>
          <cell r="B202" t="str">
            <v>PAVILION</v>
          </cell>
          <cell r="C202" t="str">
            <v>SF</v>
          </cell>
          <cell r="D202" t="str">
            <v>S</v>
          </cell>
          <cell r="F202">
            <v>1.0209999999999999</v>
          </cell>
          <cell r="R202">
            <v>1.0209999999999999</v>
          </cell>
        </row>
        <row r="203">
          <cell r="A203">
            <v>7532</v>
          </cell>
          <cell r="B203" t="str">
            <v>OUTDOOR THEATER</v>
          </cell>
          <cell r="C203" t="str">
            <v>EA</v>
          </cell>
          <cell r="D203" t="str">
            <v>S</v>
          </cell>
          <cell r="F203">
            <v>1.0209999999999999</v>
          </cell>
          <cell r="G203">
            <v>1.0269999999999999</v>
          </cell>
          <cell r="R203">
            <v>1.0485669999999998</v>
          </cell>
        </row>
        <row r="204">
          <cell r="A204">
            <v>7541</v>
          </cell>
          <cell r="B204" t="str">
            <v>RECREATIONAL CAMP AND TRAILER PARK</v>
          </cell>
          <cell r="C204" t="str">
            <v>EA</v>
          </cell>
          <cell r="D204" t="str">
            <v>S</v>
          </cell>
          <cell r="F204">
            <v>1.0209999999999999</v>
          </cell>
          <cell r="G204">
            <v>1.0269999999999999</v>
          </cell>
          <cell r="R204">
            <v>1.0485669999999998</v>
          </cell>
        </row>
        <row r="205">
          <cell r="A205">
            <v>7542</v>
          </cell>
          <cell r="B205" t="str">
            <v>MISCELLANEOUS OUTDOOR RECREATION FACILITY</v>
          </cell>
          <cell r="C205" t="str">
            <v>EA</v>
          </cell>
          <cell r="D205" t="str">
            <v>S</v>
          </cell>
          <cell r="F205">
            <v>1.0209999999999999</v>
          </cell>
          <cell r="G205">
            <v>1.0269999999999999</v>
          </cell>
          <cell r="R205">
            <v>1.0485669999999998</v>
          </cell>
        </row>
        <row r="206">
          <cell r="A206">
            <v>7601</v>
          </cell>
          <cell r="B206" t="str">
            <v>MUSEUM</v>
          </cell>
          <cell r="C206" t="str">
            <v>SF</v>
          </cell>
          <cell r="D206" t="str">
            <v>B</v>
          </cell>
          <cell r="E206">
            <v>1.0740000000000001</v>
          </cell>
          <cell r="F206">
            <v>1.0209999999999999</v>
          </cell>
          <cell r="G206">
            <v>1.0269999999999999</v>
          </cell>
          <cell r="H206">
            <v>1.0029999999999999</v>
          </cell>
          <cell r="I206">
            <v>1.0289999999999999</v>
          </cell>
          <cell r="J206">
            <v>1.0049999999999999</v>
          </cell>
          <cell r="K206">
            <v>1.026</v>
          </cell>
          <cell r="L206">
            <v>1.0129999999999999</v>
          </cell>
          <cell r="M206">
            <v>1.0029999999999999</v>
          </cell>
          <cell r="N206">
            <v>1.0029999999999999</v>
          </cell>
          <cell r="O206">
            <v>1.0209999999999999</v>
          </cell>
          <cell r="P206">
            <v>1.032</v>
          </cell>
          <cell r="Q206">
            <v>1.0349999999999999</v>
          </cell>
          <cell r="R206">
            <v>1.3319480854780448</v>
          </cell>
        </row>
        <row r="207">
          <cell r="A207">
            <v>7604</v>
          </cell>
          <cell r="B207" t="str">
            <v>COLUMBARIUM</v>
          </cell>
          <cell r="C207" t="str">
            <v>CF</v>
          </cell>
          <cell r="D207" t="str">
            <v>S</v>
          </cell>
          <cell r="F207">
            <v>1.0209999999999999</v>
          </cell>
          <cell r="G207">
            <v>1.0269999999999999</v>
          </cell>
          <cell r="P207">
            <v>1.032</v>
          </cell>
          <cell r="Q207">
            <v>1.0349999999999999</v>
          </cell>
          <cell r="R207">
            <v>1.1199953840399997</v>
          </cell>
        </row>
        <row r="208">
          <cell r="A208">
            <v>8111</v>
          </cell>
          <cell r="B208" t="str">
            <v>ELECTRICAL POWER SOURCE</v>
          </cell>
          <cell r="C208" t="str">
            <v>KW</v>
          </cell>
          <cell r="D208" t="str">
            <v>S</v>
          </cell>
          <cell r="F208">
            <v>1.0209999999999999</v>
          </cell>
          <cell r="P208">
            <v>1.032</v>
          </cell>
          <cell r="Q208">
            <v>1.0349999999999999</v>
          </cell>
          <cell r="R208">
            <v>1.0905505199999999</v>
          </cell>
        </row>
        <row r="209">
          <cell r="A209">
            <v>8113</v>
          </cell>
          <cell r="B209" t="str">
            <v>ELECTRICAL POWER SOURCE HYDROELECTRIC</v>
          </cell>
          <cell r="C209" t="str">
            <v>MW</v>
          </cell>
          <cell r="D209" t="str">
            <v>S</v>
          </cell>
          <cell r="F209">
            <v>1.0209999999999999</v>
          </cell>
          <cell r="G209">
            <v>1.0269999999999999</v>
          </cell>
          <cell r="P209">
            <v>1.032</v>
          </cell>
          <cell r="Q209">
            <v>1.0349999999999999</v>
          </cell>
          <cell r="R209">
            <v>1.1199953840399997</v>
          </cell>
        </row>
        <row r="210">
          <cell r="A210">
            <v>8114</v>
          </cell>
          <cell r="B210" t="str">
            <v>ELECTRICAL POWER SOURCE, WIND GENERATED</v>
          </cell>
          <cell r="C210" t="str">
            <v>KW</v>
          </cell>
          <cell r="D210" t="str">
            <v>S</v>
          </cell>
          <cell r="F210">
            <v>1.0209999999999999</v>
          </cell>
          <cell r="G210">
            <v>1.0269999999999999</v>
          </cell>
          <cell r="P210">
            <v>1.032</v>
          </cell>
          <cell r="Q210">
            <v>1.0349999999999999</v>
          </cell>
          <cell r="R210">
            <v>1.1199953840399997</v>
          </cell>
        </row>
        <row r="211">
          <cell r="A211">
            <v>8115</v>
          </cell>
          <cell r="B211" t="str">
            <v>ELECTRICAL POWER SOURCE, PHOTOVOLTAIC</v>
          </cell>
          <cell r="C211" t="str">
            <v>KW</v>
          </cell>
          <cell r="D211" t="str">
            <v>S</v>
          </cell>
          <cell r="F211">
            <v>1.0209999999999999</v>
          </cell>
          <cell r="G211">
            <v>1.0269999999999999</v>
          </cell>
          <cell r="P211">
            <v>1.032</v>
          </cell>
          <cell r="Q211">
            <v>1.0349999999999999</v>
          </cell>
          <cell r="R211">
            <v>1.1199953840399997</v>
          </cell>
        </row>
        <row r="212">
          <cell r="A212">
            <v>8122</v>
          </cell>
          <cell r="B212" t="str">
            <v>EXTERIOR LIGHTING, POLE</v>
          </cell>
          <cell r="C212" t="str">
            <v>EA</v>
          </cell>
          <cell r="D212" t="str">
            <v>S</v>
          </cell>
          <cell r="F212">
            <v>1.0209999999999999</v>
          </cell>
          <cell r="P212">
            <v>1.032</v>
          </cell>
          <cell r="Q212">
            <v>1.0349999999999999</v>
          </cell>
          <cell r="R212">
            <v>1.0905505199999999</v>
          </cell>
        </row>
        <row r="213">
          <cell r="A213">
            <v>8134</v>
          </cell>
          <cell r="B213" t="str">
            <v>LIGHTNING PROTECTION SYSTEM, STAND-ALONE</v>
          </cell>
          <cell r="C213" t="str">
            <v>EA</v>
          </cell>
          <cell r="D213" t="str">
            <v>S</v>
          </cell>
          <cell r="F213">
            <v>1.0209999999999999</v>
          </cell>
          <cell r="P213">
            <v>1.032</v>
          </cell>
          <cell r="Q213">
            <v>1.0349999999999999</v>
          </cell>
          <cell r="R213">
            <v>1.0905505199999999</v>
          </cell>
        </row>
        <row r="214">
          <cell r="A214">
            <v>8211</v>
          </cell>
          <cell r="B214" t="str">
            <v>HEAT SOURCE</v>
          </cell>
          <cell r="C214" t="str">
            <v>MB</v>
          </cell>
          <cell r="D214" t="str">
            <v>S</v>
          </cell>
          <cell r="F214">
            <v>1.0209999999999999</v>
          </cell>
          <cell r="P214">
            <v>1.032</v>
          </cell>
          <cell r="Q214">
            <v>1.0349999999999999</v>
          </cell>
          <cell r="R214">
            <v>1.0905505199999999</v>
          </cell>
        </row>
        <row r="215">
          <cell r="A215">
            <v>8231</v>
          </cell>
          <cell r="B215" t="str">
            <v>HEAT GAS PRODUCTION PLANT</v>
          </cell>
          <cell r="C215" t="str">
            <v>MB</v>
          </cell>
          <cell r="D215" t="str">
            <v>S</v>
          </cell>
          <cell r="F215">
            <v>1.0209999999999999</v>
          </cell>
          <cell r="P215">
            <v>1.032</v>
          </cell>
          <cell r="Q215">
            <v>1.0349999999999999</v>
          </cell>
          <cell r="R215">
            <v>1.0905505199999999</v>
          </cell>
        </row>
        <row r="216">
          <cell r="A216">
            <v>8232</v>
          </cell>
          <cell r="B216" t="str">
            <v>HEAT GAS STORAGE</v>
          </cell>
          <cell r="C216" t="str">
            <v>EA</v>
          </cell>
          <cell r="D216" t="str">
            <v>S</v>
          </cell>
          <cell r="F216">
            <v>1.0209999999999999</v>
          </cell>
          <cell r="P216">
            <v>1.032</v>
          </cell>
          <cell r="Q216">
            <v>1.0349999999999999</v>
          </cell>
          <cell r="R216">
            <v>1.0905505199999999</v>
          </cell>
        </row>
        <row r="217">
          <cell r="A217">
            <v>8241</v>
          </cell>
          <cell r="B217" t="str">
            <v>HEAT GAS DISTRIBUTION LINE</v>
          </cell>
          <cell r="C217" t="str">
            <v>LF</v>
          </cell>
          <cell r="D217" t="str">
            <v>LS</v>
          </cell>
          <cell r="F217">
            <v>1.0209999999999999</v>
          </cell>
          <cell r="P217">
            <v>1.032</v>
          </cell>
          <cell r="Q217">
            <v>1.0349999999999999</v>
          </cell>
          <cell r="R217">
            <v>1.0905505199999999</v>
          </cell>
        </row>
        <row r="218">
          <cell r="A218">
            <v>8261</v>
          </cell>
          <cell r="B218" t="str">
            <v>REFRIGERATION AND AIR CONDITIONING SOURCE</v>
          </cell>
          <cell r="C218" t="str">
            <v>TR</v>
          </cell>
          <cell r="D218" t="str">
            <v>S</v>
          </cell>
          <cell r="F218">
            <v>1.0209999999999999</v>
          </cell>
          <cell r="P218">
            <v>1.032</v>
          </cell>
          <cell r="Q218">
            <v>1.0349999999999999</v>
          </cell>
          <cell r="R218">
            <v>1.0905505199999999</v>
          </cell>
        </row>
        <row r="219">
          <cell r="A219">
            <v>8271</v>
          </cell>
          <cell r="B219" t="str">
            <v>CHILLED WATER AND REFRIGERANT DISTRIBUTION LINE</v>
          </cell>
          <cell r="C219" t="str">
            <v>LF</v>
          </cell>
          <cell r="D219" t="str">
            <v>LS</v>
          </cell>
          <cell r="F219">
            <v>1.0209999999999999</v>
          </cell>
          <cell r="P219">
            <v>1.032</v>
          </cell>
          <cell r="Q219">
            <v>1.0349999999999999</v>
          </cell>
          <cell r="R219">
            <v>1.0905505199999999</v>
          </cell>
        </row>
        <row r="220">
          <cell r="A220">
            <v>8311</v>
          </cell>
          <cell r="B220" t="str">
            <v>SEWAGE TREATMENT</v>
          </cell>
          <cell r="C220" t="str">
            <v>KG</v>
          </cell>
          <cell r="D220" t="str">
            <v>S</v>
          </cell>
          <cell r="F220">
            <v>1.0209999999999999</v>
          </cell>
          <cell r="G220">
            <v>1.0269999999999999</v>
          </cell>
          <cell r="P220">
            <v>1.032</v>
          </cell>
          <cell r="Q220">
            <v>1.0349999999999999</v>
          </cell>
          <cell r="R220">
            <v>1.1199953840399997</v>
          </cell>
        </row>
        <row r="221">
          <cell r="A221">
            <v>8312</v>
          </cell>
          <cell r="B221" t="str">
            <v>INDUSTRIAL WASTE TREATMENT</v>
          </cell>
          <cell r="C221" t="str">
            <v>KG</v>
          </cell>
          <cell r="D221" t="str">
            <v>S</v>
          </cell>
          <cell r="F221">
            <v>1.0209999999999999</v>
          </cell>
          <cell r="G221">
            <v>1.0269999999999999</v>
          </cell>
          <cell r="P221">
            <v>1.032</v>
          </cell>
          <cell r="Q221">
            <v>1.0349999999999999</v>
          </cell>
          <cell r="R221">
            <v>1.1199953840399997</v>
          </cell>
        </row>
        <row r="222">
          <cell r="A222">
            <v>8313</v>
          </cell>
          <cell r="B222" t="str">
            <v>WATER SEPARATION FACILITY</v>
          </cell>
          <cell r="C222" t="str">
            <v>KG</v>
          </cell>
          <cell r="D222" t="str">
            <v>S</v>
          </cell>
          <cell r="F222">
            <v>1.0209999999999999</v>
          </cell>
          <cell r="G222">
            <v>1.0269999999999999</v>
          </cell>
          <cell r="P222">
            <v>1.032</v>
          </cell>
          <cell r="Q222">
            <v>1.0349999999999999</v>
          </cell>
          <cell r="R222">
            <v>1.1199953840399997</v>
          </cell>
        </row>
        <row r="223">
          <cell r="A223">
            <v>8314</v>
          </cell>
          <cell r="B223" t="str">
            <v>SEPTIC TANK AND DRAIN FIELD</v>
          </cell>
          <cell r="C223" t="str">
            <v>GA</v>
          </cell>
          <cell r="D223" t="str">
            <v>S</v>
          </cell>
          <cell r="F223">
            <v>1.0209999999999999</v>
          </cell>
          <cell r="P223">
            <v>1.032</v>
          </cell>
          <cell r="Q223">
            <v>1.0349999999999999</v>
          </cell>
          <cell r="R223">
            <v>1.0905505199999999</v>
          </cell>
        </row>
        <row r="224">
          <cell r="A224">
            <v>8315</v>
          </cell>
          <cell r="B224" t="str">
            <v>SEPTIC LAGOON AND SETTLEMENT PONDS</v>
          </cell>
          <cell r="C224" t="str">
            <v>GA</v>
          </cell>
          <cell r="D224" t="str">
            <v>S</v>
          </cell>
          <cell r="F224">
            <v>1.0209999999999999</v>
          </cell>
          <cell r="P224">
            <v>1.032</v>
          </cell>
          <cell r="Q224">
            <v>1.0349999999999999</v>
          </cell>
          <cell r="R224">
            <v>1.0905505199999999</v>
          </cell>
        </row>
        <row r="225">
          <cell r="A225">
            <v>8321</v>
          </cell>
          <cell r="B225" t="str">
            <v>SEWER AND INDUSTRIAL WASTE LINE</v>
          </cell>
          <cell r="C225" t="str">
            <v>LF</v>
          </cell>
          <cell r="D225" t="str">
            <v>LS</v>
          </cell>
          <cell r="F225">
            <v>1.0209999999999999</v>
          </cell>
          <cell r="P225">
            <v>1.032</v>
          </cell>
          <cell r="Q225">
            <v>1.0349999999999999</v>
          </cell>
          <cell r="R225">
            <v>1.0905505199999999</v>
          </cell>
        </row>
        <row r="226">
          <cell r="A226">
            <v>8331</v>
          </cell>
          <cell r="B226" t="str">
            <v>REFUSE COLLECTION AND RECYCLING FACILITY</v>
          </cell>
          <cell r="C226" t="str">
            <v>EA</v>
          </cell>
          <cell r="D226" t="str">
            <v>S</v>
          </cell>
          <cell r="F226">
            <v>1.0209999999999999</v>
          </cell>
          <cell r="G226">
            <v>1.0269999999999999</v>
          </cell>
          <cell r="R226">
            <v>1.0485669999999998</v>
          </cell>
        </row>
        <row r="227">
          <cell r="A227">
            <v>8332</v>
          </cell>
          <cell r="B227" t="str">
            <v>INCINERATOR</v>
          </cell>
          <cell r="C227" t="str">
            <v>TH</v>
          </cell>
          <cell r="D227" t="str">
            <v>S</v>
          </cell>
          <cell r="F227">
            <v>1.0209999999999999</v>
          </cell>
          <cell r="G227">
            <v>1.0269999999999999</v>
          </cell>
          <cell r="P227">
            <v>1.032</v>
          </cell>
          <cell r="Q227">
            <v>1.0349999999999999</v>
          </cell>
          <cell r="R227">
            <v>1.1199953840399997</v>
          </cell>
        </row>
        <row r="228">
          <cell r="A228">
            <v>8333</v>
          </cell>
          <cell r="B228" t="str">
            <v>SANITARY LANDFILL</v>
          </cell>
          <cell r="C228" t="str">
            <v>AC</v>
          </cell>
          <cell r="D228" t="str">
            <v>S</v>
          </cell>
          <cell r="F228">
            <v>1.0209999999999999</v>
          </cell>
          <cell r="G228">
            <v>1.0269999999999999</v>
          </cell>
          <cell r="P228">
            <v>1.032</v>
          </cell>
          <cell r="Q228">
            <v>1.0349999999999999</v>
          </cell>
          <cell r="R228">
            <v>1.1199953840399997</v>
          </cell>
        </row>
        <row r="229">
          <cell r="A229">
            <v>8334</v>
          </cell>
          <cell r="B229" t="str">
            <v>HAZARDOUS WASTE LANDFILL</v>
          </cell>
          <cell r="C229" t="str">
            <v>AC</v>
          </cell>
          <cell r="D229" t="str">
            <v>S</v>
          </cell>
          <cell r="F229">
            <v>1.0209999999999999</v>
          </cell>
          <cell r="G229">
            <v>1.0269999999999999</v>
          </cell>
          <cell r="P229">
            <v>1.032</v>
          </cell>
          <cell r="Q229">
            <v>1.0349999999999999</v>
          </cell>
          <cell r="R229">
            <v>1.1199953840399997</v>
          </cell>
        </row>
        <row r="230">
          <cell r="A230">
            <v>8412</v>
          </cell>
          <cell r="B230" t="str">
            <v>WATER TREATMENT FACILITY</v>
          </cell>
          <cell r="C230" t="str">
            <v>KG</v>
          </cell>
          <cell r="D230" t="str">
            <v>S</v>
          </cell>
          <cell r="F230">
            <v>1.0209999999999999</v>
          </cell>
          <cell r="G230">
            <v>1.0269999999999999</v>
          </cell>
          <cell r="P230">
            <v>1.032</v>
          </cell>
          <cell r="Q230">
            <v>1.0349999999999999</v>
          </cell>
          <cell r="R230">
            <v>1.1199953840399997</v>
          </cell>
        </row>
        <row r="231">
          <cell r="A231">
            <v>8413</v>
          </cell>
          <cell r="B231" t="str">
            <v>WATER STORAGE, POTABLE</v>
          </cell>
          <cell r="C231" t="str">
            <v>GA</v>
          </cell>
          <cell r="D231" t="str">
            <v>S</v>
          </cell>
          <cell r="F231">
            <v>1.0209999999999999</v>
          </cell>
          <cell r="P231">
            <v>1.032</v>
          </cell>
          <cell r="Q231">
            <v>1.0349999999999999</v>
          </cell>
          <cell r="R231">
            <v>1.0905505199999999</v>
          </cell>
        </row>
        <row r="232">
          <cell r="A232">
            <v>8414</v>
          </cell>
          <cell r="B232" t="str">
            <v>WATER WELL, POTABLE</v>
          </cell>
          <cell r="C232" t="str">
            <v>KG</v>
          </cell>
          <cell r="D232" t="str">
            <v>S</v>
          </cell>
          <cell r="F232">
            <v>1.0209999999999999</v>
          </cell>
          <cell r="R232">
            <v>1.0209999999999999</v>
          </cell>
        </row>
        <row r="233">
          <cell r="A233">
            <v>8415</v>
          </cell>
          <cell r="B233" t="str">
            <v>DESALINIZATION PLANT</v>
          </cell>
          <cell r="C233" t="str">
            <v>KG</v>
          </cell>
          <cell r="D233" t="str">
            <v>S</v>
          </cell>
          <cell r="F233">
            <v>1.0209999999999999</v>
          </cell>
          <cell r="G233">
            <v>1.0269999999999999</v>
          </cell>
          <cell r="P233">
            <v>1.032</v>
          </cell>
          <cell r="Q233">
            <v>1.0349999999999999</v>
          </cell>
          <cell r="R233">
            <v>1.1199953840399997</v>
          </cell>
        </row>
        <row r="234">
          <cell r="A234">
            <v>8421</v>
          </cell>
          <cell r="B234" t="str">
            <v>WATER DISTRIBUTION LINE, POTABLE</v>
          </cell>
          <cell r="C234" t="str">
            <v>LF</v>
          </cell>
          <cell r="D234" t="str">
            <v>LS</v>
          </cell>
          <cell r="F234">
            <v>1.0209999999999999</v>
          </cell>
          <cell r="P234">
            <v>1.032</v>
          </cell>
          <cell r="Q234">
            <v>1.0349999999999999</v>
          </cell>
          <cell r="R234">
            <v>1.0905505199999999</v>
          </cell>
        </row>
        <row r="235">
          <cell r="A235">
            <v>8432</v>
          </cell>
          <cell r="B235" t="str">
            <v>WATER DISTRIBUTION LINE, FIRE PROTECTION</v>
          </cell>
          <cell r="C235" t="str">
            <v>LF</v>
          </cell>
          <cell r="D235" t="str">
            <v>LS</v>
          </cell>
          <cell r="F235">
            <v>1.0209999999999999</v>
          </cell>
          <cell r="P235">
            <v>1.032</v>
          </cell>
          <cell r="Q235">
            <v>1.0349999999999999</v>
          </cell>
          <cell r="R235">
            <v>1.0905505199999999</v>
          </cell>
        </row>
        <row r="236">
          <cell r="A236">
            <v>8441</v>
          </cell>
          <cell r="B236" t="str">
            <v>WATER SOURCE, NON-POTABLE</v>
          </cell>
          <cell r="C236" t="str">
            <v>KG</v>
          </cell>
          <cell r="D236" t="str">
            <v>S</v>
          </cell>
          <cell r="F236">
            <v>1.0209999999999999</v>
          </cell>
          <cell r="P236">
            <v>1.032</v>
          </cell>
          <cell r="Q236">
            <v>1.0349999999999999</v>
          </cell>
          <cell r="R236">
            <v>1.0905505199999999</v>
          </cell>
        </row>
        <row r="237">
          <cell r="A237">
            <v>8442</v>
          </cell>
          <cell r="B237" t="str">
            <v>WATER STORAGE, NON-POTABLE</v>
          </cell>
          <cell r="C237" t="str">
            <v>GA</v>
          </cell>
          <cell r="D237" t="str">
            <v>S</v>
          </cell>
          <cell r="F237">
            <v>1.0209999999999999</v>
          </cell>
          <cell r="P237">
            <v>1.032</v>
          </cell>
          <cell r="Q237">
            <v>1.0349999999999999</v>
          </cell>
          <cell r="R237">
            <v>1.0905505199999999</v>
          </cell>
        </row>
        <row r="238">
          <cell r="A238">
            <v>8511</v>
          </cell>
          <cell r="B238" t="str">
            <v>ROAD, SURFACED</v>
          </cell>
          <cell r="C238" t="str">
            <v>SY</v>
          </cell>
          <cell r="D238" t="str">
            <v>LS</v>
          </cell>
          <cell r="F238">
            <v>1.0209999999999999</v>
          </cell>
          <cell r="G238">
            <v>1.0269999999999999</v>
          </cell>
          <cell r="P238">
            <v>1.032</v>
          </cell>
          <cell r="Q238">
            <v>1.0349999999999999</v>
          </cell>
          <cell r="R238">
            <v>1.1199953840399997</v>
          </cell>
        </row>
        <row r="239">
          <cell r="A239">
            <v>8513</v>
          </cell>
          <cell r="B239" t="str">
            <v>VEHICLE BRIDGE</v>
          </cell>
          <cell r="C239" t="str">
            <v>SY</v>
          </cell>
          <cell r="D239" t="str">
            <v>S</v>
          </cell>
          <cell r="F239">
            <v>1.0209999999999999</v>
          </cell>
          <cell r="G239">
            <v>1.0269999999999999</v>
          </cell>
          <cell r="P239">
            <v>1.032</v>
          </cell>
          <cell r="Q239">
            <v>1.0349999999999999</v>
          </cell>
          <cell r="R239">
            <v>1.1199953840399997</v>
          </cell>
        </row>
        <row r="240">
          <cell r="A240">
            <v>8514</v>
          </cell>
          <cell r="B240" t="str">
            <v>VEHICULAR TUNNEL</v>
          </cell>
          <cell r="C240" t="str">
            <v>LF</v>
          </cell>
          <cell r="D240" t="str">
            <v>LS</v>
          </cell>
          <cell r="F240">
            <v>1.0209999999999999</v>
          </cell>
          <cell r="G240">
            <v>1.0269999999999999</v>
          </cell>
          <cell r="P240">
            <v>1.032</v>
          </cell>
          <cell r="Q240">
            <v>1.0349999999999999</v>
          </cell>
          <cell r="R240">
            <v>1.1199953840399997</v>
          </cell>
        </row>
        <row r="241">
          <cell r="A241">
            <v>8521</v>
          </cell>
          <cell r="B241" t="str">
            <v>VEHICLE PARKING, SURFACED</v>
          </cell>
          <cell r="C241" t="str">
            <v>SY</v>
          </cell>
          <cell r="D241" t="str">
            <v>LS</v>
          </cell>
          <cell r="F241">
            <v>1.0209999999999999</v>
          </cell>
          <cell r="G241">
            <v>1.0269999999999999</v>
          </cell>
          <cell r="P241">
            <v>1.032</v>
          </cell>
          <cell r="Q241">
            <v>1.0349999999999999</v>
          </cell>
          <cell r="R241">
            <v>1.1199953840399997</v>
          </cell>
        </row>
        <row r="242">
          <cell r="A242">
            <v>8522</v>
          </cell>
          <cell r="B242" t="str">
            <v>VEHICLE PARKING AND STAGING AREA, UNSURFACED</v>
          </cell>
          <cell r="C242" t="str">
            <v>SY</v>
          </cell>
          <cell r="D242" t="str">
            <v>LS</v>
          </cell>
          <cell r="F242">
            <v>1.0209999999999999</v>
          </cell>
          <cell r="R242">
            <v>1.0209999999999999</v>
          </cell>
        </row>
        <row r="243">
          <cell r="A243">
            <v>8523</v>
          </cell>
          <cell r="B243" t="str">
            <v>VEHICLE STAGING AREA, SURFACED</v>
          </cell>
          <cell r="C243" t="str">
            <v>SY</v>
          </cell>
          <cell r="D243" t="str">
            <v>LS</v>
          </cell>
          <cell r="F243">
            <v>1.0209999999999999</v>
          </cell>
          <cell r="G243">
            <v>1.0269999999999999</v>
          </cell>
          <cell r="P243">
            <v>1.032</v>
          </cell>
          <cell r="Q243">
            <v>1.0349999999999999</v>
          </cell>
          <cell r="R243">
            <v>1.1199953840399997</v>
          </cell>
        </row>
        <row r="244">
          <cell r="A244">
            <v>8524</v>
          </cell>
          <cell r="B244" t="str">
            <v>SIDEWALK AND WALKWAY</v>
          </cell>
          <cell r="C244" t="str">
            <v>SY</v>
          </cell>
          <cell r="D244" t="str">
            <v>S</v>
          </cell>
          <cell r="F244">
            <v>1.0209999999999999</v>
          </cell>
          <cell r="R244">
            <v>1.0209999999999999</v>
          </cell>
        </row>
        <row r="245">
          <cell r="A245">
            <v>8525</v>
          </cell>
          <cell r="B245" t="str">
            <v>PEDESTRIAN BRIDGE</v>
          </cell>
          <cell r="C245" t="str">
            <v>SY</v>
          </cell>
          <cell r="D245" t="str">
            <v>S</v>
          </cell>
          <cell r="F245">
            <v>1.0209999999999999</v>
          </cell>
          <cell r="P245">
            <v>1.032</v>
          </cell>
          <cell r="Q245">
            <v>1.0349999999999999</v>
          </cell>
          <cell r="R245">
            <v>1.0905505199999999</v>
          </cell>
        </row>
        <row r="246">
          <cell r="A246">
            <v>8526</v>
          </cell>
          <cell r="B246" t="str">
            <v>MISCELLANEOUS PAVED AREA</v>
          </cell>
          <cell r="C246" t="str">
            <v>SY</v>
          </cell>
          <cell r="D246" t="str">
            <v>LS</v>
          </cell>
          <cell r="F246">
            <v>1.0209999999999999</v>
          </cell>
          <cell r="P246">
            <v>1.032</v>
          </cell>
          <cell r="Q246">
            <v>1.0349999999999999</v>
          </cell>
          <cell r="R246">
            <v>1.0905505199999999</v>
          </cell>
        </row>
        <row r="247">
          <cell r="A247">
            <v>8541</v>
          </cell>
          <cell r="B247" t="str">
            <v>TRAFFIC CONTROL SIGNALS</v>
          </cell>
          <cell r="C247" t="str">
            <v>EA</v>
          </cell>
          <cell r="D247" t="str">
            <v>S</v>
          </cell>
          <cell r="F247">
            <v>1.0209999999999999</v>
          </cell>
          <cell r="P247">
            <v>1.032</v>
          </cell>
          <cell r="Q247">
            <v>1.0349999999999999</v>
          </cell>
          <cell r="R247">
            <v>1.0905505199999999</v>
          </cell>
        </row>
        <row r="248">
          <cell r="A248">
            <v>8601</v>
          </cell>
          <cell r="B248" t="str">
            <v>RAILROAD TRACK</v>
          </cell>
          <cell r="C248" t="str">
            <v>MI</v>
          </cell>
          <cell r="D248" t="str">
            <v>LS</v>
          </cell>
          <cell r="F248">
            <v>1.0209999999999999</v>
          </cell>
          <cell r="G248">
            <v>1.0269999999999999</v>
          </cell>
          <cell r="P248">
            <v>1.032</v>
          </cell>
          <cell r="Q248">
            <v>1.0349999999999999</v>
          </cell>
          <cell r="R248">
            <v>1.1199953840399997</v>
          </cell>
        </row>
        <row r="249">
          <cell r="A249">
            <v>8611</v>
          </cell>
          <cell r="B249" t="str">
            <v>RAILROAD BRIDGE</v>
          </cell>
          <cell r="C249" t="str">
            <v>LF</v>
          </cell>
          <cell r="D249" t="str">
            <v>S</v>
          </cell>
          <cell r="F249">
            <v>1.0209999999999999</v>
          </cell>
          <cell r="G249">
            <v>1.0269999999999999</v>
          </cell>
          <cell r="P249">
            <v>1.032</v>
          </cell>
          <cell r="Q249">
            <v>1.0349999999999999</v>
          </cell>
          <cell r="R249">
            <v>1.1199953840399997</v>
          </cell>
        </row>
        <row r="250">
          <cell r="A250">
            <v>8612</v>
          </cell>
          <cell r="B250" t="str">
            <v>MISCELLANEOUS RAILROAD FACILITY</v>
          </cell>
          <cell r="C250" t="str">
            <v>EA</v>
          </cell>
          <cell r="D250" t="str">
            <v>S</v>
          </cell>
          <cell r="F250">
            <v>1.0209999999999999</v>
          </cell>
          <cell r="P250">
            <v>1.032</v>
          </cell>
          <cell r="Q250">
            <v>1.0349999999999999</v>
          </cell>
          <cell r="R250">
            <v>1.0905505199999999</v>
          </cell>
        </row>
        <row r="251">
          <cell r="A251">
            <v>8711</v>
          </cell>
          <cell r="B251" t="str">
            <v>STORM DRAINAGE</v>
          </cell>
          <cell r="C251" t="str">
            <v>LF</v>
          </cell>
          <cell r="D251" t="str">
            <v>LS</v>
          </cell>
          <cell r="F251">
            <v>1.0209999999999999</v>
          </cell>
          <cell r="P251">
            <v>1.032</v>
          </cell>
          <cell r="Q251">
            <v>1.0349999999999999</v>
          </cell>
          <cell r="R251">
            <v>1.0905505199999999</v>
          </cell>
        </row>
        <row r="252">
          <cell r="A252">
            <v>8712</v>
          </cell>
          <cell r="B252" t="str">
            <v>RETAINING STRUCTURE</v>
          </cell>
          <cell r="C252" t="str">
            <v>LF</v>
          </cell>
          <cell r="D252" t="str">
            <v>S</v>
          </cell>
          <cell r="F252">
            <v>1.0209999999999999</v>
          </cell>
          <cell r="R252">
            <v>1.0209999999999999</v>
          </cell>
        </row>
        <row r="253">
          <cell r="A253">
            <v>8714</v>
          </cell>
          <cell r="B253" t="str">
            <v>LEVEES AND DIKES FOR GROUNDS DRAINAGE</v>
          </cell>
          <cell r="C253" t="str">
            <v>LF</v>
          </cell>
          <cell r="D253" t="str">
            <v>S</v>
          </cell>
          <cell r="F253">
            <v>1.0209999999999999</v>
          </cell>
          <cell r="R253">
            <v>1.0209999999999999</v>
          </cell>
        </row>
        <row r="254">
          <cell r="A254">
            <v>8716</v>
          </cell>
          <cell r="B254" t="str">
            <v>STORM WATER FILTRATION</v>
          </cell>
          <cell r="C254" t="str">
            <v>SY</v>
          </cell>
          <cell r="D254" t="str">
            <v>S</v>
          </cell>
          <cell r="F254">
            <v>1.0209999999999999</v>
          </cell>
          <cell r="G254">
            <v>1.0269999999999999</v>
          </cell>
          <cell r="R254">
            <v>1.0485669999999998</v>
          </cell>
        </row>
        <row r="255">
          <cell r="A255">
            <v>8717</v>
          </cell>
          <cell r="B255" t="str">
            <v>STORM WATER TREATMENT STUCTURE</v>
          </cell>
          <cell r="C255" t="str">
            <v>GM</v>
          </cell>
          <cell r="D255" t="str">
            <v>S</v>
          </cell>
          <cell r="F255">
            <v>1.0209999999999999</v>
          </cell>
          <cell r="G255">
            <v>1.0269999999999999</v>
          </cell>
          <cell r="R255">
            <v>1.0485669999999998</v>
          </cell>
        </row>
        <row r="256">
          <cell r="A256">
            <v>8721</v>
          </cell>
          <cell r="B256" t="str">
            <v>BOUNDARY FENCE AND WALL</v>
          </cell>
          <cell r="C256" t="str">
            <v>LF</v>
          </cell>
          <cell r="D256" t="str">
            <v>LS</v>
          </cell>
          <cell r="F256">
            <v>1.0209999999999999</v>
          </cell>
          <cell r="P256">
            <v>1.032</v>
          </cell>
          <cell r="Q256">
            <v>1.0349999999999999</v>
          </cell>
          <cell r="R256">
            <v>1.0905505199999999</v>
          </cell>
        </row>
        <row r="257">
          <cell r="A257">
            <v>8722</v>
          </cell>
          <cell r="B257" t="str">
            <v>SECURITY FENCE</v>
          </cell>
          <cell r="C257" t="str">
            <v>LF</v>
          </cell>
          <cell r="D257" t="str">
            <v>LS</v>
          </cell>
          <cell r="F257">
            <v>1.0209999999999999</v>
          </cell>
          <cell r="P257">
            <v>1.032</v>
          </cell>
          <cell r="Q257">
            <v>1.0349999999999999</v>
          </cell>
          <cell r="R257">
            <v>1.0905505199999999</v>
          </cell>
        </row>
        <row r="258">
          <cell r="A258">
            <v>8813</v>
          </cell>
          <cell r="B258" t="str">
            <v>NAVIGATION REVETMENTS</v>
          </cell>
          <cell r="C258" t="str">
            <v>LF</v>
          </cell>
          <cell r="D258" t="str">
            <v>LS</v>
          </cell>
          <cell r="F258">
            <v>1.0209999999999999</v>
          </cell>
          <cell r="P258">
            <v>1.032</v>
          </cell>
          <cell r="Q258">
            <v>1.0349999999999999</v>
          </cell>
          <cell r="R258">
            <v>1.0905505199999999</v>
          </cell>
        </row>
        <row r="259">
          <cell r="A259">
            <v>8840</v>
          </cell>
          <cell r="B259" t="str">
            <v>MONITORING WELL</v>
          </cell>
          <cell r="C259" t="str">
            <v>EA</v>
          </cell>
          <cell r="D259" t="str">
            <v>S</v>
          </cell>
          <cell r="F259">
            <v>1.0209999999999999</v>
          </cell>
          <cell r="R259">
            <v>1.0209999999999999</v>
          </cell>
        </row>
        <row r="260">
          <cell r="A260">
            <v>8910</v>
          </cell>
          <cell r="B260" t="str">
            <v>UTILITY BUILDING</v>
          </cell>
          <cell r="C260" t="str">
            <v>SF</v>
          </cell>
          <cell r="D260" t="str">
            <v>B</v>
          </cell>
          <cell r="F260">
            <v>1.0209999999999999</v>
          </cell>
          <cell r="G260">
            <v>1.0269999999999999</v>
          </cell>
          <cell r="H260">
            <v>1.0029999999999999</v>
          </cell>
          <cell r="J260">
            <v>1.0049999999999999</v>
          </cell>
          <cell r="N260">
            <v>1.0029999999999999</v>
          </cell>
          <cell r="P260">
            <v>1.032</v>
          </cell>
          <cell r="Q260">
            <v>1.0349999999999999</v>
          </cell>
          <cell r="R260">
            <v>1.1323590634842093</v>
          </cell>
        </row>
        <row r="261">
          <cell r="A261">
            <v>8921</v>
          </cell>
          <cell r="B261" t="str">
            <v>INSTALLATION GAS PRODUCTION PLANT</v>
          </cell>
          <cell r="C261" t="str">
            <v>EA</v>
          </cell>
          <cell r="D261" t="str">
            <v>S</v>
          </cell>
          <cell r="F261">
            <v>1.0209999999999999</v>
          </cell>
          <cell r="G261">
            <v>1.0269999999999999</v>
          </cell>
          <cell r="P261">
            <v>1.032</v>
          </cell>
          <cell r="Q261">
            <v>1.0349999999999999</v>
          </cell>
          <cell r="R261">
            <v>1.1199953840399997</v>
          </cell>
        </row>
        <row r="262">
          <cell r="A262">
            <v>8922</v>
          </cell>
          <cell r="B262" t="str">
            <v>INSTALLATION GAS STORAGE</v>
          </cell>
          <cell r="C262" t="str">
            <v>EA</v>
          </cell>
          <cell r="D262" t="str">
            <v>S</v>
          </cell>
          <cell r="F262">
            <v>1.0209999999999999</v>
          </cell>
          <cell r="R262">
            <v>1.0209999999999999</v>
          </cell>
        </row>
        <row r="263">
          <cell r="A263">
            <v>8923</v>
          </cell>
          <cell r="B263" t="str">
            <v>VEHICLE SCALES</v>
          </cell>
          <cell r="C263" t="str">
            <v>EA</v>
          </cell>
          <cell r="D263" t="str">
            <v>S</v>
          </cell>
          <cell r="F263">
            <v>1.0209999999999999</v>
          </cell>
          <cell r="N263">
            <v>1.0029999999999999</v>
          </cell>
          <cell r="R263">
            <v>1.0240629999999997</v>
          </cell>
        </row>
        <row r="264">
          <cell r="A264">
            <v>8924</v>
          </cell>
          <cell r="B264" t="str">
            <v>MISCELLANEOUS PUMP STATION</v>
          </cell>
          <cell r="C264" t="str">
            <v>EA</v>
          </cell>
          <cell r="D264" t="str">
            <v>S</v>
          </cell>
          <cell r="F264">
            <v>1.0209999999999999</v>
          </cell>
          <cell r="N264">
            <v>1.0029999999999999</v>
          </cell>
          <cell r="R264">
            <v>1.0240629999999997</v>
          </cell>
        </row>
        <row r="265">
          <cell r="A265">
            <v>8926</v>
          </cell>
          <cell r="B265" t="str">
            <v>HAZARDOUS WASTE STORAGE OR DISPOSAL FACILITY</v>
          </cell>
          <cell r="C265" t="str">
            <v>EA</v>
          </cell>
          <cell r="D265" t="str">
            <v>S</v>
          </cell>
          <cell r="F265">
            <v>1.0209999999999999</v>
          </cell>
          <cell r="G265">
            <v>1.0269999999999999</v>
          </cell>
          <cell r="N265">
            <v>1.0029999999999999</v>
          </cell>
          <cell r="R265">
            <v>1.0517127009999996</v>
          </cell>
        </row>
        <row r="266">
          <cell r="A266">
            <v>8927</v>
          </cell>
          <cell r="B266" t="str">
            <v>UTILITY VAULTS</v>
          </cell>
          <cell r="C266" t="str">
            <v>EA</v>
          </cell>
          <cell r="D266" t="str">
            <v>S</v>
          </cell>
          <cell r="F266">
            <v>1.0209999999999999</v>
          </cell>
          <cell r="R266">
            <v>1.0209999999999999</v>
          </cell>
        </row>
        <row r="267">
          <cell r="A267">
            <v>8928</v>
          </cell>
          <cell r="B267" t="str">
            <v>LOADING PLATFORM/RAMP</v>
          </cell>
          <cell r="C267" t="str">
            <v>EA</v>
          </cell>
          <cell r="D267" t="str">
            <v>S</v>
          </cell>
          <cell r="F267">
            <v>1.0209999999999999</v>
          </cell>
          <cell r="R267">
            <v>1.0209999999999999</v>
          </cell>
        </row>
        <row r="268">
          <cell r="A268">
            <v>8929</v>
          </cell>
          <cell r="B268" t="str">
            <v>MISCELLANEOUS UTILITY FACILITY</v>
          </cell>
          <cell r="C268" t="str">
            <v>EA</v>
          </cell>
          <cell r="D268" t="str">
            <v>S</v>
          </cell>
          <cell r="F268">
            <v>1.0209999999999999</v>
          </cell>
          <cell r="R268">
            <v>1.0209999999999999</v>
          </cell>
        </row>
        <row r="269">
          <cell r="A269">
            <v>8930</v>
          </cell>
          <cell r="B269" t="str">
            <v>INSTALLATION GAS DISTRIBUTION LINE</v>
          </cell>
          <cell r="C269" t="str">
            <v>LF</v>
          </cell>
          <cell r="D269" t="str">
            <v>LS</v>
          </cell>
          <cell r="F269">
            <v>1.0209999999999999</v>
          </cell>
          <cell r="P269">
            <v>1.032</v>
          </cell>
          <cell r="Q269">
            <v>1.0349999999999999</v>
          </cell>
          <cell r="R269">
            <v>1.0905505199999999</v>
          </cell>
        </row>
        <row r="270">
          <cell r="A270">
            <v>8931</v>
          </cell>
          <cell r="B270" t="str">
            <v>UTILITY TUNNEL</v>
          </cell>
          <cell r="C270" t="str">
            <v>LF</v>
          </cell>
          <cell r="D270" t="str">
            <v>LS</v>
          </cell>
          <cell r="F270">
            <v>1.0209999999999999</v>
          </cell>
          <cell r="P270">
            <v>1.032</v>
          </cell>
          <cell r="Q270">
            <v>1.0349999999999999</v>
          </cell>
          <cell r="R270">
            <v>1.0905505199999999</v>
          </cell>
        </row>
        <row r="271">
          <cell r="A271">
            <v>8932</v>
          </cell>
          <cell r="B271" t="str">
            <v>UTILIITY CHANNEL</v>
          </cell>
          <cell r="C271" t="str">
            <v>LF</v>
          </cell>
          <cell r="D271" t="str">
            <v>LS</v>
          </cell>
          <cell r="F271">
            <v>1.0209999999999999</v>
          </cell>
          <cell r="P271">
            <v>1.032</v>
          </cell>
          <cell r="Q271">
            <v>1.0349999999999999</v>
          </cell>
          <cell r="R271">
            <v>1.0905505199999999</v>
          </cell>
        </row>
        <row r="272">
          <cell r="A272">
            <v>8951</v>
          </cell>
          <cell r="B272" t="str">
            <v>MISCELLANEOUS STORAGE TANK AND BASIN</v>
          </cell>
          <cell r="C272" t="str">
            <v>GA</v>
          </cell>
          <cell r="D272" t="str">
            <v>S</v>
          </cell>
          <cell r="F272">
            <v>1.0209999999999999</v>
          </cell>
          <cell r="R272">
            <v>1.0209999999999999</v>
          </cell>
        </row>
      </sheetData>
      <sheetData sheetId="4" refreshError="1"/>
      <sheetData sheetId="5" refreshError="1"/>
      <sheetData sheetId="6" refreshError="1"/>
      <sheetData sheetId="7" refreshError="1"/>
      <sheetData sheetId="8" refreshError="1"/>
      <sheetData sheetId="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levators"/>
      <sheetName val="IBC Pers per Occ"/>
      <sheetName val="Sheet3"/>
    </sheetNames>
    <sheetDataSet>
      <sheetData sheetId="0" refreshError="1"/>
      <sheetData sheetId="1" refreshError="1">
        <row r="2">
          <cell r="A2" t="str">
            <v>A</v>
          </cell>
          <cell r="B2">
            <v>15</v>
          </cell>
        </row>
        <row r="3">
          <cell r="A3" t="str">
            <v>B</v>
          </cell>
          <cell r="B3">
            <v>100</v>
          </cell>
        </row>
        <row r="4">
          <cell r="A4" t="str">
            <v>E</v>
          </cell>
          <cell r="B4">
            <v>20</v>
          </cell>
        </row>
        <row r="5">
          <cell r="A5" t="str">
            <v>F</v>
          </cell>
          <cell r="B5">
            <v>100</v>
          </cell>
        </row>
        <row r="6">
          <cell r="A6" t="str">
            <v>I</v>
          </cell>
          <cell r="B6">
            <v>120</v>
          </cell>
        </row>
        <row r="7">
          <cell r="A7" t="str">
            <v>M</v>
          </cell>
          <cell r="B7">
            <v>60</v>
          </cell>
        </row>
        <row r="8">
          <cell r="A8" t="str">
            <v>R</v>
          </cell>
          <cell r="B8">
            <v>200</v>
          </cell>
        </row>
        <row r="9">
          <cell r="A9" t="str">
            <v>W</v>
          </cell>
          <cell r="B9">
            <v>500</v>
          </cell>
        </row>
      </sheetData>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vmlDrawing" Target="../drawings/vmlDrawing1.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oleObject" Target="../embeddings/oleObject2.bin"/><Relationship Id="rId5" Type="http://schemas.openxmlformats.org/officeDocument/2006/relationships/image" Target="../media/image1.emf"/><Relationship Id="rId10" Type="http://schemas.openxmlformats.org/officeDocument/2006/relationships/oleObject" Target="../embeddings/oleObject4.bin"/><Relationship Id="rId4" Type="http://schemas.openxmlformats.org/officeDocument/2006/relationships/oleObject" Target="../embeddings/oleObject1.bin"/><Relationship Id="rId9" Type="http://schemas.openxmlformats.org/officeDocument/2006/relationships/image" Target="../media/image3.emf"/></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8.bin"/><Relationship Id="rId5" Type="http://schemas.openxmlformats.org/officeDocument/2006/relationships/image" Target="../media/image9.emf"/><Relationship Id="rId4" Type="http://schemas.openxmlformats.org/officeDocument/2006/relationships/oleObject" Target="../embeddings/oleObject5.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2CF93E-9A46-49DA-8ECD-68C7216D2BF2}">
  <sheetPr>
    <tabColor rgb="FFFFFF00"/>
    <pageSetUpPr fitToPage="1"/>
  </sheetPr>
  <dimension ref="A1:AI4830"/>
  <sheetViews>
    <sheetView tabSelected="1" topLeftCell="A4803" zoomScaleNormal="100" workbookViewId="0">
      <selection activeCell="B4817" sqref="B4817"/>
    </sheetView>
  </sheetViews>
  <sheetFormatPr defaultColWidth="8.81640625" defaultRowHeight="30" customHeight="1" x14ac:dyDescent="0.35"/>
  <cols>
    <col min="1" max="1" width="13.81640625" style="68" customWidth="1"/>
    <col min="2" max="2" width="11.453125" style="203" bestFit="1" customWidth="1"/>
    <col min="3" max="3" width="9.1796875" style="203"/>
    <col min="4" max="4" width="38.1796875" style="203" customWidth="1"/>
    <col min="5" max="5" width="19.1796875" style="203" customWidth="1"/>
    <col min="6" max="6" width="14.81640625" style="203" customWidth="1"/>
    <col min="7" max="7" width="17.1796875" style="203" customWidth="1"/>
    <col min="8" max="8" width="17" style="203" customWidth="1"/>
    <col min="9" max="9" width="16.1796875" style="203" customWidth="1"/>
    <col min="10" max="10" width="18.453125" style="203" customWidth="1"/>
    <col min="11" max="11" width="19.1796875" style="203" customWidth="1"/>
    <col min="12" max="12" width="9.1796875" style="203" customWidth="1"/>
    <col min="13" max="13" width="17.54296875" style="57" customWidth="1"/>
    <col min="14" max="14" width="8.54296875" style="203" customWidth="1"/>
    <col min="15" max="15" width="49.453125" style="205" customWidth="1"/>
    <col min="16" max="16" width="11.81640625" style="203" customWidth="1"/>
    <col min="17" max="17" width="8.81640625" style="203"/>
    <col min="18" max="19" width="12.1796875" style="203" customWidth="1"/>
    <col min="20" max="20" width="11.81640625" style="203" customWidth="1"/>
    <col min="21" max="16384" width="8.81640625" style="203"/>
  </cols>
  <sheetData>
    <row r="1" spans="1:23" ht="30" customHeight="1" thickBot="1" x14ac:dyDescent="0.4">
      <c r="A1" s="1220" t="s">
        <v>3196</v>
      </c>
      <c r="B1" s="1220"/>
      <c r="C1" s="1220"/>
      <c r="D1" s="1220"/>
      <c r="E1" s="1220"/>
      <c r="F1" s="1220"/>
      <c r="G1" s="1220"/>
      <c r="H1" s="1220"/>
      <c r="I1" s="1220"/>
      <c r="J1" s="1220"/>
      <c r="K1" s="1220"/>
      <c r="L1" s="1221"/>
    </row>
    <row r="2" spans="1:23" s="171" customFormat="1" ht="30" customHeight="1" x14ac:dyDescent="0.35">
      <c r="A2" s="1222" t="s">
        <v>2598</v>
      </c>
      <c r="B2" s="1223"/>
      <c r="C2" s="1223"/>
      <c r="D2" s="1223"/>
      <c r="E2" s="1223"/>
      <c r="F2" s="1223"/>
      <c r="G2" s="1223"/>
      <c r="H2" s="1223"/>
      <c r="I2" s="1223"/>
      <c r="J2" s="1223"/>
      <c r="K2" s="1223"/>
      <c r="L2" s="1224"/>
      <c r="M2" s="57"/>
      <c r="N2" s="203"/>
      <c r="O2" s="205"/>
      <c r="P2" s="203"/>
      <c r="Q2" s="203"/>
      <c r="R2" s="203"/>
      <c r="S2" s="203"/>
      <c r="T2" s="203"/>
      <c r="U2" s="203"/>
      <c r="V2" s="203"/>
      <c r="W2" s="203"/>
    </row>
    <row r="3" spans="1:23" s="63" customFormat="1" ht="30" customHeight="1" x14ac:dyDescent="0.35">
      <c r="A3" s="1077" t="s">
        <v>2670</v>
      </c>
      <c r="B3" s="1116"/>
      <c r="C3" s="1116"/>
      <c r="D3" s="1116"/>
      <c r="E3" s="1116"/>
      <c r="F3" s="1116"/>
      <c r="G3" s="1116"/>
      <c r="H3" s="1116"/>
      <c r="I3" s="1116"/>
      <c r="J3" s="1116"/>
      <c r="K3" s="1116"/>
      <c r="L3" s="1202"/>
    </row>
    <row r="4" spans="1:23" s="171" customFormat="1" ht="30" customHeight="1" x14ac:dyDescent="0.35">
      <c r="A4" s="1180" t="s">
        <v>2636</v>
      </c>
      <c r="B4" s="1057"/>
      <c r="C4" s="1057"/>
      <c r="D4" s="1057"/>
      <c r="E4" s="1057"/>
      <c r="F4" s="1057"/>
      <c r="G4" s="1057"/>
      <c r="H4" s="1057"/>
      <c r="I4" s="1057"/>
      <c r="J4" s="1057"/>
      <c r="K4" s="1057"/>
      <c r="L4" s="1202"/>
      <c r="M4" s="57"/>
      <c r="N4" s="203"/>
      <c r="O4" s="205"/>
      <c r="P4" s="203"/>
      <c r="Q4" s="203"/>
      <c r="R4" s="203"/>
      <c r="S4" s="203"/>
      <c r="T4" s="203"/>
      <c r="U4" s="203"/>
      <c r="V4" s="203"/>
      <c r="W4" s="203"/>
    </row>
    <row r="5" spans="1:23" s="63" customFormat="1" ht="30" customHeight="1" x14ac:dyDescent="0.35">
      <c r="A5" s="1077" t="s">
        <v>2669</v>
      </c>
      <c r="B5" s="1116"/>
      <c r="C5" s="1116"/>
      <c r="D5" s="1116"/>
      <c r="E5" s="1116"/>
      <c r="F5" s="1116"/>
      <c r="G5" s="1116"/>
      <c r="H5" s="1116"/>
      <c r="I5" s="1116"/>
      <c r="J5" s="1116"/>
      <c r="K5" s="1116"/>
      <c r="L5" s="1202"/>
    </row>
    <row r="6" spans="1:23" s="171" customFormat="1" ht="30" customHeight="1" thickBot="1" x14ac:dyDescent="0.4">
      <c r="A6" s="1180" t="s">
        <v>2870</v>
      </c>
      <c r="B6" s="1057"/>
      <c r="C6" s="1057"/>
      <c r="D6" s="1057"/>
      <c r="E6" s="1057"/>
      <c r="F6" s="1057"/>
      <c r="G6" s="1057"/>
      <c r="H6" s="1057"/>
      <c r="I6" s="1057"/>
      <c r="J6" s="1057"/>
      <c r="K6" s="1057"/>
      <c r="L6" s="1202"/>
      <c r="M6" s="57"/>
      <c r="N6" s="203"/>
      <c r="O6" s="205"/>
      <c r="P6" s="203"/>
      <c r="Q6" s="203"/>
      <c r="R6" s="203"/>
      <c r="S6" s="203"/>
      <c r="T6" s="203"/>
      <c r="U6" s="203"/>
      <c r="V6" s="203"/>
      <c r="W6" s="203"/>
    </row>
    <row r="7" spans="1:23" s="136" customFormat="1" ht="30" customHeight="1" thickBot="1" x14ac:dyDescent="0.4">
      <c r="A7" s="1086"/>
      <c r="B7" s="1086"/>
      <c r="C7" s="1086"/>
      <c r="D7" s="1086"/>
      <c r="E7" s="1086"/>
      <c r="F7" s="1086"/>
      <c r="G7" s="1086"/>
      <c r="H7" s="1086"/>
      <c r="I7" s="1086"/>
      <c r="J7" s="1086"/>
      <c r="K7" s="1086"/>
      <c r="L7" s="1103"/>
      <c r="M7" s="206"/>
      <c r="N7" s="27"/>
      <c r="O7" s="207"/>
      <c r="P7" s="171"/>
      <c r="Q7" s="171"/>
      <c r="R7" s="171"/>
      <c r="S7" s="171"/>
      <c r="T7" s="171"/>
      <c r="U7" s="171"/>
      <c r="V7" s="27"/>
      <c r="W7" s="27"/>
    </row>
    <row r="8" spans="1:23" s="75" customFormat="1" ht="30" customHeight="1" x14ac:dyDescent="0.35">
      <c r="A8" s="465" t="s">
        <v>278</v>
      </c>
      <c r="B8" s="539">
        <v>1111</v>
      </c>
      <c r="C8" s="1231" t="s">
        <v>2522</v>
      </c>
      <c r="D8" s="1231"/>
      <c r="E8" s="543" t="s">
        <v>279</v>
      </c>
      <c r="F8" s="854">
        <v>333333</v>
      </c>
      <c r="G8" s="541" t="s">
        <v>280</v>
      </c>
      <c r="H8" s="542" t="s">
        <v>3</v>
      </c>
      <c r="I8" s="541" t="s">
        <v>281</v>
      </c>
      <c r="J8" s="1098" t="s">
        <v>2523</v>
      </c>
      <c r="K8" s="1098"/>
      <c r="L8" s="1187"/>
      <c r="M8" s="362"/>
      <c r="N8" s="208"/>
      <c r="O8" s="205"/>
      <c r="V8" s="208"/>
      <c r="W8" s="208"/>
    </row>
    <row r="9" spans="1:23" ht="30" customHeight="1" x14ac:dyDescent="0.35">
      <c r="A9" s="545" t="s">
        <v>2513</v>
      </c>
      <c r="B9" s="1051" t="s">
        <v>282</v>
      </c>
      <c r="C9" s="1051"/>
      <c r="D9" s="1051"/>
      <c r="E9" s="509" t="s">
        <v>2514</v>
      </c>
      <c r="F9" s="530" t="s">
        <v>2</v>
      </c>
      <c r="G9" s="530" t="s">
        <v>2515</v>
      </c>
      <c r="H9" s="530" t="s">
        <v>2516</v>
      </c>
      <c r="I9" s="530" t="s">
        <v>2517</v>
      </c>
      <c r="J9" s="684" t="s">
        <v>2518</v>
      </c>
      <c r="K9" s="684" t="s">
        <v>2519</v>
      </c>
      <c r="L9" s="744"/>
      <c r="M9" s="209"/>
      <c r="N9" s="419"/>
      <c r="O9" s="425"/>
      <c r="P9" s="171"/>
      <c r="R9" s="171"/>
      <c r="S9" s="171"/>
      <c r="T9" s="171"/>
      <c r="U9" s="51"/>
      <c r="V9" s="51"/>
      <c r="W9" s="171"/>
    </row>
    <row r="10" spans="1:23" ht="30" customHeight="1" x14ac:dyDescent="0.35">
      <c r="A10" s="546" t="s">
        <v>2524</v>
      </c>
      <c r="B10" s="1057" t="s">
        <v>2525</v>
      </c>
      <c r="C10" s="1057"/>
      <c r="D10" s="1057"/>
      <c r="E10" s="772">
        <v>1227603.21</v>
      </c>
      <c r="F10" s="436" t="s">
        <v>3</v>
      </c>
      <c r="G10" s="988">
        <v>0</v>
      </c>
      <c r="H10" s="988">
        <v>800429.46</v>
      </c>
      <c r="I10" s="988">
        <v>540731.30000000005</v>
      </c>
      <c r="J10" s="696">
        <v>736561.8</v>
      </c>
      <c r="K10" s="988">
        <f>G10+H10+I10</f>
        <v>1341160.76</v>
      </c>
      <c r="L10" s="989" t="s">
        <v>3</v>
      </c>
      <c r="M10" s="209"/>
      <c r="N10" s="419"/>
      <c r="O10" s="425"/>
      <c r="P10" s="171"/>
      <c r="R10" s="171"/>
      <c r="S10" s="171"/>
      <c r="T10" s="171"/>
      <c r="U10" s="51"/>
      <c r="V10" s="51"/>
      <c r="W10" s="171"/>
    </row>
    <row r="11" spans="1:23" ht="30" customHeight="1" x14ac:dyDescent="0.35">
      <c r="A11" s="546" t="s">
        <v>2526</v>
      </c>
      <c r="B11" s="1057" t="s">
        <v>2527</v>
      </c>
      <c r="C11" s="1057"/>
      <c r="D11" s="1057"/>
      <c r="E11" s="772">
        <v>166847.19</v>
      </c>
      <c r="F11" s="436" t="s">
        <v>283</v>
      </c>
      <c r="G11" s="988">
        <v>11338815.41</v>
      </c>
      <c r="H11" s="988">
        <v>2869300.24</v>
      </c>
      <c r="I11" s="988">
        <v>1060389.22</v>
      </c>
      <c r="J11" s="696">
        <v>9290040.9600000009</v>
      </c>
      <c r="K11" s="988">
        <f>G11+H11+I11</f>
        <v>15268504.870000001</v>
      </c>
      <c r="L11" s="989" t="s">
        <v>283</v>
      </c>
      <c r="M11" s="209"/>
      <c r="N11" s="419"/>
      <c r="O11" s="425"/>
      <c r="P11" s="171"/>
      <c r="R11" s="171"/>
      <c r="S11" s="171"/>
      <c r="T11" s="171"/>
      <c r="U11" s="51"/>
      <c r="V11" s="51"/>
      <c r="W11" s="171"/>
    </row>
    <row r="12" spans="1:23" ht="30" customHeight="1" x14ac:dyDescent="0.35">
      <c r="A12" s="546" t="s">
        <v>2528</v>
      </c>
      <c r="B12" s="1057" t="s">
        <v>2529</v>
      </c>
      <c r="C12" s="1057"/>
      <c r="D12" s="1057"/>
      <c r="E12" s="772">
        <v>340560.89</v>
      </c>
      <c r="F12" s="436" t="s">
        <v>283</v>
      </c>
      <c r="G12" s="988">
        <v>15804562</v>
      </c>
      <c r="H12" s="988">
        <v>0</v>
      </c>
      <c r="I12" s="988">
        <v>0</v>
      </c>
      <c r="J12" s="696">
        <v>10046549.5</v>
      </c>
      <c r="K12" s="988">
        <f t="shared" ref="K12:K24" si="0">G12+H12+I12</f>
        <v>15804562</v>
      </c>
      <c r="L12" s="989" t="s">
        <v>283</v>
      </c>
      <c r="M12" s="209"/>
      <c r="N12" s="419"/>
      <c r="R12" s="171"/>
      <c r="S12" s="171"/>
      <c r="T12" s="171"/>
      <c r="U12" s="51"/>
      <c r="V12" s="51"/>
      <c r="W12" s="171"/>
    </row>
    <row r="13" spans="1:23" ht="30" customHeight="1" x14ac:dyDescent="0.35">
      <c r="A13" s="546" t="s">
        <v>2530</v>
      </c>
      <c r="B13" s="1057" t="s">
        <v>2531</v>
      </c>
      <c r="C13" s="1057"/>
      <c r="D13" s="1057"/>
      <c r="E13" s="772">
        <v>333334</v>
      </c>
      <c r="F13" s="436" t="s">
        <v>3</v>
      </c>
      <c r="G13" s="765">
        <v>943881.89</v>
      </c>
      <c r="H13" s="988">
        <v>230926.45</v>
      </c>
      <c r="I13" s="988">
        <v>110119.55</v>
      </c>
      <c r="J13" s="696">
        <v>783334.9</v>
      </c>
      <c r="K13" s="988">
        <f t="shared" si="0"/>
        <v>1284927.8900000001</v>
      </c>
      <c r="L13" s="989" t="s">
        <v>3</v>
      </c>
      <c r="M13" s="173"/>
      <c r="N13" s="419"/>
      <c r="R13" s="171"/>
      <c r="S13" s="171"/>
      <c r="T13" s="171"/>
      <c r="U13" s="51"/>
      <c r="V13" s="51"/>
      <c r="W13" s="171"/>
    </row>
    <row r="14" spans="1:23" ht="30" customHeight="1" x14ac:dyDescent="0.35">
      <c r="A14" s="546" t="s">
        <v>2532</v>
      </c>
      <c r="B14" s="1057" t="s">
        <v>2533</v>
      </c>
      <c r="C14" s="1057"/>
      <c r="D14" s="1057"/>
      <c r="E14" s="772">
        <v>333334</v>
      </c>
      <c r="F14" s="436" t="s">
        <v>3</v>
      </c>
      <c r="G14" s="988">
        <v>6575710.5199999996</v>
      </c>
      <c r="H14" s="988">
        <v>15105306.5</v>
      </c>
      <c r="I14" s="988">
        <v>4929161</v>
      </c>
      <c r="J14" s="696">
        <v>14726696.119999999</v>
      </c>
      <c r="K14" s="988">
        <f t="shared" si="0"/>
        <v>26610178.02</v>
      </c>
      <c r="L14" s="989" t="s">
        <v>3</v>
      </c>
      <c r="M14" s="173"/>
      <c r="N14" s="419"/>
      <c r="R14" s="171"/>
      <c r="S14" s="171"/>
      <c r="T14" s="171"/>
      <c r="U14" s="51"/>
      <c r="V14" s="51"/>
      <c r="W14" s="171"/>
    </row>
    <row r="15" spans="1:23" ht="30" customHeight="1" x14ac:dyDescent="0.35">
      <c r="A15" s="546" t="s">
        <v>2534</v>
      </c>
      <c r="B15" s="1057" t="s">
        <v>2535</v>
      </c>
      <c r="C15" s="1057"/>
      <c r="D15" s="1057"/>
      <c r="E15" s="772">
        <v>333334</v>
      </c>
      <c r="F15" s="436" t="s">
        <v>3</v>
      </c>
      <c r="G15" s="988">
        <v>0</v>
      </c>
      <c r="H15" s="988">
        <v>2608110.4700000002</v>
      </c>
      <c r="I15" s="988">
        <v>2281047.91</v>
      </c>
      <c r="J15" s="696">
        <v>2730005.46</v>
      </c>
      <c r="K15" s="988">
        <f t="shared" si="0"/>
        <v>4889158.3800000008</v>
      </c>
      <c r="L15" s="989" t="s">
        <v>3</v>
      </c>
      <c r="M15" s="173"/>
      <c r="N15" s="419"/>
      <c r="R15" s="171"/>
      <c r="S15" s="171"/>
      <c r="T15" s="171"/>
      <c r="U15" s="51"/>
      <c r="V15" s="51"/>
      <c r="W15" s="171"/>
    </row>
    <row r="16" spans="1:23" ht="30" customHeight="1" x14ac:dyDescent="0.35">
      <c r="A16" s="546" t="s">
        <v>2536</v>
      </c>
      <c r="B16" s="1057" t="s">
        <v>2537</v>
      </c>
      <c r="C16" s="1057"/>
      <c r="D16" s="1057"/>
      <c r="E16" s="772">
        <v>166665.06</v>
      </c>
      <c r="F16" s="436" t="s">
        <v>283</v>
      </c>
      <c r="G16" s="988">
        <v>30859323.809999999</v>
      </c>
      <c r="H16" s="988">
        <v>0</v>
      </c>
      <c r="I16" s="988">
        <v>0</v>
      </c>
      <c r="J16" s="696">
        <v>19616470.5</v>
      </c>
      <c r="K16" s="988">
        <f t="shared" si="0"/>
        <v>30859323.809999999</v>
      </c>
      <c r="L16" s="989" t="s">
        <v>283</v>
      </c>
      <c r="M16" s="173"/>
      <c r="N16" s="419"/>
      <c r="R16" s="171"/>
      <c r="S16" s="171"/>
      <c r="T16" s="171"/>
      <c r="U16" s="51"/>
      <c r="V16" s="51"/>
      <c r="W16" s="171"/>
    </row>
    <row r="17" spans="1:23" ht="30" customHeight="1" x14ac:dyDescent="0.35">
      <c r="A17" s="546" t="s">
        <v>2538</v>
      </c>
      <c r="B17" s="1057" t="s">
        <v>2539</v>
      </c>
      <c r="C17" s="1057"/>
      <c r="D17" s="1057"/>
      <c r="E17" s="772">
        <v>166665.06</v>
      </c>
      <c r="F17" s="436" t="s">
        <v>283</v>
      </c>
      <c r="G17" s="988">
        <v>0</v>
      </c>
      <c r="H17" s="988">
        <v>200360.25</v>
      </c>
      <c r="I17" s="988">
        <v>319867.25</v>
      </c>
      <c r="J17" s="696">
        <v>301663.65000000002</v>
      </c>
      <c r="K17" s="988">
        <f t="shared" si="0"/>
        <v>520227.5</v>
      </c>
      <c r="L17" s="989" t="s">
        <v>283</v>
      </c>
      <c r="M17" s="173"/>
      <c r="N17" s="419"/>
      <c r="R17" s="171"/>
      <c r="S17" s="171"/>
      <c r="T17" s="171"/>
      <c r="U17" s="51"/>
      <c r="V17" s="51"/>
      <c r="W17" s="171"/>
    </row>
    <row r="18" spans="1:23" ht="30" customHeight="1" x14ac:dyDescent="0.35">
      <c r="A18" s="546" t="s">
        <v>2540</v>
      </c>
      <c r="B18" s="1057" t="s">
        <v>2541</v>
      </c>
      <c r="C18" s="1057"/>
      <c r="D18" s="1057"/>
      <c r="E18" s="772">
        <v>143333.62</v>
      </c>
      <c r="F18" s="436" t="s">
        <v>6</v>
      </c>
      <c r="G18" s="988">
        <v>340480.08</v>
      </c>
      <c r="H18" s="988">
        <v>987145.26</v>
      </c>
      <c r="I18" s="988">
        <v>0</v>
      </c>
      <c r="J18" s="696">
        <v>700903.26</v>
      </c>
      <c r="K18" s="988">
        <f t="shared" si="0"/>
        <v>1327625.3400000001</v>
      </c>
      <c r="L18" s="989" t="s">
        <v>6</v>
      </c>
      <c r="M18" s="173"/>
      <c r="N18" s="419"/>
      <c r="R18" s="171"/>
      <c r="S18" s="171"/>
      <c r="T18" s="171"/>
      <c r="U18" s="51"/>
      <c r="V18" s="51"/>
      <c r="W18" s="171"/>
    </row>
    <row r="19" spans="1:23" ht="30" customHeight="1" x14ac:dyDescent="0.35">
      <c r="A19" s="546" t="s">
        <v>2542</v>
      </c>
      <c r="B19" s="1057" t="s">
        <v>2543</v>
      </c>
      <c r="C19" s="1057"/>
      <c r="D19" s="1057"/>
      <c r="E19" s="772">
        <v>140000.28</v>
      </c>
      <c r="F19" s="436" t="s">
        <v>6</v>
      </c>
      <c r="G19" s="988">
        <v>332560.39</v>
      </c>
      <c r="H19" s="988">
        <v>964183.91</v>
      </c>
      <c r="I19" s="988">
        <v>0</v>
      </c>
      <c r="J19" s="696">
        <v>684600</v>
      </c>
      <c r="K19" s="988">
        <f t="shared" si="0"/>
        <v>1296744.3</v>
      </c>
      <c r="L19" s="989" t="s">
        <v>6</v>
      </c>
      <c r="M19" s="173"/>
      <c r="N19" s="419"/>
      <c r="R19" s="171"/>
      <c r="S19" s="171"/>
      <c r="T19" s="171"/>
      <c r="U19" s="51"/>
      <c r="V19" s="51"/>
      <c r="W19" s="171"/>
    </row>
    <row r="20" spans="1:23" ht="30" customHeight="1" x14ac:dyDescent="0.35">
      <c r="A20" s="546" t="s">
        <v>2544</v>
      </c>
      <c r="B20" s="1057" t="s">
        <v>2545</v>
      </c>
      <c r="C20" s="1057"/>
      <c r="D20" s="1057"/>
      <c r="E20" s="772">
        <v>33333.4</v>
      </c>
      <c r="F20" s="436" t="s">
        <v>6</v>
      </c>
      <c r="G20" s="988">
        <v>99630.78</v>
      </c>
      <c r="H20" s="988">
        <v>740993.33</v>
      </c>
      <c r="I20" s="988">
        <v>0</v>
      </c>
      <c r="J20" s="696">
        <v>426995.73</v>
      </c>
      <c r="K20" s="988">
        <f t="shared" si="0"/>
        <v>840624.11</v>
      </c>
      <c r="L20" s="989" t="s">
        <v>6</v>
      </c>
      <c r="M20" s="173"/>
      <c r="N20" s="419"/>
      <c r="R20" s="171"/>
      <c r="S20" s="171"/>
      <c r="T20" s="171"/>
      <c r="U20" s="51"/>
      <c r="V20" s="51"/>
      <c r="W20" s="171"/>
    </row>
    <row r="21" spans="1:23" ht="30" customHeight="1" x14ac:dyDescent="0.35">
      <c r="A21" s="546" t="s">
        <v>2546</v>
      </c>
      <c r="B21" s="1057" t="s">
        <v>2547</v>
      </c>
      <c r="C21" s="1057"/>
      <c r="D21" s="1057"/>
      <c r="E21" s="772">
        <v>89310</v>
      </c>
      <c r="F21" s="436" t="s">
        <v>6</v>
      </c>
      <c r="G21" s="988">
        <v>139091.57</v>
      </c>
      <c r="H21" s="988">
        <v>40034.82</v>
      </c>
      <c r="I21" s="988">
        <v>21074.48</v>
      </c>
      <c r="J21" s="696">
        <v>121461.6</v>
      </c>
      <c r="K21" s="988">
        <f t="shared" si="0"/>
        <v>200200.87000000002</v>
      </c>
      <c r="L21" s="989" t="s">
        <v>6</v>
      </c>
      <c r="M21" s="173"/>
      <c r="N21" s="419"/>
      <c r="R21" s="171"/>
      <c r="S21" s="171"/>
      <c r="T21" s="171"/>
      <c r="U21" s="51"/>
      <c r="V21" s="51"/>
      <c r="W21" s="171"/>
    </row>
    <row r="22" spans="1:23" ht="30" customHeight="1" x14ac:dyDescent="0.35">
      <c r="A22" s="546" t="s">
        <v>2548</v>
      </c>
      <c r="B22" s="1057" t="s">
        <v>2549</v>
      </c>
      <c r="C22" s="1057"/>
      <c r="D22" s="1057"/>
      <c r="E22" s="772">
        <v>60000</v>
      </c>
      <c r="F22" s="436" t="s">
        <v>6</v>
      </c>
      <c r="G22" s="988">
        <v>93444.12</v>
      </c>
      <c r="H22" s="988">
        <v>26896.09</v>
      </c>
      <c r="I22" s="988">
        <v>14158.2</v>
      </c>
      <c r="J22" s="696">
        <v>81600</v>
      </c>
      <c r="K22" s="988">
        <f t="shared" si="0"/>
        <v>134498.41</v>
      </c>
      <c r="L22" s="989" t="s">
        <v>6</v>
      </c>
      <c r="M22" s="173"/>
      <c r="N22" s="419"/>
      <c r="R22" s="171"/>
      <c r="S22" s="171"/>
      <c r="T22" s="171"/>
      <c r="U22" s="51"/>
      <c r="V22" s="51"/>
      <c r="W22" s="171"/>
    </row>
    <row r="23" spans="1:23" ht="30" customHeight="1" x14ac:dyDescent="0.35">
      <c r="A23" s="546" t="s">
        <v>2550</v>
      </c>
      <c r="B23" s="1057" t="s">
        <v>2551</v>
      </c>
      <c r="C23" s="1057"/>
      <c r="D23" s="1057"/>
      <c r="E23" s="772">
        <v>100800</v>
      </c>
      <c r="F23" s="436" t="s">
        <v>6</v>
      </c>
      <c r="G23" s="988">
        <v>74528.77</v>
      </c>
      <c r="H23" s="988">
        <v>65724.25</v>
      </c>
      <c r="I23" s="988">
        <v>17442.900000000001</v>
      </c>
      <c r="J23" s="696">
        <v>90720</v>
      </c>
      <c r="K23" s="988">
        <f t="shared" si="0"/>
        <v>157695.92000000001</v>
      </c>
      <c r="L23" s="989" t="s">
        <v>6</v>
      </c>
      <c r="M23" s="173"/>
      <c r="N23" s="419"/>
      <c r="R23" s="171"/>
      <c r="S23" s="171"/>
      <c r="T23" s="171"/>
      <c r="U23" s="51"/>
      <c r="V23" s="51"/>
      <c r="W23" s="171"/>
    </row>
    <row r="24" spans="1:23" ht="30" customHeight="1" x14ac:dyDescent="0.35">
      <c r="A24" s="546" t="s">
        <v>2552</v>
      </c>
      <c r="B24" s="1057" t="s">
        <v>2553</v>
      </c>
      <c r="C24" s="1057"/>
      <c r="D24" s="1057"/>
      <c r="E24" s="772">
        <v>34026</v>
      </c>
      <c r="F24" s="436" t="s">
        <v>6</v>
      </c>
      <c r="G24" s="988">
        <v>25157.89</v>
      </c>
      <c r="H24" s="988">
        <v>22185.85</v>
      </c>
      <c r="I24" s="988">
        <v>5888.02</v>
      </c>
      <c r="J24" s="696">
        <v>30623.4</v>
      </c>
      <c r="K24" s="988">
        <f t="shared" si="0"/>
        <v>53231.759999999995</v>
      </c>
      <c r="L24" s="989" t="s">
        <v>6</v>
      </c>
      <c r="M24" s="173"/>
      <c r="P24" s="171"/>
      <c r="Q24" s="171"/>
      <c r="R24" s="171"/>
      <c r="S24" s="51"/>
      <c r="T24" s="51"/>
      <c r="U24" s="171"/>
    </row>
    <row r="25" spans="1:23" ht="30" customHeight="1" x14ac:dyDescent="0.35">
      <c r="A25" s="241"/>
      <c r="B25" s="1102"/>
      <c r="C25" s="1102"/>
      <c r="D25" s="1102"/>
      <c r="E25" s="458"/>
      <c r="F25" s="458"/>
      <c r="G25" s="458"/>
      <c r="H25" s="458"/>
      <c r="I25" s="434" t="s">
        <v>2554</v>
      </c>
      <c r="J25" s="988">
        <f>SUM(J10:J24)</f>
        <v>60368226.879999995</v>
      </c>
      <c r="K25" s="990">
        <f>SUM(K10:K24)</f>
        <v>100588663.94000001</v>
      </c>
      <c r="L25" s="989" t="s">
        <v>284</v>
      </c>
      <c r="M25" s="173"/>
      <c r="P25" s="171"/>
      <c r="Q25" s="171"/>
      <c r="R25" s="171"/>
      <c r="S25" s="51"/>
      <c r="T25" s="51"/>
      <c r="U25" s="171"/>
    </row>
    <row r="26" spans="1:23" ht="30" customHeight="1" thickBot="1" x14ac:dyDescent="0.4">
      <c r="A26" s="681"/>
      <c r="B26" s="991"/>
      <c r="C26" s="991"/>
      <c r="D26" s="991"/>
      <c r="E26" s="689"/>
      <c r="F26" s="689"/>
      <c r="G26" s="992"/>
      <c r="H26" s="661"/>
      <c r="I26" s="993"/>
      <c r="J26" s="933" t="s">
        <v>2584</v>
      </c>
      <c r="K26" s="994">
        <f>+K25/F8</f>
        <v>301.76629358629361</v>
      </c>
      <c r="L26" s="620" t="s">
        <v>3</v>
      </c>
      <c r="M26" s="173"/>
      <c r="P26" s="171"/>
      <c r="Q26" s="171"/>
      <c r="R26" s="171"/>
      <c r="S26" s="51"/>
      <c r="T26" s="51"/>
      <c r="U26" s="171"/>
    </row>
    <row r="27" spans="1:23" ht="30" customHeight="1" thickBot="1" x14ac:dyDescent="0.4">
      <c r="A27" s="1086"/>
      <c r="B27" s="1086"/>
      <c r="C27" s="1086"/>
      <c r="D27" s="1086"/>
      <c r="E27" s="1086"/>
      <c r="F27" s="1086"/>
      <c r="G27" s="1086"/>
      <c r="H27" s="1086"/>
      <c r="I27" s="1086"/>
      <c r="J27" s="1086"/>
      <c r="K27" s="1086"/>
      <c r="L27" s="1103"/>
      <c r="M27" s="173"/>
      <c r="N27" s="171"/>
      <c r="P27" s="171"/>
      <c r="Q27" s="171"/>
      <c r="R27" s="171"/>
      <c r="S27" s="51"/>
      <c r="T27" s="51"/>
      <c r="U27" s="171"/>
    </row>
    <row r="28" spans="1:23" s="208" customFormat="1" ht="30" customHeight="1" x14ac:dyDescent="0.35">
      <c r="A28" s="467" t="s">
        <v>278</v>
      </c>
      <c r="B28" s="502">
        <v>1111</v>
      </c>
      <c r="C28" s="1232" t="s">
        <v>2555</v>
      </c>
      <c r="D28" s="1232"/>
      <c r="E28" s="183" t="s">
        <v>279</v>
      </c>
      <c r="F28" s="184">
        <v>222222</v>
      </c>
      <c r="G28" s="396" t="s">
        <v>280</v>
      </c>
      <c r="H28" s="67" t="s">
        <v>3</v>
      </c>
      <c r="I28" s="396" t="s">
        <v>281</v>
      </c>
      <c r="J28" s="1098" t="s">
        <v>2523</v>
      </c>
      <c r="K28" s="1098"/>
      <c r="L28" s="1187"/>
      <c r="M28" s="173"/>
      <c r="N28" s="75"/>
      <c r="O28" s="205"/>
      <c r="P28" s="75"/>
      <c r="Q28" s="75"/>
      <c r="R28" s="75"/>
      <c r="S28" s="75"/>
      <c r="T28" s="75"/>
      <c r="U28" s="75"/>
    </row>
    <row r="29" spans="1:23" ht="30" customHeight="1" x14ac:dyDescent="0.35">
      <c r="A29" s="545" t="s">
        <v>2513</v>
      </c>
      <c r="B29" s="1051" t="s">
        <v>282</v>
      </c>
      <c r="C29" s="1051"/>
      <c r="D29" s="1051"/>
      <c r="E29" s="509" t="s">
        <v>2514</v>
      </c>
      <c r="F29" s="509" t="s">
        <v>2</v>
      </c>
      <c r="G29" s="530" t="s">
        <v>2515</v>
      </c>
      <c r="H29" s="530" t="s">
        <v>2516</v>
      </c>
      <c r="I29" s="530" t="s">
        <v>2517</v>
      </c>
      <c r="J29" s="684" t="s">
        <v>2518</v>
      </c>
      <c r="K29" s="684" t="s">
        <v>2519</v>
      </c>
      <c r="L29" s="744"/>
      <c r="M29" s="173"/>
      <c r="N29" s="419"/>
      <c r="R29" s="171"/>
      <c r="S29" s="171"/>
      <c r="T29" s="171"/>
      <c r="U29" s="51"/>
      <c r="V29" s="51"/>
      <c r="W29" s="171"/>
    </row>
    <row r="30" spans="1:23" ht="30" customHeight="1" x14ac:dyDescent="0.35">
      <c r="A30" s="546" t="s">
        <v>2524</v>
      </c>
      <c r="B30" s="1057" t="s">
        <v>2525</v>
      </c>
      <c r="C30" s="1057"/>
      <c r="D30" s="1057"/>
      <c r="E30" s="772">
        <v>927673.78</v>
      </c>
      <c r="F30" s="436" t="s">
        <v>3</v>
      </c>
      <c r="G30" s="988">
        <v>0</v>
      </c>
      <c r="H30" s="988">
        <v>604867.86</v>
      </c>
      <c r="I30" s="988">
        <v>408619.37</v>
      </c>
      <c r="J30" s="696">
        <v>566604.4</v>
      </c>
      <c r="K30" s="988">
        <v>1013487.23</v>
      </c>
      <c r="L30" s="989" t="s">
        <v>3</v>
      </c>
      <c r="M30" s="173"/>
      <c r="N30" s="419"/>
      <c r="R30" s="171"/>
      <c r="S30" s="171"/>
      <c r="T30" s="171"/>
      <c r="U30" s="51"/>
      <c r="V30" s="51"/>
      <c r="W30" s="171"/>
    </row>
    <row r="31" spans="1:23" ht="30" customHeight="1" x14ac:dyDescent="0.35">
      <c r="A31" s="546" t="s">
        <v>2526</v>
      </c>
      <c r="B31" s="1057" t="s">
        <v>2527</v>
      </c>
      <c r="C31" s="1057"/>
      <c r="D31" s="1057"/>
      <c r="E31" s="772">
        <v>111231.12</v>
      </c>
      <c r="F31" s="436" t="s">
        <v>283</v>
      </c>
      <c r="G31" s="988">
        <v>7559187.6200000001</v>
      </c>
      <c r="H31" s="988">
        <v>1912861.09</v>
      </c>
      <c r="I31" s="988">
        <v>706924.03</v>
      </c>
      <c r="J31" s="696">
        <v>6193342.0800000001</v>
      </c>
      <c r="K31" s="988">
        <v>10178972.74</v>
      </c>
      <c r="L31" s="989" t="s">
        <v>283</v>
      </c>
      <c r="M31" s="173"/>
      <c r="N31" s="419"/>
      <c r="R31" s="171"/>
      <c r="S31" s="171"/>
      <c r="T31" s="171"/>
      <c r="U31" s="51"/>
      <c r="V31" s="51"/>
      <c r="W31" s="171"/>
    </row>
    <row r="32" spans="1:23" ht="30" customHeight="1" x14ac:dyDescent="0.35">
      <c r="A32" s="546" t="s">
        <v>2528</v>
      </c>
      <c r="B32" s="1057" t="s">
        <v>2529</v>
      </c>
      <c r="C32" s="1057"/>
      <c r="D32" s="1057"/>
      <c r="E32" s="772">
        <v>257354.66</v>
      </c>
      <c r="F32" s="436" t="s">
        <v>283</v>
      </c>
      <c r="G32" s="988">
        <v>11943185.08</v>
      </c>
      <c r="H32" s="988">
        <v>0</v>
      </c>
      <c r="I32" s="988">
        <v>0</v>
      </c>
      <c r="J32" s="696">
        <v>7591972.5</v>
      </c>
      <c r="K32" s="988">
        <v>11943185.08</v>
      </c>
      <c r="L32" s="989" t="s">
        <v>283</v>
      </c>
      <c r="M32" s="173"/>
      <c r="N32" s="419"/>
      <c r="R32" s="171"/>
      <c r="S32" s="171"/>
      <c r="T32" s="171"/>
      <c r="U32" s="51"/>
      <c r="V32" s="51"/>
      <c r="W32" s="171"/>
    </row>
    <row r="33" spans="1:23" ht="30" customHeight="1" x14ac:dyDescent="0.35">
      <c r="A33" s="546" t="s">
        <v>2530</v>
      </c>
      <c r="B33" s="1057" t="s">
        <v>2531</v>
      </c>
      <c r="C33" s="1057"/>
      <c r="D33" s="1057"/>
      <c r="E33" s="772">
        <v>222222</v>
      </c>
      <c r="F33" s="436" t="s">
        <v>3</v>
      </c>
      <c r="G33" s="988">
        <v>629252.71</v>
      </c>
      <c r="H33" s="988">
        <v>153950.5</v>
      </c>
      <c r="I33" s="988">
        <v>73412.820000000007</v>
      </c>
      <c r="J33" s="696">
        <v>522221.7</v>
      </c>
      <c r="K33" s="988">
        <f t="shared" ref="K33:K43" si="1">G33+H33+I33</f>
        <v>856616.03</v>
      </c>
      <c r="L33" s="989" t="s">
        <v>3</v>
      </c>
      <c r="M33" s="173"/>
      <c r="N33" s="419"/>
      <c r="R33" s="171"/>
      <c r="S33" s="171"/>
      <c r="T33" s="171"/>
      <c r="U33" s="51"/>
      <c r="V33" s="51"/>
      <c r="W33" s="171"/>
    </row>
    <row r="34" spans="1:23" ht="30" customHeight="1" x14ac:dyDescent="0.35">
      <c r="A34" s="546" t="s">
        <v>2556</v>
      </c>
      <c r="B34" s="1057" t="s">
        <v>2557</v>
      </c>
      <c r="C34" s="1057"/>
      <c r="D34" s="1057"/>
      <c r="E34" s="772">
        <v>177778</v>
      </c>
      <c r="F34" s="436" t="s">
        <v>3</v>
      </c>
      <c r="G34" s="988">
        <v>2114293.86</v>
      </c>
      <c r="H34" s="988">
        <v>4230931.5999999996</v>
      </c>
      <c r="I34" s="988">
        <v>861378.98</v>
      </c>
      <c r="J34" s="696">
        <v>3968004.96</v>
      </c>
      <c r="K34" s="988">
        <f t="shared" si="1"/>
        <v>7206604.4399999995</v>
      </c>
      <c r="L34" s="989" t="s">
        <v>3</v>
      </c>
      <c r="M34" s="173"/>
      <c r="N34" s="419"/>
      <c r="R34" s="171"/>
      <c r="S34" s="171"/>
      <c r="T34" s="171"/>
      <c r="U34" s="51"/>
      <c r="V34" s="51"/>
      <c r="W34" s="171"/>
    </row>
    <row r="35" spans="1:23" ht="30" customHeight="1" x14ac:dyDescent="0.35">
      <c r="A35" s="546" t="s">
        <v>2532</v>
      </c>
      <c r="B35" s="1057" t="s">
        <v>2533</v>
      </c>
      <c r="C35" s="1057"/>
      <c r="D35" s="1057"/>
      <c r="E35" s="772">
        <v>44444</v>
      </c>
      <c r="F35" s="436" t="s">
        <v>3</v>
      </c>
      <c r="G35" s="988">
        <v>876750.88</v>
      </c>
      <c r="H35" s="988">
        <v>2014016.7</v>
      </c>
      <c r="I35" s="988">
        <v>657213.57999999996</v>
      </c>
      <c r="J35" s="696">
        <v>1963535.92</v>
      </c>
      <c r="K35" s="988">
        <f t="shared" si="1"/>
        <v>3547981.16</v>
      </c>
      <c r="L35" s="989" t="s">
        <v>3</v>
      </c>
      <c r="M35" s="173"/>
      <c r="N35" s="419"/>
      <c r="R35" s="171"/>
      <c r="S35" s="171"/>
      <c r="T35" s="171"/>
      <c r="U35" s="51"/>
      <c r="V35" s="51"/>
      <c r="W35" s="171"/>
    </row>
    <row r="36" spans="1:23" ht="30" customHeight="1" x14ac:dyDescent="0.35">
      <c r="A36" s="546" t="s">
        <v>2534</v>
      </c>
      <c r="B36" s="1057" t="s">
        <v>2535</v>
      </c>
      <c r="C36" s="1057"/>
      <c r="D36" s="1057"/>
      <c r="E36" s="772">
        <v>222222</v>
      </c>
      <c r="F36" s="436" t="s">
        <v>3</v>
      </c>
      <c r="G36" s="988">
        <v>0</v>
      </c>
      <c r="H36" s="988">
        <v>1738735.1</v>
      </c>
      <c r="I36" s="988">
        <v>1520694.04</v>
      </c>
      <c r="J36" s="696">
        <v>1819998.18</v>
      </c>
      <c r="K36" s="988">
        <f t="shared" si="1"/>
        <v>3259429.14</v>
      </c>
      <c r="L36" s="989" t="s">
        <v>3</v>
      </c>
      <c r="M36" s="173"/>
      <c r="N36" s="419"/>
      <c r="R36" s="171"/>
      <c r="S36" s="171"/>
      <c r="T36" s="171"/>
      <c r="U36" s="51"/>
      <c r="V36" s="51"/>
      <c r="W36" s="171"/>
    </row>
    <row r="37" spans="1:23" ht="30" customHeight="1" x14ac:dyDescent="0.35">
      <c r="A37" s="546" t="s">
        <v>2536</v>
      </c>
      <c r="B37" s="1057" t="s">
        <v>2537</v>
      </c>
      <c r="C37" s="1057"/>
      <c r="D37" s="1057"/>
      <c r="E37" s="772">
        <v>74998.77</v>
      </c>
      <c r="F37" s="436" t="s">
        <v>283</v>
      </c>
      <c r="G37" s="988">
        <v>13886649.43</v>
      </c>
      <c r="H37" s="988">
        <v>0</v>
      </c>
      <c r="I37" s="988">
        <v>0</v>
      </c>
      <c r="J37" s="696">
        <v>8827382.3000000007</v>
      </c>
      <c r="K37" s="988">
        <f t="shared" si="1"/>
        <v>13886649.43</v>
      </c>
      <c r="L37" s="989" t="s">
        <v>283</v>
      </c>
      <c r="M37" s="173"/>
      <c r="N37" s="419"/>
      <c r="R37" s="171"/>
      <c r="S37" s="171"/>
      <c r="T37" s="171"/>
      <c r="U37" s="51"/>
      <c r="V37" s="51"/>
      <c r="W37" s="171"/>
    </row>
    <row r="38" spans="1:23" ht="30" customHeight="1" x14ac:dyDescent="0.35">
      <c r="A38" s="546" t="s">
        <v>2538</v>
      </c>
      <c r="B38" s="1057" t="s">
        <v>2539</v>
      </c>
      <c r="C38" s="1057"/>
      <c r="D38" s="1057"/>
      <c r="E38" s="772">
        <v>74998.77</v>
      </c>
      <c r="F38" s="436" t="s">
        <v>283</v>
      </c>
      <c r="G38" s="988">
        <v>0</v>
      </c>
      <c r="H38" s="988">
        <v>90161.81</v>
      </c>
      <c r="I38" s="988">
        <v>143939.78</v>
      </c>
      <c r="J38" s="696">
        <v>135748.19</v>
      </c>
      <c r="K38" s="988">
        <f t="shared" si="1"/>
        <v>234101.59</v>
      </c>
      <c r="L38" s="989" t="s">
        <v>283</v>
      </c>
      <c r="M38" s="173"/>
      <c r="N38" s="419"/>
      <c r="R38" s="171"/>
      <c r="S38" s="171"/>
      <c r="T38" s="171"/>
      <c r="U38" s="51"/>
      <c r="V38" s="51"/>
      <c r="W38" s="171"/>
    </row>
    <row r="39" spans="1:23" ht="30" customHeight="1" x14ac:dyDescent="0.35">
      <c r="A39" s="546" t="s">
        <v>2540</v>
      </c>
      <c r="B39" s="1057" t="s">
        <v>2541</v>
      </c>
      <c r="C39" s="1057"/>
      <c r="D39" s="1057"/>
      <c r="E39" s="772">
        <v>95555.46</v>
      </c>
      <c r="F39" s="436" t="s">
        <v>6</v>
      </c>
      <c r="G39" s="988">
        <v>226984.34</v>
      </c>
      <c r="H39" s="988">
        <v>658089.96</v>
      </c>
      <c r="I39" s="988">
        <v>0</v>
      </c>
      <c r="J39" s="696">
        <v>467263.95</v>
      </c>
      <c r="K39" s="988">
        <f t="shared" si="1"/>
        <v>885074.29999999993</v>
      </c>
      <c r="L39" s="989" t="s">
        <v>6</v>
      </c>
      <c r="M39" s="173"/>
      <c r="N39" s="419"/>
      <c r="R39" s="171"/>
      <c r="S39" s="171"/>
      <c r="T39" s="171"/>
      <c r="U39" s="51"/>
      <c r="V39" s="51"/>
      <c r="W39" s="171"/>
    </row>
    <row r="40" spans="1:23" ht="30" customHeight="1" x14ac:dyDescent="0.35">
      <c r="A40" s="546" t="s">
        <v>2542</v>
      </c>
      <c r="B40" s="1057" t="s">
        <v>2543</v>
      </c>
      <c r="C40" s="1057"/>
      <c r="D40" s="1057"/>
      <c r="E40" s="772">
        <v>104444.34</v>
      </c>
      <c r="F40" s="436" t="s">
        <v>6</v>
      </c>
      <c r="G40" s="988">
        <v>248099.55</v>
      </c>
      <c r="H40" s="988">
        <v>719308.75</v>
      </c>
      <c r="I40" s="988">
        <v>0</v>
      </c>
      <c r="J40" s="696">
        <v>510731.16</v>
      </c>
      <c r="K40" s="988">
        <f t="shared" si="1"/>
        <v>967408.3</v>
      </c>
      <c r="L40" s="989" t="s">
        <v>6</v>
      </c>
      <c r="M40" s="173"/>
      <c r="N40" s="419"/>
      <c r="R40" s="171"/>
      <c r="S40" s="171"/>
      <c r="T40" s="171"/>
      <c r="U40" s="51"/>
      <c r="V40" s="51"/>
      <c r="W40" s="171"/>
    </row>
    <row r="41" spans="1:23" ht="30" customHeight="1" x14ac:dyDescent="0.35">
      <c r="A41" s="546" t="s">
        <v>2544</v>
      </c>
      <c r="B41" s="1057" t="s">
        <v>2545</v>
      </c>
      <c r="C41" s="1057"/>
      <c r="D41" s="1057"/>
      <c r="E41" s="772">
        <v>22222.2</v>
      </c>
      <c r="F41" s="436" t="s">
        <v>6</v>
      </c>
      <c r="G41" s="988">
        <v>66420.52</v>
      </c>
      <c r="H41" s="988">
        <v>493995.55</v>
      </c>
      <c r="I41" s="988">
        <v>0</v>
      </c>
      <c r="J41" s="696">
        <v>284663.82</v>
      </c>
      <c r="K41" s="988">
        <f t="shared" si="1"/>
        <v>560416.06999999995</v>
      </c>
      <c r="L41" s="989" t="s">
        <v>6</v>
      </c>
      <c r="M41" s="173"/>
      <c r="N41" s="419"/>
      <c r="R41" s="171"/>
      <c r="S41" s="171"/>
      <c r="T41" s="171"/>
      <c r="U41" s="51"/>
      <c r="V41" s="51"/>
      <c r="W41" s="171"/>
    </row>
    <row r="42" spans="1:23" ht="30" customHeight="1" x14ac:dyDescent="0.35">
      <c r="A42" s="546" t="s">
        <v>2546</v>
      </c>
      <c r="B42" s="1057" t="s">
        <v>2547</v>
      </c>
      <c r="C42" s="1057"/>
      <c r="D42" s="1057"/>
      <c r="E42" s="772">
        <v>89310</v>
      </c>
      <c r="F42" s="436" t="s">
        <v>6</v>
      </c>
      <c r="G42" s="988">
        <v>139091.57</v>
      </c>
      <c r="H42" s="988">
        <v>40034.82</v>
      </c>
      <c r="I42" s="988">
        <v>21074.48</v>
      </c>
      <c r="J42" s="696">
        <v>121461.6</v>
      </c>
      <c r="K42" s="988">
        <f t="shared" si="1"/>
        <v>200200.87000000002</v>
      </c>
      <c r="L42" s="989" t="s">
        <v>6</v>
      </c>
      <c r="M42" s="173"/>
      <c r="N42" s="419"/>
      <c r="R42" s="171"/>
      <c r="S42" s="171"/>
      <c r="T42" s="171"/>
      <c r="U42" s="51"/>
      <c r="V42" s="51"/>
      <c r="W42" s="171"/>
    </row>
    <row r="43" spans="1:23" ht="30" customHeight="1" x14ac:dyDescent="0.35">
      <c r="A43" s="546" t="s">
        <v>2548</v>
      </c>
      <c r="B43" s="1057" t="s">
        <v>2549</v>
      </c>
      <c r="C43" s="1057"/>
      <c r="D43" s="1057"/>
      <c r="E43" s="772">
        <v>60000</v>
      </c>
      <c r="F43" s="436" t="s">
        <v>6</v>
      </c>
      <c r="G43" s="988">
        <v>93444.12</v>
      </c>
      <c r="H43" s="988">
        <v>26896.09</v>
      </c>
      <c r="I43" s="988">
        <v>14158.2</v>
      </c>
      <c r="J43" s="696">
        <v>81600</v>
      </c>
      <c r="K43" s="988">
        <f t="shared" si="1"/>
        <v>134498.41</v>
      </c>
      <c r="L43" s="989" t="s">
        <v>6</v>
      </c>
      <c r="M43" s="173"/>
      <c r="N43" s="419"/>
      <c r="R43" s="171"/>
      <c r="S43" s="171"/>
      <c r="T43" s="171"/>
      <c r="U43" s="51"/>
      <c r="V43" s="51"/>
      <c r="W43" s="171"/>
    </row>
    <row r="44" spans="1:23" ht="30" customHeight="1" x14ac:dyDescent="0.35">
      <c r="A44" s="546" t="s">
        <v>2550</v>
      </c>
      <c r="B44" s="1057" t="s">
        <v>2551</v>
      </c>
      <c r="C44" s="1057"/>
      <c r="D44" s="1057"/>
      <c r="E44" s="772">
        <v>100800</v>
      </c>
      <c r="F44" s="436" t="s">
        <v>6</v>
      </c>
      <c r="G44" s="988">
        <v>74528.77</v>
      </c>
      <c r="H44" s="988">
        <v>65724.25</v>
      </c>
      <c r="I44" s="988">
        <v>17442.900000000001</v>
      </c>
      <c r="J44" s="696">
        <v>90720</v>
      </c>
      <c r="K44" s="988">
        <f t="shared" ref="K44:K45" si="2">G44+H44+I44</f>
        <v>157695.92000000001</v>
      </c>
      <c r="L44" s="989" t="s">
        <v>6</v>
      </c>
      <c r="M44" s="173"/>
      <c r="N44" s="419"/>
      <c r="R44" s="171"/>
      <c r="S44" s="171"/>
      <c r="T44" s="171"/>
      <c r="U44" s="51"/>
      <c r="V44" s="51"/>
      <c r="W44" s="171"/>
    </row>
    <row r="45" spans="1:23" ht="30" customHeight="1" x14ac:dyDescent="0.35">
      <c r="A45" s="546" t="s">
        <v>2552</v>
      </c>
      <c r="B45" s="1057" t="s">
        <v>2553</v>
      </c>
      <c r="C45" s="1057"/>
      <c r="D45" s="1057"/>
      <c r="E45" s="772">
        <v>34026</v>
      </c>
      <c r="F45" s="436" t="s">
        <v>6</v>
      </c>
      <c r="G45" s="988">
        <v>25157.89</v>
      </c>
      <c r="H45" s="988">
        <v>22185.85</v>
      </c>
      <c r="I45" s="988">
        <v>5888.02</v>
      </c>
      <c r="J45" s="696">
        <v>30623.4</v>
      </c>
      <c r="K45" s="988">
        <f t="shared" si="2"/>
        <v>53231.759999999995</v>
      </c>
      <c r="L45" s="989" t="s">
        <v>6</v>
      </c>
      <c r="M45" s="173"/>
      <c r="P45" s="171"/>
      <c r="Q45" s="171"/>
      <c r="R45" s="171"/>
      <c r="S45" s="51"/>
      <c r="T45" s="51"/>
      <c r="U45" s="171"/>
    </row>
    <row r="46" spans="1:23" ht="30" customHeight="1" x14ac:dyDescent="0.35">
      <c r="A46" s="241"/>
      <c r="B46" s="1102"/>
      <c r="C46" s="1102"/>
      <c r="D46" s="1102"/>
      <c r="E46" s="458"/>
      <c r="F46" s="458"/>
      <c r="G46" s="458"/>
      <c r="H46" s="458"/>
      <c r="I46" s="435" t="s">
        <v>2558</v>
      </c>
      <c r="J46" s="995">
        <f>SUM(J30:J45)</f>
        <v>33175874.160000004</v>
      </c>
      <c r="K46" s="995">
        <f>SUM(K30:K45)</f>
        <v>55085552.469999999</v>
      </c>
      <c r="L46" s="989" t="s">
        <v>284</v>
      </c>
      <c r="M46" s="173"/>
      <c r="P46" s="171"/>
      <c r="Q46" s="171"/>
      <c r="R46" s="171"/>
      <c r="S46" s="51"/>
      <c r="T46" s="51"/>
      <c r="U46" s="171"/>
    </row>
    <row r="47" spans="1:23" ht="30" customHeight="1" thickBot="1" x14ac:dyDescent="0.4">
      <c r="A47" s="241"/>
      <c r="B47" s="446"/>
      <c r="C47" s="458"/>
      <c r="D47" s="458"/>
      <c r="E47" s="458"/>
      <c r="F47" s="458"/>
      <c r="G47" s="16"/>
      <c r="H47" s="16"/>
      <c r="I47" s="16"/>
      <c r="J47" s="185" t="s">
        <v>2585</v>
      </c>
      <c r="K47" s="186">
        <f>+K46/F28</f>
        <v>247.88523400023399</v>
      </c>
      <c r="L47" s="698" t="s">
        <v>3</v>
      </c>
      <c r="M47" s="173"/>
      <c r="P47" s="171"/>
      <c r="Q47" s="171"/>
      <c r="R47" s="171"/>
      <c r="S47" s="51"/>
      <c r="T47" s="51"/>
      <c r="U47" s="171"/>
    </row>
    <row r="48" spans="1:23" ht="30" customHeight="1" thickBot="1" x14ac:dyDescent="0.4">
      <c r="A48" s="1086"/>
      <c r="B48" s="1086"/>
      <c r="C48" s="1086"/>
      <c r="D48" s="1086"/>
      <c r="E48" s="1086"/>
      <c r="F48" s="1086"/>
      <c r="G48" s="1086"/>
      <c r="H48" s="1086"/>
      <c r="I48" s="1086"/>
      <c r="J48" s="1086"/>
      <c r="K48" s="1086"/>
      <c r="L48" s="1103"/>
      <c r="M48" s="173"/>
      <c r="P48" s="171"/>
      <c r="Q48" s="171"/>
      <c r="R48" s="171"/>
      <c r="S48" s="51"/>
      <c r="T48" s="51"/>
      <c r="U48" s="171"/>
    </row>
    <row r="49" spans="1:23" s="208" customFormat="1" ht="30" customHeight="1" x14ac:dyDescent="0.35">
      <c r="A49" s="465" t="s">
        <v>278</v>
      </c>
      <c r="B49" s="539">
        <v>1111</v>
      </c>
      <c r="C49" s="1231" t="s">
        <v>2559</v>
      </c>
      <c r="D49" s="1231"/>
      <c r="E49" s="543" t="s">
        <v>279</v>
      </c>
      <c r="F49" s="854">
        <v>166667</v>
      </c>
      <c r="G49" s="541" t="s">
        <v>280</v>
      </c>
      <c r="H49" s="542" t="s">
        <v>3</v>
      </c>
      <c r="I49" s="541" t="s">
        <v>281</v>
      </c>
      <c r="J49" s="1098" t="s">
        <v>2523</v>
      </c>
      <c r="K49" s="1098"/>
      <c r="L49" s="1187"/>
      <c r="M49" s="987"/>
      <c r="N49" s="365"/>
      <c r="O49" s="205"/>
      <c r="P49" s="75"/>
      <c r="Q49" s="75"/>
      <c r="R49" s="75"/>
      <c r="S49" s="75"/>
      <c r="T49" s="75"/>
      <c r="U49" s="75"/>
    </row>
    <row r="50" spans="1:23" ht="30" customHeight="1" x14ac:dyDescent="0.35">
      <c r="A50" s="545" t="s">
        <v>2513</v>
      </c>
      <c r="B50" s="1051" t="s">
        <v>282</v>
      </c>
      <c r="C50" s="1051"/>
      <c r="D50" s="1051"/>
      <c r="E50" s="509" t="s">
        <v>2514</v>
      </c>
      <c r="F50" s="509" t="s">
        <v>2</v>
      </c>
      <c r="G50" s="530" t="s">
        <v>2515</v>
      </c>
      <c r="H50" s="530" t="s">
        <v>2516</v>
      </c>
      <c r="I50" s="530" t="s">
        <v>2517</v>
      </c>
      <c r="J50" s="684" t="s">
        <v>2518</v>
      </c>
      <c r="K50" s="684" t="s">
        <v>2519</v>
      </c>
      <c r="L50" s="739"/>
      <c r="M50" s="173"/>
      <c r="N50" s="34"/>
      <c r="R50" s="171"/>
      <c r="S50" s="171"/>
      <c r="T50" s="171"/>
      <c r="U50" s="51"/>
      <c r="V50" s="51"/>
      <c r="W50" s="171"/>
    </row>
    <row r="51" spans="1:23" ht="30" customHeight="1" x14ac:dyDescent="0.35">
      <c r="A51" s="546" t="s">
        <v>2524</v>
      </c>
      <c r="B51" s="1057" t="s">
        <v>2525</v>
      </c>
      <c r="C51" s="1057"/>
      <c r="D51" s="1057"/>
      <c r="E51" s="772">
        <v>360957.26</v>
      </c>
      <c r="F51" s="436" t="s">
        <v>3</v>
      </c>
      <c r="G51" s="988">
        <v>0</v>
      </c>
      <c r="H51" s="988">
        <v>235353.46</v>
      </c>
      <c r="I51" s="988">
        <v>158993.38</v>
      </c>
      <c r="J51" s="812">
        <v>216574.2</v>
      </c>
      <c r="K51" s="988">
        <f>G51+H51+I51</f>
        <v>394346.83999999997</v>
      </c>
      <c r="L51" s="989" t="s">
        <v>3</v>
      </c>
      <c r="M51" s="173"/>
      <c r="N51" s="419"/>
      <c r="R51" s="171"/>
      <c r="S51" s="171"/>
      <c r="T51" s="171"/>
      <c r="U51" s="51"/>
      <c r="V51" s="51"/>
      <c r="W51" s="171"/>
    </row>
    <row r="52" spans="1:23" ht="30" customHeight="1" x14ac:dyDescent="0.35">
      <c r="A52" s="546" t="s">
        <v>2526</v>
      </c>
      <c r="B52" s="1057" t="s">
        <v>2527</v>
      </c>
      <c r="C52" s="1057"/>
      <c r="D52" s="1057"/>
      <c r="E52" s="772">
        <v>83423.09</v>
      </c>
      <c r="F52" s="436" t="s">
        <v>283</v>
      </c>
      <c r="G52" s="988">
        <v>5669373.7199999997</v>
      </c>
      <c r="H52" s="988">
        <v>1434641.52</v>
      </c>
      <c r="I52" s="988">
        <v>530191.43000000005</v>
      </c>
      <c r="J52" s="812">
        <v>4644992.6399999997</v>
      </c>
      <c r="K52" s="988">
        <f t="shared" ref="K52:K65" si="3">G52+H52+I52</f>
        <v>7634206.6699999999</v>
      </c>
      <c r="L52" s="989" t="s">
        <v>283</v>
      </c>
      <c r="M52" s="173"/>
      <c r="N52" s="72"/>
      <c r="R52" s="171"/>
      <c r="S52" s="171"/>
      <c r="T52" s="171"/>
      <c r="U52" s="51"/>
      <c r="V52" s="51"/>
      <c r="W52" s="171"/>
    </row>
    <row r="53" spans="1:23" ht="30" customHeight="1" x14ac:dyDescent="0.35">
      <c r="A53" s="546" t="s">
        <v>2528</v>
      </c>
      <c r="B53" s="1057" t="s">
        <v>2529</v>
      </c>
      <c r="C53" s="1057"/>
      <c r="D53" s="1057"/>
      <c r="E53" s="772">
        <v>100136.53</v>
      </c>
      <c r="F53" s="436" t="s">
        <v>283</v>
      </c>
      <c r="G53" s="988">
        <v>4647101.18</v>
      </c>
      <c r="H53" s="988">
        <v>0</v>
      </c>
      <c r="I53" s="988">
        <v>0</v>
      </c>
      <c r="J53" s="812">
        <v>2954041.5</v>
      </c>
      <c r="K53" s="988">
        <f t="shared" si="3"/>
        <v>4647101.18</v>
      </c>
      <c r="L53" s="989" t="s">
        <v>283</v>
      </c>
      <c r="M53" s="173"/>
      <c r="N53" s="419"/>
      <c r="R53" s="171"/>
      <c r="S53" s="171"/>
      <c r="T53" s="171"/>
      <c r="U53" s="51"/>
      <c r="V53" s="51"/>
      <c r="W53" s="171"/>
    </row>
    <row r="54" spans="1:23" ht="30" customHeight="1" x14ac:dyDescent="0.35">
      <c r="A54" s="546" t="s">
        <v>2530</v>
      </c>
      <c r="B54" s="1057" t="s">
        <v>2531</v>
      </c>
      <c r="C54" s="1057"/>
      <c r="D54" s="1057"/>
      <c r="E54" s="772">
        <v>166666</v>
      </c>
      <c r="F54" s="436" t="s">
        <v>3</v>
      </c>
      <c r="G54" s="988">
        <v>471938.12</v>
      </c>
      <c r="H54" s="988">
        <v>115462.53</v>
      </c>
      <c r="I54" s="988">
        <v>55059.45</v>
      </c>
      <c r="J54" s="812">
        <v>391665.1</v>
      </c>
      <c r="K54" s="988">
        <f t="shared" si="3"/>
        <v>642460.1</v>
      </c>
      <c r="L54" s="989" t="s">
        <v>3</v>
      </c>
      <c r="M54" s="173"/>
      <c r="N54" s="419"/>
      <c r="R54" s="171"/>
      <c r="S54" s="171"/>
      <c r="T54" s="171"/>
      <c r="U54" s="51"/>
      <c r="V54" s="51"/>
      <c r="W54" s="171"/>
    </row>
    <row r="55" spans="1:23" ht="30" customHeight="1" x14ac:dyDescent="0.35">
      <c r="A55" s="546" t="s">
        <v>2556</v>
      </c>
      <c r="B55" s="1057" t="s">
        <v>2557</v>
      </c>
      <c r="C55" s="1057"/>
      <c r="D55" s="1057"/>
      <c r="E55" s="772">
        <v>166666</v>
      </c>
      <c r="F55" s="436" t="s">
        <v>3</v>
      </c>
      <c r="G55" s="988">
        <v>1982140.08</v>
      </c>
      <c r="H55" s="988">
        <v>3966477.55</v>
      </c>
      <c r="I55" s="988">
        <v>807538.55</v>
      </c>
      <c r="J55" s="812">
        <v>3719985.12</v>
      </c>
      <c r="K55" s="988">
        <f t="shared" si="3"/>
        <v>6756156.1799999997</v>
      </c>
      <c r="L55" s="989" t="s">
        <v>3</v>
      </c>
      <c r="M55" s="173"/>
      <c r="N55" s="419"/>
      <c r="R55" s="171"/>
      <c r="S55" s="171"/>
      <c r="T55" s="171"/>
      <c r="U55" s="51"/>
      <c r="V55" s="51"/>
      <c r="W55" s="171"/>
    </row>
    <row r="56" spans="1:23" ht="30" customHeight="1" x14ac:dyDescent="0.35">
      <c r="A56" s="546" t="s">
        <v>2534</v>
      </c>
      <c r="B56" s="1057" t="s">
        <v>2535</v>
      </c>
      <c r="C56" s="1057"/>
      <c r="D56" s="1057"/>
      <c r="E56" s="772">
        <v>166666</v>
      </c>
      <c r="F56" s="436" t="s">
        <v>3</v>
      </c>
      <c r="G56" s="988">
        <v>0</v>
      </c>
      <c r="H56" s="988">
        <v>1304047.4099999999</v>
      </c>
      <c r="I56" s="988">
        <v>1140517.1100000001</v>
      </c>
      <c r="J56" s="812">
        <v>1364994.54</v>
      </c>
      <c r="K56" s="988">
        <f t="shared" si="3"/>
        <v>2444564.52</v>
      </c>
      <c r="L56" s="989" t="s">
        <v>3</v>
      </c>
      <c r="M56" s="173"/>
      <c r="N56" s="419"/>
      <c r="R56" s="171"/>
      <c r="S56" s="171"/>
      <c r="T56" s="171"/>
      <c r="U56" s="51"/>
      <c r="V56" s="51"/>
      <c r="W56" s="171"/>
    </row>
    <row r="57" spans="1:23" ht="30" customHeight="1" x14ac:dyDescent="0.35">
      <c r="A57" s="546" t="s">
        <v>2536</v>
      </c>
      <c r="B57" s="1057" t="s">
        <v>2537</v>
      </c>
      <c r="C57" s="1057"/>
      <c r="D57" s="1057"/>
      <c r="E57" s="772">
        <v>50461.79</v>
      </c>
      <c r="F57" s="436" t="s">
        <v>283</v>
      </c>
      <c r="G57" s="988">
        <v>9343432.6199999992</v>
      </c>
      <c r="H57" s="988">
        <v>0</v>
      </c>
      <c r="I57" s="988">
        <v>0</v>
      </c>
      <c r="J57" s="812">
        <v>5939377.4000000004</v>
      </c>
      <c r="K57" s="988">
        <f t="shared" si="3"/>
        <v>9343432.6199999992</v>
      </c>
      <c r="L57" s="989" t="s">
        <v>283</v>
      </c>
      <c r="M57" s="173"/>
      <c r="N57" s="419"/>
      <c r="R57" s="171"/>
      <c r="S57" s="171"/>
      <c r="T57" s="171"/>
      <c r="U57" s="51"/>
      <c r="V57" s="51"/>
      <c r="W57" s="171"/>
    </row>
    <row r="58" spans="1:23" ht="30" customHeight="1" x14ac:dyDescent="0.35">
      <c r="A58" s="546" t="s">
        <v>2538</v>
      </c>
      <c r="B58" s="1057" t="s">
        <v>2539</v>
      </c>
      <c r="C58" s="1057"/>
      <c r="D58" s="1057"/>
      <c r="E58" s="772">
        <v>50461.79</v>
      </c>
      <c r="F58" s="436" t="s">
        <v>283</v>
      </c>
      <c r="G58" s="988">
        <v>0</v>
      </c>
      <c r="H58" s="988">
        <v>60664.08</v>
      </c>
      <c r="I58" s="988">
        <v>96847.81</v>
      </c>
      <c r="J58" s="812">
        <v>91366.22</v>
      </c>
      <c r="K58" s="988">
        <f t="shared" si="3"/>
        <v>157511.89000000001</v>
      </c>
      <c r="L58" s="989" t="s">
        <v>283</v>
      </c>
      <c r="M58" s="173"/>
      <c r="N58" s="419"/>
      <c r="R58" s="171"/>
      <c r="S58" s="171"/>
      <c r="T58" s="171"/>
      <c r="U58" s="51"/>
      <c r="V58" s="51"/>
      <c r="W58" s="171"/>
    </row>
    <row r="59" spans="1:23" ht="30" customHeight="1" x14ac:dyDescent="0.35">
      <c r="A59" s="546" t="s">
        <v>2540</v>
      </c>
      <c r="B59" s="1057" t="s">
        <v>2541</v>
      </c>
      <c r="C59" s="1057"/>
      <c r="D59" s="1057"/>
      <c r="E59" s="772">
        <v>71666.38</v>
      </c>
      <c r="F59" s="436" t="s">
        <v>6</v>
      </c>
      <c r="G59" s="988">
        <v>170237.66</v>
      </c>
      <c r="H59" s="988">
        <v>493565.74</v>
      </c>
      <c r="I59" s="988">
        <v>0</v>
      </c>
      <c r="J59" s="812">
        <v>350446.74</v>
      </c>
      <c r="K59" s="988">
        <f t="shared" si="3"/>
        <v>663803.4</v>
      </c>
      <c r="L59" s="989" t="s">
        <v>6</v>
      </c>
      <c r="M59" s="173"/>
      <c r="N59" s="419"/>
      <c r="R59" s="171"/>
      <c r="S59" s="171"/>
      <c r="T59" s="171"/>
      <c r="U59" s="51"/>
      <c r="V59" s="51"/>
      <c r="W59" s="171"/>
    </row>
    <row r="60" spans="1:23" ht="30" customHeight="1" x14ac:dyDescent="0.35">
      <c r="A60" s="546" t="s">
        <v>2542</v>
      </c>
      <c r="B60" s="1057" t="s">
        <v>2543</v>
      </c>
      <c r="C60" s="1057"/>
      <c r="D60" s="1057"/>
      <c r="E60" s="772">
        <v>83333.02</v>
      </c>
      <c r="F60" s="436" t="s">
        <v>6</v>
      </c>
      <c r="G60" s="988">
        <v>197951.82</v>
      </c>
      <c r="H60" s="988">
        <v>573916.69999999995</v>
      </c>
      <c r="I60" s="988">
        <v>0</v>
      </c>
      <c r="J60" s="812">
        <v>407498.37</v>
      </c>
      <c r="K60" s="988">
        <f t="shared" si="3"/>
        <v>771868.52</v>
      </c>
      <c r="L60" s="989" t="s">
        <v>6</v>
      </c>
      <c r="M60" s="173"/>
      <c r="N60" s="419"/>
      <c r="R60" s="171"/>
      <c r="S60" s="171"/>
      <c r="T60" s="171"/>
      <c r="U60" s="51"/>
      <c r="V60" s="51"/>
      <c r="W60" s="171"/>
    </row>
    <row r="61" spans="1:23" ht="30" customHeight="1" x14ac:dyDescent="0.35">
      <c r="A61" s="546" t="s">
        <v>2544</v>
      </c>
      <c r="B61" s="1057" t="s">
        <v>2545</v>
      </c>
      <c r="C61" s="1057"/>
      <c r="D61" s="1057"/>
      <c r="E61" s="772">
        <v>16666.599999999999</v>
      </c>
      <c r="F61" s="436" t="s">
        <v>6</v>
      </c>
      <c r="G61" s="988">
        <v>49816.89</v>
      </c>
      <c r="H61" s="988">
        <v>370507.78</v>
      </c>
      <c r="I61" s="988">
        <v>0</v>
      </c>
      <c r="J61" s="812">
        <v>213504.27</v>
      </c>
      <c r="K61" s="988">
        <f t="shared" si="3"/>
        <v>420324.67000000004</v>
      </c>
      <c r="L61" s="989" t="s">
        <v>6</v>
      </c>
      <c r="M61" s="173"/>
      <c r="N61" s="419"/>
      <c r="R61" s="171"/>
      <c r="S61" s="171"/>
      <c r="T61" s="171"/>
      <c r="U61" s="51"/>
      <c r="V61" s="51"/>
      <c r="W61" s="171"/>
    </row>
    <row r="62" spans="1:23" ht="30" customHeight="1" x14ac:dyDescent="0.35">
      <c r="A62" s="546" t="s">
        <v>2546</v>
      </c>
      <c r="B62" s="1057" t="s">
        <v>2547</v>
      </c>
      <c r="C62" s="1057"/>
      <c r="D62" s="1057"/>
      <c r="E62" s="772">
        <v>89310</v>
      </c>
      <c r="F62" s="436" t="s">
        <v>6</v>
      </c>
      <c r="G62" s="988">
        <v>139091.57</v>
      </c>
      <c r="H62" s="988">
        <v>40034.82</v>
      </c>
      <c r="I62" s="988">
        <v>21074.48</v>
      </c>
      <c r="J62" s="812">
        <v>121461.6</v>
      </c>
      <c r="K62" s="988">
        <f t="shared" si="3"/>
        <v>200200.87000000002</v>
      </c>
      <c r="L62" s="989" t="s">
        <v>6</v>
      </c>
      <c r="M62" s="173"/>
      <c r="N62" s="419"/>
      <c r="R62" s="171"/>
      <c r="S62" s="171"/>
      <c r="T62" s="171"/>
      <c r="U62" s="51"/>
      <c r="V62" s="51"/>
      <c r="W62" s="171"/>
    </row>
    <row r="63" spans="1:23" ht="30" customHeight="1" x14ac:dyDescent="0.35">
      <c r="A63" s="546" t="s">
        <v>2548</v>
      </c>
      <c r="B63" s="1057" t="s">
        <v>2549</v>
      </c>
      <c r="C63" s="1057"/>
      <c r="D63" s="1057"/>
      <c r="E63" s="772">
        <v>60000</v>
      </c>
      <c r="F63" s="436" t="s">
        <v>6</v>
      </c>
      <c r="G63" s="988">
        <v>93444.12</v>
      </c>
      <c r="H63" s="988">
        <v>26896.09</v>
      </c>
      <c r="I63" s="988">
        <v>14158.2</v>
      </c>
      <c r="J63" s="812">
        <v>81600</v>
      </c>
      <c r="K63" s="988">
        <f t="shared" si="3"/>
        <v>134498.41</v>
      </c>
      <c r="L63" s="989" t="s">
        <v>6</v>
      </c>
      <c r="M63" s="173"/>
      <c r="N63" s="419"/>
      <c r="R63" s="171"/>
      <c r="S63" s="171"/>
      <c r="T63" s="171"/>
      <c r="U63" s="51"/>
      <c r="V63" s="51"/>
      <c r="W63" s="171"/>
    </row>
    <row r="64" spans="1:23" ht="30" customHeight="1" x14ac:dyDescent="0.35">
      <c r="A64" s="546" t="s">
        <v>2550</v>
      </c>
      <c r="B64" s="1057" t="s">
        <v>2551</v>
      </c>
      <c r="C64" s="1057"/>
      <c r="D64" s="1057"/>
      <c r="E64" s="772">
        <v>100800</v>
      </c>
      <c r="F64" s="436" t="s">
        <v>6</v>
      </c>
      <c r="G64" s="988">
        <v>74528.77</v>
      </c>
      <c r="H64" s="988">
        <v>65724.25</v>
      </c>
      <c r="I64" s="988">
        <v>17442.900000000001</v>
      </c>
      <c r="J64" s="812">
        <v>90720</v>
      </c>
      <c r="K64" s="988">
        <f t="shared" si="3"/>
        <v>157695.92000000001</v>
      </c>
      <c r="L64" s="989" t="s">
        <v>6</v>
      </c>
      <c r="M64" s="173"/>
      <c r="N64" s="419"/>
      <c r="R64" s="171"/>
      <c r="S64" s="171"/>
      <c r="T64" s="171"/>
      <c r="U64" s="51"/>
      <c r="V64" s="51"/>
      <c r="W64" s="171"/>
    </row>
    <row r="65" spans="1:23" ht="30" customHeight="1" x14ac:dyDescent="0.35">
      <c r="A65" s="546" t="s">
        <v>2552</v>
      </c>
      <c r="B65" s="1057" t="s">
        <v>2553</v>
      </c>
      <c r="C65" s="1057"/>
      <c r="D65" s="1057"/>
      <c r="E65" s="772">
        <v>34026</v>
      </c>
      <c r="F65" s="436" t="s">
        <v>6</v>
      </c>
      <c r="G65" s="988">
        <v>25157.89</v>
      </c>
      <c r="H65" s="988">
        <v>22185.85</v>
      </c>
      <c r="I65" s="988">
        <v>5888.02</v>
      </c>
      <c r="J65" s="812">
        <v>30623</v>
      </c>
      <c r="K65" s="988">
        <f t="shared" si="3"/>
        <v>53231.759999999995</v>
      </c>
      <c r="L65" s="989" t="s">
        <v>6</v>
      </c>
      <c r="M65" s="173"/>
      <c r="N65" s="419"/>
      <c r="R65" s="171"/>
      <c r="S65" s="171"/>
      <c r="T65" s="171"/>
      <c r="U65" s="51"/>
      <c r="V65" s="51"/>
      <c r="W65" s="171"/>
    </row>
    <row r="66" spans="1:23" ht="30" customHeight="1" x14ac:dyDescent="0.35">
      <c r="A66" s="546"/>
      <c r="B66" s="514"/>
      <c r="C66" s="514"/>
      <c r="D66" s="514"/>
      <c r="E66" s="996"/>
      <c r="F66" s="436"/>
      <c r="G66" s="696"/>
      <c r="H66" s="458"/>
      <c r="I66" s="435" t="s">
        <v>2560</v>
      </c>
      <c r="J66" s="988">
        <f>SUM(J51:J65)</f>
        <v>20618850.699999999</v>
      </c>
      <c r="K66" s="995">
        <f>SUM(K50:K65)</f>
        <v>34421403.54999999</v>
      </c>
      <c r="L66" s="989" t="s">
        <v>284</v>
      </c>
      <c r="M66" s="173"/>
      <c r="P66" s="171"/>
      <c r="Q66" s="171"/>
      <c r="R66" s="171"/>
      <c r="S66" s="51"/>
      <c r="T66" s="51"/>
      <c r="U66" s="171"/>
    </row>
    <row r="67" spans="1:23" ht="30" customHeight="1" thickBot="1" x14ac:dyDescent="0.4">
      <c r="A67" s="1183" t="s">
        <v>2754</v>
      </c>
      <c r="B67" s="1207"/>
      <c r="C67" s="1207"/>
      <c r="D67" s="1207"/>
      <c r="E67" s="920"/>
      <c r="F67" s="997"/>
      <c r="G67" s="187"/>
      <c r="H67" s="187"/>
      <c r="I67" s="187"/>
      <c r="J67" s="188" t="s">
        <v>2586</v>
      </c>
      <c r="K67" s="189">
        <f>+K66/F49</f>
        <v>206.52800824398344</v>
      </c>
      <c r="L67" s="564" t="s">
        <v>3</v>
      </c>
      <c r="M67" s="173"/>
      <c r="P67" s="171"/>
      <c r="Q67" s="171"/>
      <c r="R67" s="171"/>
      <c r="S67" s="51"/>
      <c r="T67" s="51"/>
      <c r="U67" s="171"/>
    </row>
    <row r="68" spans="1:23" ht="30" customHeight="1" x14ac:dyDescent="0.35">
      <c r="A68" s="1183"/>
      <c r="B68" s="1207"/>
      <c r="C68" s="1207"/>
      <c r="D68" s="1207"/>
      <c r="E68" s="920"/>
      <c r="F68" s="1208" t="s">
        <v>2575</v>
      </c>
      <c r="G68" s="1208"/>
      <c r="H68" s="190" t="s">
        <v>2561</v>
      </c>
      <c r="I68" s="191">
        <v>0.71599999999999997</v>
      </c>
      <c r="J68" s="766" t="s">
        <v>2586</v>
      </c>
      <c r="K68" s="801">
        <f>+K67</f>
        <v>206.52800824398344</v>
      </c>
      <c r="L68" s="243" t="s">
        <v>3</v>
      </c>
      <c r="M68" s="173"/>
      <c r="P68" s="171"/>
      <c r="Q68" s="171"/>
      <c r="R68" s="171"/>
      <c r="S68" s="51"/>
      <c r="T68" s="51"/>
      <c r="U68" s="171"/>
    </row>
    <row r="69" spans="1:23" ht="30" customHeight="1" x14ac:dyDescent="0.35">
      <c r="A69" s="1183"/>
      <c r="B69" s="1207"/>
      <c r="C69" s="1207"/>
      <c r="D69" s="1207"/>
      <c r="E69" s="920"/>
      <c r="F69" s="1208"/>
      <c r="G69" s="1208"/>
      <c r="H69" s="446" t="s">
        <v>2562</v>
      </c>
      <c r="I69" s="192">
        <v>0.13700000000000001</v>
      </c>
      <c r="J69" s="766" t="s">
        <v>2585</v>
      </c>
      <c r="K69" s="801">
        <f>+K47</f>
        <v>247.88523400023399</v>
      </c>
      <c r="L69" s="243" t="s">
        <v>3</v>
      </c>
      <c r="M69" s="173"/>
      <c r="P69" s="171"/>
      <c r="Q69" s="171"/>
      <c r="R69" s="171"/>
      <c r="S69" s="51"/>
      <c r="T69" s="51"/>
      <c r="U69" s="171"/>
    </row>
    <row r="70" spans="1:23" ht="30" customHeight="1" thickBot="1" x14ac:dyDescent="0.4">
      <c r="A70" s="1183"/>
      <c r="B70" s="1207"/>
      <c r="C70" s="1207"/>
      <c r="D70" s="1207"/>
      <c r="E70" s="920"/>
      <c r="F70" s="1208"/>
      <c r="G70" s="1208"/>
      <c r="H70" s="193" t="s">
        <v>2563</v>
      </c>
      <c r="I70" s="194">
        <v>0.14699999999999999</v>
      </c>
      <c r="J70" s="766" t="s">
        <v>2587</v>
      </c>
      <c r="K70" s="801">
        <f>+K26</f>
        <v>301.76629358629361</v>
      </c>
      <c r="L70" s="243" t="s">
        <v>3</v>
      </c>
      <c r="M70" s="173"/>
      <c r="P70" s="171"/>
      <c r="Q70" s="171"/>
      <c r="R70" s="171"/>
      <c r="S70" s="51"/>
      <c r="T70" s="51"/>
      <c r="U70" s="171"/>
    </row>
    <row r="71" spans="1:23" ht="30" customHeight="1" thickBot="1" x14ac:dyDescent="0.4">
      <c r="A71" s="1183"/>
      <c r="B71" s="1207"/>
      <c r="C71" s="1207"/>
      <c r="D71" s="1207"/>
      <c r="E71" s="998"/>
      <c r="F71" s="195"/>
      <c r="G71" s="187"/>
      <c r="H71" s="187"/>
      <c r="I71" s="211"/>
      <c r="J71" s="999" t="s">
        <v>2363</v>
      </c>
      <c r="K71" s="1000">
        <f>+(K68*I68)+(K69*I69)+(K70*I70)</f>
        <v>226.19397611790936</v>
      </c>
      <c r="L71" s="1001" t="s">
        <v>3</v>
      </c>
      <c r="M71" s="173"/>
      <c r="P71" s="171"/>
      <c r="Q71" s="171"/>
      <c r="R71" s="171"/>
      <c r="S71" s="51"/>
      <c r="T71" s="51"/>
      <c r="U71" s="171"/>
    </row>
    <row r="72" spans="1:23" ht="30" customHeight="1" thickBot="1" x14ac:dyDescent="0.4">
      <c r="A72" s="1209"/>
      <c r="B72" s="1209"/>
      <c r="C72" s="1209"/>
      <c r="D72" s="1209"/>
      <c r="E72" s="1209"/>
      <c r="F72" s="1209"/>
      <c r="G72" s="1209"/>
      <c r="H72" s="1209"/>
      <c r="I72" s="1209"/>
      <c r="J72" s="1209"/>
      <c r="K72" s="1209"/>
      <c r="L72" s="1210"/>
      <c r="M72" s="173"/>
      <c r="P72" s="171"/>
      <c r="Q72" s="171"/>
      <c r="R72" s="171"/>
      <c r="S72" s="51"/>
      <c r="T72" s="51"/>
      <c r="U72" s="171"/>
    </row>
    <row r="73" spans="1:23" s="208" customFormat="1" ht="45" customHeight="1" x14ac:dyDescent="0.35">
      <c r="A73" s="465" t="s">
        <v>278</v>
      </c>
      <c r="B73" s="539">
        <v>1112</v>
      </c>
      <c r="C73" s="1096" t="s">
        <v>2930</v>
      </c>
      <c r="D73" s="1096"/>
      <c r="E73" s="543" t="s">
        <v>285</v>
      </c>
      <c r="F73" s="854">
        <v>4933</v>
      </c>
      <c r="G73" s="541" t="s">
        <v>280</v>
      </c>
      <c r="H73" s="542" t="s">
        <v>3</v>
      </c>
      <c r="I73" s="541" t="s">
        <v>281</v>
      </c>
      <c r="J73" s="1098" t="s">
        <v>3195</v>
      </c>
      <c r="K73" s="1098"/>
      <c r="L73" s="1187"/>
      <c r="M73" s="364"/>
      <c r="O73" s="205"/>
      <c r="P73" s="75"/>
      <c r="Q73" s="75"/>
      <c r="R73" s="75"/>
      <c r="S73" s="75"/>
      <c r="T73" s="75"/>
      <c r="U73" s="75"/>
    </row>
    <row r="74" spans="1:23" ht="30" customHeight="1" x14ac:dyDescent="0.35">
      <c r="A74" s="545"/>
      <c r="B74" s="1021" t="s">
        <v>2921</v>
      </c>
      <c r="C74" s="1021"/>
      <c r="D74" s="1021"/>
      <c r="E74" s="509" t="s">
        <v>290</v>
      </c>
      <c r="F74" s="509" t="s">
        <v>322</v>
      </c>
      <c r="G74" s="1034" t="s">
        <v>323</v>
      </c>
      <c r="H74" s="1034"/>
      <c r="I74" s="509" t="s">
        <v>327</v>
      </c>
      <c r="J74" s="509" t="s">
        <v>419</v>
      </c>
      <c r="K74" s="1012" t="s">
        <v>2356</v>
      </c>
      <c r="L74" s="1023"/>
      <c r="M74" s="173"/>
      <c r="N74" s="34"/>
      <c r="R74" s="171"/>
      <c r="S74" s="171"/>
      <c r="T74" s="171"/>
      <c r="U74" s="51"/>
      <c r="V74" s="51"/>
      <c r="W74" s="171"/>
    </row>
    <row r="75" spans="1:23" ht="30" customHeight="1" thickBot="1" x14ac:dyDescent="0.4">
      <c r="A75" s="546"/>
      <c r="B75" s="1014">
        <v>159.75</v>
      </c>
      <c r="C75" s="1014"/>
      <c r="D75" s="1014"/>
      <c r="E75" s="547"/>
      <c r="F75" s="548"/>
      <c r="G75" s="1015"/>
      <c r="H75" s="1015"/>
      <c r="I75" s="549"/>
      <c r="J75" s="550">
        <v>1.0202</v>
      </c>
      <c r="K75" s="551">
        <f>B75*J75</f>
        <v>162.97694999999999</v>
      </c>
      <c r="L75" s="552" t="s">
        <v>3</v>
      </c>
      <c r="M75" s="173"/>
      <c r="N75" s="419"/>
      <c r="R75" s="171"/>
      <c r="S75" s="171"/>
      <c r="T75" s="171"/>
      <c r="U75" s="51"/>
      <c r="V75" s="51"/>
      <c r="W75" s="171"/>
    </row>
    <row r="76" spans="1:23" ht="30" customHeight="1" thickBot="1" x14ac:dyDescent="0.4">
      <c r="A76" s="1086"/>
      <c r="B76" s="1086"/>
      <c r="C76" s="1086"/>
      <c r="D76" s="1086"/>
      <c r="E76" s="1086"/>
      <c r="F76" s="1086"/>
      <c r="G76" s="1086"/>
      <c r="H76" s="1086"/>
      <c r="I76" s="1086"/>
      <c r="J76" s="1086"/>
      <c r="K76" s="1086"/>
      <c r="L76" s="1103"/>
      <c r="M76" s="173"/>
      <c r="N76" s="419"/>
      <c r="R76" s="171"/>
      <c r="S76" s="171"/>
      <c r="T76" s="171"/>
      <c r="U76" s="51"/>
      <c r="V76" s="51"/>
      <c r="W76" s="171"/>
    </row>
    <row r="77" spans="1:23" ht="30" customHeight="1" x14ac:dyDescent="0.35">
      <c r="A77" s="465" t="s">
        <v>278</v>
      </c>
      <c r="B77" s="539">
        <v>1113</v>
      </c>
      <c r="C77" s="1017" t="s">
        <v>2567</v>
      </c>
      <c r="D77" s="1017"/>
      <c r="E77" s="541" t="s">
        <v>280</v>
      </c>
      <c r="F77" s="542" t="s">
        <v>3</v>
      </c>
      <c r="G77" s="554" t="s">
        <v>279</v>
      </c>
      <c r="H77" s="555">
        <v>33333</v>
      </c>
      <c r="I77" s="541" t="s">
        <v>281</v>
      </c>
      <c r="J77" s="1098" t="s">
        <v>2523</v>
      </c>
      <c r="K77" s="1098"/>
      <c r="L77" s="1187"/>
      <c r="M77" s="173"/>
      <c r="N77" s="419"/>
      <c r="R77" s="171"/>
      <c r="S77" s="171"/>
      <c r="T77" s="171"/>
      <c r="U77" s="51"/>
      <c r="V77" s="51"/>
      <c r="W77" s="171"/>
    </row>
    <row r="78" spans="1:23" ht="30" customHeight="1" x14ac:dyDescent="0.35">
      <c r="A78" s="545" t="s">
        <v>2513</v>
      </c>
      <c r="B78" s="1051" t="s">
        <v>282</v>
      </c>
      <c r="C78" s="1051"/>
      <c r="D78" s="1051"/>
      <c r="E78" s="509" t="s">
        <v>2514</v>
      </c>
      <c r="F78" s="509" t="s">
        <v>2</v>
      </c>
      <c r="G78" s="530" t="s">
        <v>2515</v>
      </c>
      <c r="H78" s="530" t="s">
        <v>2516</v>
      </c>
      <c r="I78" s="530" t="s">
        <v>2517</v>
      </c>
      <c r="J78" s="684" t="s">
        <v>2518</v>
      </c>
      <c r="K78" s="684" t="s">
        <v>2519</v>
      </c>
      <c r="L78" s="744"/>
      <c r="M78" s="173"/>
      <c r="N78" s="419"/>
      <c r="R78" s="171"/>
      <c r="S78" s="171"/>
      <c r="T78" s="171"/>
      <c r="U78" s="51"/>
      <c r="V78" s="51"/>
      <c r="W78" s="171"/>
    </row>
    <row r="79" spans="1:23" ht="30" customHeight="1" x14ac:dyDescent="0.35">
      <c r="A79" s="546" t="s">
        <v>2524</v>
      </c>
      <c r="B79" s="1057" t="s">
        <v>2525</v>
      </c>
      <c r="C79" s="1057"/>
      <c r="D79" s="1057"/>
      <c r="E79" s="772">
        <v>33333</v>
      </c>
      <c r="F79" s="436" t="s">
        <v>3</v>
      </c>
      <c r="G79" s="988" t="s">
        <v>2756</v>
      </c>
      <c r="H79" s="988" t="s">
        <v>2764</v>
      </c>
      <c r="I79" s="988" t="s">
        <v>2771</v>
      </c>
      <c r="J79" s="696">
        <v>20304.560000000001</v>
      </c>
      <c r="K79" s="988" t="s">
        <v>2777</v>
      </c>
      <c r="L79" s="989" t="s">
        <v>3</v>
      </c>
      <c r="M79" s="173"/>
      <c r="N79" s="419"/>
      <c r="R79" s="171"/>
      <c r="S79" s="171"/>
      <c r="T79" s="171"/>
      <c r="U79" s="51"/>
      <c r="V79" s="51"/>
      <c r="W79" s="171"/>
    </row>
    <row r="80" spans="1:23" ht="30" customHeight="1" x14ac:dyDescent="0.35">
      <c r="A80" s="546" t="s">
        <v>2526</v>
      </c>
      <c r="B80" s="1057" t="s">
        <v>2527</v>
      </c>
      <c r="C80" s="1057"/>
      <c r="D80" s="1057"/>
      <c r="E80" s="772">
        <v>11111</v>
      </c>
      <c r="F80" s="436" t="s">
        <v>283</v>
      </c>
      <c r="G80" s="988" t="s">
        <v>2757</v>
      </c>
      <c r="H80" s="988" t="s">
        <v>2765</v>
      </c>
      <c r="I80" s="988" t="s">
        <v>2772</v>
      </c>
      <c r="J80" s="696">
        <v>613665.61</v>
      </c>
      <c r="K80" s="988" t="s">
        <v>2778</v>
      </c>
      <c r="L80" s="989" t="s">
        <v>283</v>
      </c>
      <c r="M80" s="173"/>
      <c r="N80" s="419"/>
      <c r="O80" s="425"/>
      <c r="R80" s="171"/>
      <c r="S80" s="171"/>
      <c r="T80" s="171"/>
      <c r="U80" s="51"/>
      <c r="V80" s="51"/>
      <c r="W80" s="171"/>
    </row>
    <row r="81" spans="1:23" ht="30" customHeight="1" x14ac:dyDescent="0.35">
      <c r="A81" s="546" t="s">
        <v>2528</v>
      </c>
      <c r="B81" s="1057" t="s">
        <v>2529</v>
      </c>
      <c r="C81" s="1057"/>
      <c r="D81" s="1057"/>
      <c r="E81" s="772">
        <v>11609.88</v>
      </c>
      <c r="F81" s="436" t="s">
        <v>283</v>
      </c>
      <c r="G81" s="988" t="s">
        <v>2758</v>
      </c>
      <c r="H81" s="988" t="s">
        <v>2756</v>
      </c>
      <c r="I81" s="988" t="s">
        <v>2756</v>
      </c>
      <c r="J81" s="696">
        <v>337055.09</v>
      </c>
      <c r="K81" s="988" t="s">
        <v>2758</v>
      </c>
      <c r="L81" s="989" t="s">
        <v>283</v>
      </c>
      <c r="M81" s="173"/>
      <c r="N81" s="419"/>
      <c r="R81" s="171"/>
      <c r="S81" s="171"/>
      <c r="T81" s="171"/>
      <c r="U81" s="51"/>
      <c r="V81" s="51"/>
      <c r="W81" s="171"/>
    </row>
    <row r="82" spans="1:23" ht="30" customHeight="1" x14ac:dyDescent="0.35">
      <c r="A82" s="546" t="s">
        <v>2530</v>
      </c>
      <c r="B82" s="1057" t="s">
        <v>2531</v>
      </c>
      <c r="C82" s="1057"/>
      <c r="D82" s="1057"/>
      <c r="E82" s="772">
        <v>33333</v>
      </c>
      <c r="F82" s="436" t="s">
        <v>3</v>
      </c>
      <c r="G82" s="988" t="s">
        <v>2759</v>
      </c>
      <c r="H82" s="988" t="s">
        <v>2766</v>
      </c>
      <c r="I82" s="988" t="s">
        <v>2773</v>
      </c>
      <c r="J82" s="696">
        <v>77703.98</v>
      </c>
      <c r="K82" s="988" t="s">
        <v>2779</v>
      </c>
      <c r="L82" s="989" t="s">
        <v>3</v>
      </c>
      <c r="M82" s="173"/>
      <c r="N82" s="419"/>
      <c r="R82" s="171"/>
      <c r="S82" s="171"/>
      <c r="T82" s="171"/>
      <c r="U82" s="51"/>
      <c r="V82" s="51"/>
      <c r="W82" s="171"/>
    </row>
    <row r="83" spans="1:23" ht="30" customHeight="1" x14ac:dyDescent="0.35">
      <c r="A83" s="546" t="s">
        <v>2565</v>
      </c>
      <c r="B83" s="1057" t="s">
        <v>2568</v>
      </c>
      <c r="C83" s="1057"/>
      <c r="D83" s="1057"/>
      <c r="E83" s="772">
        <v>7286</v>
      </c>
      <c r="F83" s="436" t="s">
        <v>2566</v>
      </c>
      <c r="G83" s="988" t="s">
        <v>2760</v>
      </c>
      <c r="H83" s="988" t="s">
        <v>2767</v>
      </c>
      <c r="I83" s="988" t="s">
        <v>2774</v>
      </c>
      <c r="J83" s="696">
        <v>628550.73</v>
      </c>
      <c r="K83" s="988" t="s">
        <v>2780</v>
      </c>
      <c r="L83" s="989" t="s">
        <v>2566</v>
      </c>
      <c r="M83" s="173"/>
      <c r="N83" s="419"/>
      <c r="R83" s="171"/>
      <c r="S83" s="171"/>
      <c r="T83" s="171"/>
      <c r="U83" s="51"/>
      <c r="V83" s="51"/>
      <c r="W83" s="171"/>
    </row>
    <row r="84" spans="1:23" ht="30" customHeight="1" x14ac:dyDescent="0.35">
      <c r="A84" s="546" t="s">
        <v>2556</v>
      </c>
      <c r="B84" s="1057" t="s">
        <v>2569</v>
      </c>
      <c r="C84" s="1057"/>
      <c r="D84" s="1057"/>
      <c r="E84" s="772">
        <v>12133</v>
      </c>
      <c r="F84" s="436" t="s">
        <v>3</v>
      </c>
      <c r="G84" s="988" t="s">
        <v>2761</v>
      </c>
      <c r="H84" s="988" t="s">
        <v>2768</v>
      </c>
      <c r="I84" s="988" t="s">
        <v>2775</v>
      </c>
      <c r="J84" s="696">
        <v>273401.56</v>
      </c>
      <c r="K84" s="988" t="s">
        <v>2781</v>
      </c>
      <c r="L84" s="989" t="s">
        <v>3</v>
      </c>
      <c r="M84" s="173"/>
      <c r="N84" s="64"/>
      <c r="O84" s="212"/>
      <c r="R84" s="171"/>
      <c r="S84" s="171"/>
      <c r="T84" s="171"/>
      <c r="U84" s="51"/>
      <c r="V84" s="51"/>
      <c r="W84" s="171"/>
    </row>
    <row r="85" spans="1:23" ht="30" customHeight="1" x14ac:dyDescent="0.35">
      <c r="A85" s="546" t="s">
        <v>2536</v>
      </c>
      <c r="B85" s="1057" t="s">
        <v>2537</v>
      </c>
      <c r="C85" s="1057"/>
      <c r="D85" s="1057"/>
      <c r="E85" s="772">
        <v>2864.68</v>
      </c>
      <c r="F85" s="436" t="s">
        <v>283</v>
      </c>
      <c r="G85" s="988" t="s">
        <v>2762</v>
      </c>
      <c r="H85" s="988" t="s">
        <v>2756</v>
      </c>
      <c r="I85" s="988" t="s">
        <v>2756</v>
      </c>
      <c r="J85" s="696">
        <v>331820.89</v>
      </c>
      <c r="K85" s="988" t="s">
        <v>2762</v>
      </c>
      <c r="L85" s="989" t="s">
        <v>283</v>
      </c>
      <c r="M85" s="173"/>
      <c r="N85" s="419"/>
      <c r="R85" s="171"/>
      <c r="S85" s="171"/>
      <c r="T85" s="171"/>
      <c r="U85" s="51"/>
      <c r="V85" s="51"/>
      <c r="W85" s="171"/>
    </row>
    <row r="86" spans="1:23" ht="30" customHeight="1" x14ac:dyDescent="0.35">
      <c r="A86" s="546" t="s">
        <v>2538</v>
      </c>
      <c r="B86" s="1057" t="s">
        <v>2539</v>
      </c>
      <c r="C86" s="1057"/>
      <c r="D86" s="1057"/>
      <c r="E86" s="772">
        <v>2864.68</v>
      </c>
      <c r="F86" s="436" t="s">
        <v>283</v>
      </c>
      <c r="G86" s="988" t="s">
        <v>2756</v>
      </c>
      <c r="H86" s="988" t="s">
        <v>2769</v>
      </c>
      <c r="I86" s="988" t="s">
        <v>2776</v>
      </c>
      <c r="J86" s="696">
        <v>5233.3599999999997</v>
      </c>
      <c r="K86" s="988" t="s">
        <v>2782</v>
      </c>
      <c r="L86" s="989" t="s">
        <v>283</v>
      </c>
      <c r="M86" s="173"/>
      <c r="N86" s="419"/>
      <c r="R86" s="171"/>
      <c r="S86" s="171"/>
      <c r="T86" s="171"/>
      <c r="U86" s="51"/>
      <c r="V86" s="51"/>
      <c r="W86" s="171"/>
    </row>
    <row r="87" spans="1:23" ht="30" customHeight="1" x14ac:dyDescent="0.35">
      <c r="A87" s="546" t="s">
        <v>2544</v>
      </c>
      <c r="B87" s="1057" t="s">
        <v>2564</v>
      </c>
      <c r="C87" s="1057"/>
      <c r="D87" s="1057"/>
      <c r="E87" s="772">
        <v>2865</v>
      </c>
      <c r="F87" s="436" t="s">
        <v>6</v>
      </c>
      <c r="G87" s="988" t="s">
        <v>2763</v>
      </c>
      <c r="H87" s="988" t="s">
        <v>2770</v>
      </c>
      <c r="I87" s="988" t="s">
        <v>2756</v>
      </c>
      <c r="J87" s="696">
        <v>43638.080000000002</v>
      </c>
      <c r="K87" s="988" t="s">
        <v>2783</v>
      </c>
      <c r="L87" s="989" t="s">
        <v>6</v>
      </c>
      <c r="M87" s="173"/>
      <c r="P87" s="171"/>
      <c r="Q87" s="171"/>
      <c r="R87" s="171"/>
      <c r="S87" s="51"/>
      <c r="T87" s="51"/>
      <c r="U87" s="171"/>
    </row>
    <row r="88" spans="1:23" s="208" customFormat="1" ht="30" customHeight="1" x14ac:dyDescent="0.35">
      <c r="A88" s="1183" t="s">
        <v>2755</v>
      </c>
      <c r="B88" s="1184"/>
      <c r="C88" s="1184"/>
      <c r="D88" s="1184"/>
      <c r="E88" s="996"/>
      <c r="F88" s="436"/>
      <c r="G88" s="458"/>
      <c r="H88" s="458"/>
      <c r="I88" s="458"/>
      <c r="J88" s="1002">
        <f>SUM(J79:J87)</f>
        <v>2331373.86</v>
      </c>
      <c r="K88" s="995">
        <v>3898860.0772961783</v>
      </c>
      <c r="L88" s="989" t="s">
        <v>284</v>
      </c>
      <c r="O88" s="205"/>
      <c r="P88" s="75"/>
      <c r="Q88" s="75"/>
      <c r="R88" s="75"/>
      <c r="S88" s="75"/>
      <c r="T88" s="75"/>
      <c r="U88" s="75"/>
    </row>
    <row r="89" spans="1:23" ht="30" customHeight="1" x14ac:dyDescent="0.35">
      <c r="A89" s="1183"/>
      <c r="B89" s="1184"/>
      <c r="C89" s="1184"/>
      <c r="D89" s="1184"/>
      <c r="E89" s="458"/>
      <c r="F89" s="458"/>
      <c r="G89" s="16"/>
      <c r="H89" s="197"/>
      <c r="I89" s="163"/>
      <c r="J89" s="196" t="s">
        <v>2356</v>
      </c>
      <c r="K89" s="198">
        <f>K88/H77</f>
        <v>116.96697198860524</v>
      </c>
      <c r="L89" s="698" t="s">
        <v>3</v>
      </c>
      <c r="M89" s="173"/>
      <c r="N89" s="34"/>
      <c r="R89" s="171"/>
      <c r="S89" s="171"/>
      <c r="T89" s="171"/>
      <c r="U89" s="51"/>
      <c r="V89" s="51"/>
      <c r="W89" s="171"/>
    </row>
    <row r="90" spans="1:23" ht="30" customHeight="1" thickBot="1" x14ac:dyDescent="0.4">
      <c r="A90" s="1183"/>
      <c r="B90" s="1184"/>
      <c r="C90" s="1184"/>
      <c r="D90" s="1184"/>
      <c r="E90" s="458"/>
      <c r="F90" s="458"/>
      <c r="G90" s="458"/>
      <c r="H90" s="458"/>
      <c r="I90" s="458"/>
      <c r="J90" s="696"/>
      <c r="K90" s="696"/>
      <c r="L90" s="698"/>
      <c r="M90" s="173"/>
      <c r="N90" s="419"/>
      <c r="R90" s="171"/>
      <c r="S90" s="171"/>
      <c r="T90" s="171"/>
      <c r="U90" s="51"/>
      <c r="V90" s="51"/>
      <c r="W90" s="171"/>
    </row>
    <row r="91" spans="1:23" ht="30" customHeight="1" thickBot="1" x14ac:dyDescent="0.4">
      <c r="A91" s="1086"/>
      <c r="B91" s="1086"/>
      <c r="C91" s="1086"/>
      <c r="D91" s="1086"/>
      <c r="E91" s="1086"/>
      <c r="F91" s="1086"/>
      <c r="G91" s="1086"/>
      <c r="H91" s="1086"/>
      <c r="I91" s="1086"/>
      <c r="J91" s="1086"/>
      <c r="K91" s="1086"/>
      <c r="L91" s="1103"/>
      <c r="M91" s="364"/>
      <c r="N91" s="419"/>
      <c r="R91" s="171"/>
      <c r="S91" s="171"/>
      <c r="T91" s="171"/>
      <c r="U91" s="51"/>
      <c r="V91" s="51"/>
      <c r="W91" s="171"/>
    </row>
    <row r="92" spans="1:23" ht="30" customHeight="1" x14ac:dyDescent="0.35">
      <c r="A92" s="465" t="s">
        <v>278</v>
      </c>
      <c r="B92" s="539">
        <v>1114</v>
      </c>
      <c r="C92" s="1017" t="s">
        <v>2570</v>
      </c>
      <c r="D92" s="1017"/>
      <c r="E92" s="541" t="s">
        <v>280</v>
      </c>
      <c r="F92" s="542" t="s">
        <v>3</v>
      </c>
      <c r="G92" s="543" t="s">
        <v>285</v>
      </c>
      <c r="H92" s="555">
        <v>181020</v>
      </c>
      <c r="I92" s="541" t="s">
        <v>281</v>
      </c>
      <c r="J92" s="1098" t="s">
        <v>2911</v>
      </c>
      <c r="K92" s="1098"/>
      <c r="L92" s="1187"/>
      <c r="M92" s="364"/>
      <c r="N92" s="419"/>
      <c r="R92" s="171"/>
      <c r="S92" s="171"/>
      <c r="T92" s="171"/>
      <c r="U92" s="51"/>
      <c r="V92" s="51"/>
      <c r="W92" s="171"/>
    </row>
    <row r="93" spans="1:23" ht="30" customHeight="1" x14ac:dyDescent="0.35">
      <c r="A93" s="545"/>
      <c r="B93" s="1021" t="s">
        <v>2921</v>
      </c>
      <c r="C93" s="1021"/>
      <c r="D93" s="1021"/>
      <c r="E93" s="509" t="s">
        <v>290</v>
      </c>
      <c r="F93" s="509" t="s">
        <v>322</v>
      </c>
      <c r="G93" s="1034" t="s">
        <v>323</v>
      </c>
      <c r="H93" s="1034"/>
      <c r="I93" s="509" t="s">
        <v>327</v>
      </c>
      <c r="J93" s="509" t="s">
        <v>419</v>
      </c>
      <c r="K93" s="1012" t="s">
        <v>2356</v>
      </c>
      <c r="L93" s="1023"/>
      <c r="M93" s="173"/>
      <c r="N93" s="419"/>
      <c r="R93" s="171"/>
      <c r="S93" s="171"/>
      <c r="T93" s="171"/>
      <c r="U93" s="51"/>
      <c r="V93" s="51"/>
      <c r="W93" s="171"/>
    </row>
    <row r="94" spans="1:23" ht="30" customHeight="1" x14ac:dyDescent="0.35">
      <c r="A94" s="546"/>
      <c r="B94" s="1014">
        <v>32.340000000000003</v>
      </c>
      <c r="C94" s="1014"/>
      <c r="D94" s="1014"/>
      <c r="E94" s="547"/>
      <c r="F94" s="548"/>
      <c r="G94" s="1015"/>
      <c r="H94" s="1015"/>
      <c r="I94" s="549"/>
      <c r="J94" s="550">
        <v>1.0202</v>
      </c>
      <c r="K94" s="551">
        <f>B94*J94</f>
        <v>32.993268</v>
      </c>
      <c r="L94" s="552" t="s">
        <v>3</v>
      </c>
      <c r="M94" s="173"/>
      <c r="P94" s="171"/>
      <c r="Q94" s="171"/>
      <c r="R94" s="171"/>
      <c r="S94" s="51"/>
      <c r="T94" s="51"/>
      <c r="U94" s="171"/>
    </row>
    <row r="95" spans="1:23" ht="30" customHeight="1" thickBot="1" x14ac:dyDescent="0.4">
      <c r="A95" s="1225"/>
      <c r="B95" s="1226"/>
      <c r="C95" s="1226"/>
      <c r="D95" s="1226"/>
      <c r="E95" s="1226"/>
      <c r="F95" s="1226"/>
      <c r="G95" s="1226"/>
      <c r="H95" s="1226"/>
      <c r="I95" s="1226"/>
      <c r="J95" s="1226"/>
      <c r="K95" s="1226"/>
      <c r="L95" s="1227"/>
      <c r="M95" s="173"/>
    </row>
    <row r="96" spans="1:23" ht="30" customHeight="1" x14ac:dyDescent="0.35">
      <c r="A96" s="465" t="s">
        <v>278</v>
      </c>
      <c r="B96" s="539">
        <v>1115</v>
      </c>
      <c r="C96" s="1060" t="s">
        <v>2701</v>
      </c>
      <c r="D96" s="1060"/>
      <c r="E96" s="541" t="s">
        <v>280</v>
      </c>
      <c r="F96" s="542" t="s">
        <v>3</v>
      </c>
      <c r="G96" s="554" t="s">
        <v>279</v>
      </c>
      <c r="H96" s="555">
        <v>11416</v>
      </c>
      <c r="I96" s="541" t="s">
        <v>281</v>
      </c>
      <c r="J96" s="1098" t="s">
        <v>2932</v>
      </c>
      <c r="K96" s="1098"/>
      <c r="L96" s="1187"/>
      <c r="M96" s="364"/>
    </row>
    <row r="97" spans="1:21" ht="30" customHeight="1" x14ac:dyDescent="0.35">
      <c r="A97" s="545"/>
      <c r="B97" s="1021" t="s">
        <v>2921</v>
      </c>
      <c r="C97" s="1021"/>
      <c r="D97" s="1021"/>
      <c r="E97" s="509" t="s">
        <v>290</v>
      </c>
      <c r="F97" s="509" t="s">
        <v>322</v>
      </c>
      <c r="G97" s="1034" t="s">
        <v>323</v>
      </c>
      <c r="H97" s="1034"/>
      <c r="I97" s="509" t="s">
        <v>327</v>
      </c>
      <c r="J97" s="509" t="s">
        <v>419</v>
      </c>
      <c r="K97" s="1012" t="s">
        <v>2356</v>
      </c>
      <c r="L97" s="1023"/>
      <c r="M97" s="173"/>
    </row>
    <row r="98" spans="1:21" ht="30" customHeight="1" x14ac:dyDescent="0.35">
      <c r="A98" s="546"/>
      <c r="B98" s="1014">
        <v>150.22</v>
      </c>
      <c r="C98" s="1014"/>
      <c r="D98" s="1014"/>
      <c r="E98" s="547"/>
      <c r="F98" s="548"/>
      <c r="G98" s="1015"/>
      <c r="H98" s="1015"/>
      <c r="I98" s="549"/>
      <c r="J98" s="550">
        <v>1.0202</v>
      </c>
      <c r="K98" s="551">
        <f>B98*J98</f>
        <v>153.25444400000001</v>
      </c>
      <c r="L98" s="552" t="s">
        <v>3</v>
      </c>
      <c r="M98" s="173"/>
    </row>
    <row r="99" spans="1:21" ht="30" customHeight="1" x14ac:dyDescent="0.35">
      <c r="A99" s="736"/>
      <c r="B99" s="494"/>
      <c r="C99" s="494"/>
      <c r="D99" s="494"/>
      <c r="E99" s="494"/>
      <c r="F99" s="494"/>
      <c r="G99" s="494"/>
      <c r="H99" s="494"/>
      <c r="I99" s="494"/>
      <c r="J99" s="494"/>
      <c r="K99" s="494"/>
      <c r="L99" s="1003"/>
      <c r="M99" s="173"/>
    </row>
    <row r="100" spans="1:21" ht="30" customHeight="1" x14ac:dyDescent="0.35">
      <c r="A100" s="465" t="s">
        <v>278</v>
      </c>
      <c r="B100" s="539">
        <v>1121</v>
      </c>
      <c r="C100" s="1017" t="s">
        <v>2571</v>
      </c>
      <c r="D100" s="1017"/>
      <c r="E100" s="541" t="s">
        <v>280</v>
      </c>
      <c r="F100" s="542" t="s">
        <v>3</v>
      </c>
      <c r="G100" s="554" t="s">
        <v>279</v>
      </c>
      <c r="H100" s="555">
        <v>32314</v>
      </c>
      <c r="I100" s="541" t="s">
        <v>281</v>
      </c>
      <c r="J100" s="1098" t="s">
        <v>2911</v>
      </c>
      <c r="K100" s="1098"/>
      <c r="L100" s="1187"/>
      <c r="M100" s="364"/>
    </row>
    <row r="101" spans="1:21" ht="30" customHeight="1" x14ac:dyDescent="0.35">
      <c r="A101" s="545"/>
      <c r="B101" s="1021" t="s">
        <v>2921</v>
      </c>
      <c r="C101" s="1021"/>
      <c r="D101" s="1021"/>
      <c r="E101" s="509" t="s">
        <v>290</v>
      </c>
      <c r="F101" s="509" t="s">
        <v>322</v>
      </c>
      <c r="G101" s="1034" t="s">
        <v>323</v>
      </c>
      <c r="H101" s="1034"/>
      <c r="I101" s="509" t="s">
        <v>327</v>
      </c>
      <c r="J101" s="509" t="s">
        <v>419</v>
      </c>
      <c r="K101" s="1012" t="s">
        <v>2356</v>
      </c>
      <c r="L101" s="1023"/>
      <c r="M101" s="173"/>
    </row>
    <row r="102" spans="1:21" ht="30" customHeight="1" thickBot="1" x14ac:dyDescent="0.4">
      <c r="A102" s="546"/>
      <c r="B102" s="1014">
        <v>128.47</v>
      </c>
      <c r="C102" s="1014"/>
      <c r="D102" s="1014"/>
      <c r="E102" s="547"/>
      <c r="F102" s="548"/>
      <c r="G102" s="1015"/>
      <c r="H102" s="1015"/>
      <c r="I102" s="549"/>
      <c r="J102" s="550">
        <v>1.0202</v>
      </c>
      <c r="K102" s="551">
        <f>B102*J102</f>
        <v>131.06509399999999</v>
      </c>
      <c r="L102" s="552" t="s">
        <v>3</v>
      </c>
      <c r="M102" s="173"/>
    </row>
    <row r="103" spans="1:21" ht="30" customHeight="1" thickBot="1" x14ac:dyDescent="0.4">
      <c r="A103" s="1086"/>
      <c r="B103" s="1086"/>
      <c r="C103" s="1086"/>
      <c r="D103" s="1086"/>
      <c r="E103" s="1086"/>
      <c r="F103" s="1086"/>
      <c r="G103" s="1086"/>
      <c r="H103" s="1086"/>
      <c r="I103" s="1086"/>
      <c r="J103" s="1086"/>
      <c r="K103" s="1086"/>
      <c r="L103" s="1103"/>
      <c r="M103" s="173"/>
      <c r="P103" s="171"/>
      <c r="Q103" s="171"/>
      <c r="R103" s="171"/>
      <c r="S103" s="51"/>
      <c r="T103" s="51"/>
      <c r="U103" s="171"/>
    </row>
    <row r="104" spans="1:21" ht="30" customHeight="1" thickBot="1" x14ac:dyDescent="0.4">
      <c r="A104" s="465" t="s">
        <v>278</v>
      </c>
      <c r="B104" s="539">
        <v>1122</v>
      </c>
      <c r="C104" s="1017" t="s">
        <v>2784</v>
      </c>
      <c r="D104" s="1017"/>
      <c r="E104" s="541" t="s">
        <v>280</v>
      </c>
      <c r="F104" s="542" t="s">
        <v>3</v>
      </c>
      <c r="G104" s="553" t="s">
        <v>279</v>
      </c>
      <c r="H104" s="555">
        <v>15034</v>
      </c>
      <c r="I104" s="541" t="s">
        <v>281</v>
      </c>
      <c r="J104" s="1195" t="s">
        <v>2933</v>
      </c>
      <c r="K104" s="1195"/>
      <c r="L104" s="1196"/>
      <c r="M104" s="364"/>
      <c r="P104" s="171"/>
      <c r="Q104" s="171"/>
      <c r="R104" s="171"/>
      <c r="S104" s="51"/>
      <c r="T104" s="51"/>
      <c r="U104" s="171"/>
    </row>
    <row r="105" spans="1:21" ht="30" customHeight="1" x14ac:dyDescent="0.35">
      <c r="A105" s="545"/>
      <c r="B105" s="1021" t="s">
        <v>2921</v>
      </c>
      <c r="C105" s="1021"/>
      <c r="D105" s="1021"/>
      <c r="E105" s="509" t="s">
        <v>290</v>
      </c>
      <c r="F105" s="509" t="s">
        <v>322</v>
      </c>
      <c r="G105" s="1034" t="s">
        <v>323</v>
      </c>
      <c r="H105" s="1034"/>
      <c r="I105" s="509" t="s">
        <v>327</v>
      </c>
      <c r="J105" s="509" t="s">
        <v>419</v>
      </c>
      <c r="K105" s="1012" t="s">
        <v>2356</v>
      </c>
      <c r="L105" s="1023"/>
      <c r="M105" s="173"/>
      <c r="P105" s="171"/>
      <c r="Q105" s="171"/>
      <c r="R105" s="171"/>
      <c r="S105" s="51"/>
      <c r="T105" s="51"/>
      <c r="U105" s="171"/>
    </row>
    <row r="106" spans="1:21" s="208" customFormat="1" ht="30" customHeight="1" thickBot="1" x14ac:dyDescent="0.4">
      <c r="A106" s="546"/>
      <c r="B106" s="1014">
        <v>128.47</v>
      </c>
      <c r="C106" s="1014"/>
      <c r="D106" s="1014"/>
      <c r="E106" s="547"/>
      <c r="F106" s="548"/>
      <c r="G106" s="1015"/>
      <c r="H106" s="1015"/>
      <c r="I106" s="549"/>
      <c r="J106" s="550">
        <v>1.0202</v>
      </c>
      <c r="K106" s="551">
        <f>B106*J106</f>
        <v>131.06509399999999</v>
      </c>
      <c r="L106" s="552" t="s">
        <v>3</v>
      </c>
      <c r="M106" s="173"/>
      <c r="O106" s="205"/>
      <c r="P106" s="75"/>
      <c r="Q106" s="75"/>
      <c r="R106" s="75"/>
      <c r="S106" s="213"/>
      <c r="T106" s="213"/>
      <c r="U106" s="75"/>
    </row>
    <row r="107" spans="1:21" ht="30" customHeight="1" thickBot="1" x14ac:dyDescent="0.4">
      <c r="A107" s="1086"/>
      <c r="B107" s="1086"/>
      <c r="C107" s="1086"/>
      <c r="D107" s="1086"/>
      <c r="E107" s="1086"/>
      <c r="F107" s="1086"/>
      <c r="G107" s="1086"/>
      <c r="H107" s="1086"/>
      <c r="I107" s="1086"/>
      <c r="J107" s="1086"/>
      <c r="K107" s="1086"/>
      <c r="L107" s="1103"/>
      <c r="M107" s="173"/>
      <c r="O107" s="425"/>
      <c r="P107" s="171"/>
      <c r="Q107" s="171"/>
      <c r="R107" s="51"/>
      <c r="S107" s="51"/>
      <c r="T107" s="171"/>
    </row>
    <row r="108" spans="1:21" ht="30" customHeight="1" x14ac:dyDescent="0.35">
      <c r="A108" s="465" t="s">
        <v>278</v>
      </c>
      <c r="B108" s="539">
        <v>1131</v>
      </c>
      <c r="C108" s="1017" t="s">
        <v>2572</v>
      </c>
      <c r="D108" s="1017"/>
      <c r="E108" s="541" t="s">
        <v>280</v>
      </c>
      <c r="F108" s="542" t="s">
        <v>3</v>
      </c>
      <c r="G108" s="553" t="s">
        <v>279</v>
      </c>
      <c r="H108" s="555">
        <v>76564</v>
      </c>
      <c r="I108" s="541" t="s">
        <v>281</v>
      </c>
      <c r="J108" s="1098" t="s">
        <v>2911</v>
      </c>
      <c r="K108" s="1098"/>
      <c r="L108" s="1187"/>
      <c r="M108" s="364"/>
      <c r="O108" s="425"/>
      <c r="P108" s="171"/>
      <c r="Q108" s="171"/>
      <c r="R108" s="51"/>
      <c r="S108" s="51"/>
      <c r="T108" s="171"/>
    </row>
    <row r="109" spans="1:21" ht="30" customHeight="1" x14ac:dyDescent="0.35">
      <c r="A109" s="545"/>
      <c r="B109" s="1021" t="s">
        <v>2921</v>
      </c>
      <c r="C109" s="1021"/>
      <c r="D109" s="1021"/>
      <c r="E109" s="509" t="s">
        <v>290</v>
      </c>
      <c r="F109" s="509" t="s">
        <v>322</v>
      </c>
      <c r="G109" s="1034" t="s">
        <v>323</v>
      </c>
      <c r="H109" s="1034"/>
      <c r="I109" s="509" t="s">
        <v>327</v>
      </c>
      <c r="J109" s="509" t="s">
        <v>419</v>
      </c>
      <c r="K109" s="1012" t="s">
        <v>2356</v>
      </c>
      <c r="L109" s="1023"/>
      <c r="M109" s="173"/>
      <c r="O109" s="425"/>
      <c r="P109" s="171"/>
      <c r="Q109" s="171"/>
      <c r="R109" s="51"/>
      <c r="S109" s="51"/>
      <c r="T109" s="171"/>
    </row>
    <row r="110" spans="1:21" ht="30" customHeight="1" x14ac:dyDescent="0.35">
      <c r="A110" s="546"/>
      <c r="B110" s="1014">
        <v>150.22</v>
      </c>
      <c r="C110" s="1014"/>
      <c r="D110" s="1014"/>
      <c r="E110" s="547"/>
      <c r="F110" s="548"/>
      <c r="G110" s="1015"/>
      <c r="H110" s="1015"/>
      <c r="I110" s="549"/>
      <c r="J110" s="550">
        <v>1.0202</v>
      </c>
      <c r="K110" s="551">
        <f>B110*J110</f>
        <v>153.25444400000001</v>
      </c>
      <c r="L110" s="552" t="s">
        <v>3</v>
      </c>
      <c r="M110" s="173"/>
      <c r="O110" s="425"/>
      <c r="P110" s="171"/>
      <c r="Q110" s="171"/>
      <c r="R110" s="51"/>
      <c r="S110" s="51"/>
      <c r="T110" s="171"/>
    </row>
    <row r="111" spans="1:21" s="208" customFormat="1" ht="30" customHeight="1" x14ac:dyDescent="0.35">
      <c r="A111" s="1228"/>
      <c r="B111" s="1229"/>
      <c r="C111" s="1229"/>
      <c r="D111" s="1229"/>
      <c r="E111" s="1229"/>
      <c r="F111" s="1229"/>
      <c r="G111" s="1229"/>
      <c r="H111" s="1229"/>
      <c r="I111" s="1229"/>
      <c r="J111" s="1229"/>
      <c r="K111" s="1229"/>
      <c r="L111" s="1230"/>
      <c r="M111" s="173"/>
      <c r="O111" s="205"/>
      <c r="P111" s="75"/>
      <c r="Q111" s="75"/>
      <c r="R111" s="75"/>
      <c r="S111" s="213"/>
      <c r="T111" s="213"/>
      <c r="U111" s="75"/>
    </row>
    <row r="112" spans="1:21" ht="30" customHeight="1" x14ac:dyDescent="0.35">
      <c r="A112" s="465" t="s">
        <v>278</v>
      </c>
      <c r="B112" s="539">
        <v>1161</v>
      </c>
      <c r="C112" s="1060" t="s">
        <v>2702</v>
      </c>
      <c r="D112" s="1060"/>
      <c r="E112" s="541" t="s">
        <v>280</v>
      </c>
      <c r="F112" s="542" t="s">
        <v>3</v>
      </c>
      <c r="G112" s="554" t="s">
        <v>279</v>
      </c>
      <c r="H112" s="555">
        <v>2955</v>
      </c>
      <c r="I112" s="541" t="s">
        <v>281</v>
      </c>
      <c r="J112" s="1098" t="s">
        <v>3141</v>
      </c>
      <c r="K112" s="1098"/>
      <c r="L112" s="1187"/>
      <c r="M112" s="363"/>
      <c r="P112" s="171"/>
      <c r="Q112" s="171"/>
      <c r="R112" s="171"/>
      <c r="S112" s="51"/>
      <c r="T112" s="51"/>
      <c r="U112" s="171"/>
    </row>
    <row r="113" spans="1:23" ht="30" customHeight="1" x14ac:dyDescent="0.35">
      <c r="A113" s="545"/>
      <c r="B113" s="1021" t="s">
        <v>2921</v>
      </c>
      <c r="C113" s="1021"/>
      <c r="D113" s="1021"/>
      <c r="E113" s="509" t="s">
        <v>290</v>
      </c>
      <c r="F113" s="509" t="s">
        <v>322</v>
      </c>
      <c r="G113" s="1034" t="s">
        <v>323</v>
      </c>
      <c r="H113" s="1034"/>
      <c r="I113" s="509" t="s">
        <v>327</v>
      </c>
      <c r="J113" s="509" t="s">
        <v>419</v>
      </c>
      <c r="K113" s="1012" t="s">
        <v>2356</v>
      </c>
      <c r="L113" s="1023"/>
      <c r="M113" s="173"/>
      <c r="P113" s="171"/>
      <c r="Q113" s="171"/>
      <c r="R113" s="171"/>
      <c r="S113" s="51"/>
      <c r="T113" s="51"/>
      <c r="U113" s="171"/>
    </row>
    <row r="114" spans="1:23" ht="30" customHeight="1" x14ac:dyDescent="0.35">
      <c r="A114" s="546"/>
      <c r="B114" s="1014">
        <v>150.22</v>
      </c>
      <c r="C114" s="1014"/>
      <c r="D114" s="1014"/>
      <c r="E114" s="547"/>
      <c r="F114" s="548"/>
      <c r="G114" s="1015"/>
      <c r="H114" s="1015"/>
      <c r="I114" s="549"/>
      <c r="J114" s="550">
        <v>1.0202</v>
      </c>
      <c r="K114" s="551">
        <f>K110</f>
        <v>153.25444400000001</v>
      </c>
      <c r="L114" s="552" t="s">
        <v>3</v>
      </c>
      <c r="M114" s="363"/>
      <c r="P114" s="171"/>
      <c r="Q114" s="171"/>
      <c r="R114" s="171"/>
      <c r="S114" s="51"/>
      <c r="T114" s="51"/>
      <c r="U114" s="171"/>
    </row>
    <row r="115" spans="1:23" ht="30" customHeight="1" x14ac:dyDescent="0.35">
      <c r="A115" s="1228"/>
      <c r="B115" s="1229"/>
      <c r="C115" s="1229"/>
      <c r="D115" s="1229"/>
      <c r="E115" s="1229"/>
      <c r="F115" s="1229"/>
      <c r="G115" s="1229"/>
      <c r="H115" s="1229"/>
      <c r="I115" s="1229"/>
      <c r="J115" s="1229"/>
      <c r="K115" s="1229"/>
      <c r="L115" s="1230"/>
      <c r="M115" s="173"/>
      <c r="P115" s="171"/>
      <c r="Q115" s="171"/>
      <c r="R115" s="171"/>
      <c r="S115" s="51"/>
      <c r="T115" s="51"/>
      <c r="U115" s="171"/>
    </row>
    <row r="116" spans="1:23" ht="30" customHeight="1" x14ac:dyDescent="0.35">
      <c r="A116" s="465" t="s">
        <v>278</v>
      </c>
      <c r="B116" s="539">
        <v>1162</v>
      </c>
      <c r="C116" s="1017" t="s">
        <v>2573</v>
      </c>
      <c r="D116" s="1017"/>
      <c r="E116" s="541" t="s">
        <v>280</v>
      </c>
      <c r="F116" s="542" t="s">
        <v>3</v>
      </c>
      <c r="G116" s="543" t="s">
        <v>285</v>
      </c>
      <c r="H116" s="555">
        <v>3581</v>
      </c>
      <c r="I116" s="541" t="s">
        <v>281</v>
      </c>
      <c r="J116" s="1098" t="s">
        <v>2934</v>
      </c>
      <c r="K116" s="1098"/>
      <c r="L116" s="1187"/>
      <c r="M116" s="364"/>
      <c r="P116" s="171"/>
      <c r="Q116" s="171"/>
      <c r="R116" s="171"/>
      <c r="S116" s="51"/>
      <c r="T116" s="51"/>
      <c r="U116" s="171"/>
    </row>
    <row r="117" spans="1:23" ht="30" customHeight="1" x14ac:dyDescent="0.35">
      <c r="A117" s="545"/>
      <c r="B117" s="1021" t="s">
        <v>2921</v>
      </c>
      <c r="C117" s="1021"/>
      <c r="D117" s="1021"/>
      <c r="E117" s="509" t="s">
        <v>290</v>
      </c>
      <c r="F117" s="509" t="s">
        <v>322</v>
      </c>
      <c r="G117" s="1034" t="s">
        <v>323</v>
      </c>
      <c r="H117" s="1034"/>
      <c r="I117" s="509" t="s">
        <v>327</v>
      </c>
      <c r="J117" s="509" t="s">
        <v>419</v>
      </c>
      <c r="K117" s="1012" t="s">
        <v>2356</v>
      </c>
      <c r="L117" s="1023"/>
      <c r="M117" s="173"/>
      <c r="P117" s="171"/>
      <c r="Q117" s="171"/>
      <c r="R117" s="171"/>
      <c r="S117" s="51"/>
      <c r="T117" s="51"/>
      <c r="U117" s="171"/>
    </row>
    <row r="118" spans="1:23" ht="30" customHeight="1" x14ac:dyDescent="0.35">
      <c r="A118" s="546"/>
      <c r="B118" s="1014">
        <v>196.66</v>
      </c>
      <c r="C118" s="1014"/>
      <c r="D118" s="1014"/>
      <c r="E118" s="547"/>
      <c r="F118" s="548"/>
      <c r="G118" s="1015"/>
      <c r="H118" s="1015"/>
      <c r="I118" s="549"/>
      <c r="J118" s="550">
        <v>1.0202</v>
      </c>
      <c r="K118" s="551">
        <f>B118*J118</f>
        <v>200.632532</v>
      </c>
      <c r="L118" s="552" t="s">
        <v>3</v>
      </c>
      <c r="M118" s="173"/>
      <c r="P118" s="171"/>
      <c r="Q118" s="171"/>
      <c r="R118" s="171"/>
      <c r="S118" s="51"/>
      <c r="T118" s="51"/>
      <c r="U118" s="171"/>
    </row>
    <row r="119" spans="1:23" ht="30" customHeight="1" x14ac:dyDescent="0.35">
      <c r="A119" s="1228"/>
      <c r="B119" s="1229"/>
      <c r="C119" s="1229"/>
      <c r="D119" s="1229"/>
      <c r="E119" s="1229"/>
      <c r="F119" s="1229"/>
      <c r="G119" s="1229"/>
      <c r="H119" s="1229"/>
      <c r="I119" s="1229"/>
      <c r="J119" s="1229"/>
      <c r="K119" s="1229"/>
      <c r="L119" s="1230"/>
      <c r="M119" s="173"/>
      <c r="P119" s="171"/>
      <c r="Q119" s="171"/>
      <c r="R119" s="171"/>
      <c r="S119" s="51"/>
      <c r="T119" s="51"/>
      <c r="U119" s="171"/>
    </row>
    <row r="120" spans="1:23" ht="30" customHeight="1" x14ac:dyDescent="0.35">
      <c r="A120" s="465" t="s">
        <v>278</v>
      </c>
      <c r="B120" s="539">
        <v>1163</v>
      </c>
      <c r="C120" s="1060" t="s">
        <v>2703</v>
      </c>
      <c r="D120" s="1060"/>
      <c r="E120" s="541" t="s">
        <v>280</v>
      </c>
      <c r="F120" s="542" t="s">
        <v>3</v>
      </c>
      <c r="G120" s="543" t="s">
        <v>285</v>
      </c>
      <c r="H120" s="555">
        <v>1911</v>
      </c>
      <c r="I120" s="541" t="s">
        <v>281</v>
      </c>
      <c r="J120" s="1098" t="s">
        <v>2935</v>
      </c>
      <c r="K120" s="1098"/>
      <c r="L120" s="1187"/>
      <c r="M120" s="364"/>
      <c r="P120" s="171"/>
      <c r="Q120" s="171"/>
      <c r="R120" s="171"/>
      <c r="S120" s="51"/>
      <c r="T120" s="51"/>
      <c r="U120" s="171"/>
    </row>
    <row r="121" spans="1:23" ht="30" customHeight="1" x14ac:dyDescent="0.35">
      <c r="A121" s="545"/>
      <c r="B121" s="1021" t="s">
        <v>2921</v>
      </c>
      <c r="C121" s="1021"/>
      <c r="D121" s="1021"/>
      <c r="E121" s="509" t="s">
        <v>290</v>
      </c>
      <c r="F121" s="509" t="s">
        <v>322</v>
      </c>
      <c r="G121" s="1034" t="s">
        <v>323</v>
      </c>
      <c r="H121" s="1034"/>
      <c r="I121" s="509" t="s">
        <v>327</v>
      </c>
      <c r="J121" s="509" t="s">
        <v>419</v>
      </c>
      <c r="K121" s="1012" t="s">
        <v>2356</v>
      </c>
      <c r="L121" s="1023"/>
      <c r="M121" s="173"/>
      <c r="P121" s="171"/>
      <c r="Q121" s="171"/>
      <c r="R121" s="171"/>
      <c r="S121" s="51"/>
      <c r="T121" s="51"/>
      <c r="U121" s="171"/>
    </row>
    <row r="122" spans="1:23" ht="30" customHeight="1" thickBot="1" x14ac:dyDescent="0.4">
      <c r="A122" s="546"/>
      <c r="B122" s="1014">
        <v>150.22</v>
      </c>
      <c r="C122" s="1014"/>
      <c r="D122" s="1014"/>
      <c r="E122" s="547"/>
      <c r="F122" s="548"/>
      <c r="G122" s="1015"/>
      <c r="H122" s="1015"/>
      <c r="I122" s="549"/>
      <c r="J122" s="550">
        <v>1.0202</v>
      </c>
      <c r="K122" s="551">
        <f>B122*J122</f>
        <v>153.25444400000001</v>
      </c>
      <c r="L122" s="552" t="s">
        <v>3</v>
      </c>
      <c r="M122" s="173"/>
      <c r="P122" s="171"/>
      <c r="Q122" s="171"/>
      <c r="R122" s="171"/>
      <c r="S122" s="51"/>
      <c r="T122" s="51"/>
      <c r="U122" s="171"/>
    </row>
    <row r="123" spans="1:23" ht="30" customHeight="1" thickBot="1" x14ac:dyDescent="0.4">
      <c r="A123" s="1086"/>
      <c r="B123" s="1086"/>
      <c r="C123" s="1086"/>
      <c r="D123" s="1086"/>
      <c r="E123" s="1086"/>
      <c r="F123" s="1086"/>
      <c r="G123" s="1086"/>
      <c r="H123" s="1086"/>
      <c r="I123" s="1086"/>
      <c r="J123" s="1086"/>
      <c r="K123" s="1086"/>
      <c r="L123" s="1103"/>
      <c r="M123" s="173"/>
      <c r="P123" s="171"/>
      <c r="Q123" s="171"/>
      <c r="R123" s="171"/>
      <c r="S123" s="51"/>
      <c r="T123" s="51"/>
      <c r="U123" s="171"/>
    </row>
    <row r="124" spans="1:23" ht="30" customHeight="1" x14ac:dyDescent="0.35">
      <c r="A124" s="465" t="s">
        <v>278</v>
      </c>
      <c r="B124" s="539">
        <v>1164</v>
      </c>
      <c r="C124" s="1387" t="s">
        <v>2936</v>
      </c>
      <c r="D124" s="1387"/>
      <c r="E124" s="541" t="s">
        <v>280</v>
      </c>
      <c r="F124" s="542" t="s">
        <v>3</v>
      </c>
      <c r="G124" s="543" t="s">
        <v>285</v>
      </c>
      <c r="H124" s="854">
        <v>5594</v>
      </c>
      <c r="I124" s="541" t="s">
        <v>281</v>
      </c>
      <c r="J124" s="1019" t="s">
        <v>2937</v>
      </c>
      <c r="K124" s="1019"/>
      <c r="L124" s="1020"/>
      <c r="M124" s="364"/>
      <c r="P124" s="171"/>
      <c r="Q124" s="171"/>
      <c r="R124" s="171"/>
      <c r="S124" s="51"/>
      <c r="T124" s="51"/>
      <c r="U124" s="171"/>
    </row>
    <row r="125" spans="1:23" ht="30" customHeight="1" x14ac:dyDescent="0.35">
      <c r="A125" s="545"/>
      <c r="B125" s="1021" t="s">
        <v>2921</v>
      </c>
      <c r="C125" s="1021"/>
      <c r="D125" s="1021"/>
      <c r="E125" s="509" t="s">
        <v>290</v>
      </c>
      <c r="F125" s="509" t="s">
        <v>322</v>
      </c>
      <c r="G125" s="1034" t="s">
        <v>323</v>
      </c>
      <c r="H125" s="1034"/>
      <c r="I125" s="509" t="s">
        <v>327</v>
      </c>
      <c r="J125" s="509" t="s">
        <v>419</v>
      </c>
      <c r="K125" s="1012" t="s">
        <v>2356</v>
      </c>
      <c r="L125" s="1023"/>
      <c r="M125" s="173"/>
      <c r="P125" s="171"/>
      <c r="Q125" s="171"/>
      <c r="R125" s="171"/>
      <c r="S125" s="51"/>
      <c r="T125" s="51"/>
      <c r="U125" s="171"/>
    </row>
    <row r="126" spans="1:23" ht="30" customHeight="1" thickBot="1" x14ac:dyDescent="0.4">
      <c r="A126" s="546"/>
      <c r="B126" s="1014">
        <v>114.14</v>
      </c>
      <c r="C126" s="1014"/>
      <c r="D126" s="1014"/>
      <c r="E126" s="547"/>
      <c r="F126" s="548"/>
      <c r="G126" s="1015"/>
      <c r="H126" s="1015"/>
      <c r="I126" s="549"/>
      <c r="J126" s="550">
        <v>1.0202</v>
      </c>
      <c r="K126" s="551">
        <f>B126*J126</f>
        <v>116.445628</v>
      </c>
      <c r="L126" s="552" t="s">
        <v>3</v>
      </c>
      <c r="M126" s="173"/>
      <c r="P126" s="171"/>
      <c r="Q126" s="171"/>
      <c r="R126" s="171"/>
      <c r="S126" s="51"/>
      <c r="T126" s="51"/>
      <c r="U126" s="171"/>
    </row>
    <row r="127" spans="1:23" ht="30" customHeight="1" thickBot="1" x14ac:dyDescent="0.4">
      <c r="A127" s="1086"/>
      <c r="B127" s="1086"/>
      <c r="C127" s="1086"/>
      <c r="D127" s="1086"/>
      <c r="E127" s="1086"/>
      <c r="F127" s="1086"/>
      <c r="G127" s="1086"/>
      <c r="H127" s="1086"/>
      <c r="I127" s="1086"/>
      <c r="J127" s="1086"/>
      <c r="K127" s="1086"/>
      <c r="L127" s="1103"/>
      <c r="M127" s="173"/>
      <c r="N127" s="419"/>
      <c r="R127" s="171"/>
      <c r="S127" s="171"/>
      <c r="T127" s="171"/>
      <c r="U127" s="51"/>
      <c r="V127" s="51"/>
      <c r="W127" s="171"/>
    </row>
    <row r="128" spans="1:23" ht="30" customHeight="1" x14ac:dyDescent="0.35">
      <c r="A128" s="465" t="s">
        <v>278</v>
      </c>
      <c r="B128" s="539">
        <v>1165</v>
      </c>
      <c r="C128" s="1138" t="s">
        <v>2574</v>
      </c>
      <c r="D128" s="1138"/>
      <c r="E128" s="541" t="s">
        <v>280</v>
      </c>
      <c r="F128" s="542" t="s">
        <v>3</v>
      </c>
      <c r="G128" s="543" t="s">
        <v>285</v>
      </c>
      <c r="H128" s="555">
        <v>42000</v>
      </c>
      <c r="I128" s="541" t="s">
        <v>281</v>
      </c>
      <c r="J128" s="1019" t="s">
        <v>2523</v>
      </c>
      <c r="K128" s="1019"/>
      <c r="L128" s="1020"/>
      <c r="M128" s="364"/>
      <c r="N128" s="419"/>
      <c r="R128" s="171"/>
      <c r="S128" s="171"/>
      <c r="T128" s="171"/>
      <c r="U128" s="51"/>
      <c r="V128" s="51"/>
      <c r="W128" s="171"/>
    </row>
    <row r="129" spans="1:21" ht="30" customHeight="1" x14ac:dyDescent="0.35">
      <c r="A129" s="545"/>
      <c r="B129" s="1021" t="s">
        <v>2921</v>
      </c>
      <c r="C129" s="1021"/>
      <c r="D129" s="1021"/>
      <c r="E129" s="509" t="s">
        <v>290</v>
      </c>
      <c r="F129" s="509" t="s">
        <v>322</v>
      </c>
      <c r="G129" s="1034" t="s">
        <v>323</v>
      </c>
      <c r="H129" s="1034"/>
      <c r="I129" s="509" t="s">
        <v>327</v>
      </c>
      <c r="J129" s="509" t="s">
        <v>419</v>
      </c>
      <c r="K129" s="1012" t="s">
        <v>2356</v>
      </c>
      <c r="L129" s="1023"/>
      <c r="M129" s="173"/>
      <c r="O129" s="425"/>
      <c r="P129" s="171"/>
      <c r="Q129" s="171"/>
      <c r="R129" s="171"/>
      <c r="S129" s="51"/>
      <c r="T129" s="51"/>
      <c r="U129" s="171"/>
    </row>
    <row r="130" spans="1:21" ht="30" customHeight="1" thickBot="1" x14ac:dyDescent="0.4">
      <c r="A130" s="546"/>
      <c r="B130" s="1014">
        <v>129.47999999999999</v>
      </c>
      <c r="C130" s="1014"/>
      <c r="D130" s="1014"/>
      <c r="E130" s="547"/>
      <c r="F130" s="548"/>
      <c r="G130" s="1015"/>
      <c r="H130" s="1015"/>
      <c r="I130" s="549"/>
      <c r="J130" s="550">
        <v>1.02</v>
      </c>
      <c r="K130" s="551">
        <f>B130*J130</f>
        <v>132.06959999999998</v>
      </c>
      <c r="L130" s="552" t="s">
        <v>3</v>
      </c>
      <c r="M130" s="173"/>
      <c r="N130" s="171"/>
      <c r="P130" s="171"/>
      <c r="Q130" s="171"/>
      <c r="R130" s="171"/>
      <c r="S130" s="51"/>
      <c r="T130" s="51"/>
      <c r="U130" s="171"/>
    </row>
    <row r="131" spans="1:21" ht="30" customHeight="1" thickBot="1" x14ac:dyDescent="0.4">
      <c r="A131" s="1086"/>
      <c r="B131" s="1086"/>
      <c r="C131" s="1086"/>
      <c r="D131" s="1086"/>
      <c r="E131" s="1086"/>
      <c r="F131" s="1086"/>
      <c r="G131" s="1086"/>
      <c r="H131" s="1086"/>
      <c r="I131" s="1086"/>
      <c r="J131" s="1086"/>
      <c r="K131" s="1086"/>
      <c r="L131" s="1103"/>
      <c r="M131" s="173"/>
      <c r="P131" s="171"/>
      <c r="Q131" s="171"/>
      <c r="R131" s="171"/>
      <c r="S131" s="51"/>
      <c r="T131" s="51"/>
      <c r="U131" s="171"/>
    </row>
    <row r="132" spans="1:21" ht="30" customHeight="1" thickBot="1" x14ac:dyDescent="0.4">
      <c r="A132" s="465" t="s">
        <v>278</v>
      </c>
      <c r="B132" s="539">
        <v>1166</v>
      </c>
      <c r="C132" s="1135" t="s">
        <v>2704</v>
      </c>
      <c r="D132" s="1135"/>
      <c r="E132" s="541" t="s">
        <v>280</v>
      </c>
      <c r="F132" s="542" t="s">
        <v>3</v>
      </c>
      <c r="G132" s="543" t="s">
        <v>285</v>
      </c>
      <c r="H132" s="555">
        <v>37004</v>
      </c>
      <c r="I132" s="541" t="s">
        <v>281</v>
      </c>
      <c r="J132" s="1195" t="s">
        <v>2938</v>
      </c>
      <c r="K132" s="1195"/>
      <c r="L132" s="1196"/>
      <c r="M132" s="364"/>
      <c r="N132" s="210"/>
      <c r="P132" s="171"/>
      <c r="Q132" s="171"/>
      <c r="R132" s="171"/>
      <c r="S132" s="51"/>
      <c r="T132" s="51"/>
      <c r="U132" s="171"/>
    </row>
    <row r="133" spans="1:21" ht="30" customHeight="1" x14ac:dyDescent="0.35">
      <c r="A133" s="545"/>
      <c r="B133" s="1021" t="s">
        <v>2921</v>
      </c>
      <c r="C133" s="1021"/>
      <c r="D133" s="1021"/>
      <c r="E133" s="509" t="s">
        <v>290</v>
      </c>
      <c r="F133" s="509" t="s">
        <v>322</v>
      </c>
      <c r="G133" s="1034" t="s">
        <v>323</v>
      </c>
      <c r="H133" s="1034"/>
      <c r="I133" s="509" t="s">
        <v>327</v>
      </c>
      <c r="J133" s="509" t="s">
        <v>419</v>
      </c>
      <c r="K133" s="1012" t="s">
        <v>2356</v>
      </c>
      <c r="L133" s="1023"/>
      <c r="M133" s="173"/>
      <c r="P133" s="171"/>
      <c r="Q133" s="171"/>
      <c r="R133" s="171"/>
      <c r="S133" s="51"/>
      <c r="T133" s="51"/>
      <c r="U133" s="171"/>
    </row>
    <row r="134" spans="1:21" ht="30" customHeight="1" thickBot="1" x14ac:dyDescent="0.4">
      <c r="A134" s="546"/>
      <c r="B134" s="1014">
        <v>32.340000000000003</v>
      </c>
      <c r="C134" s="1014"/>
      <c r="D134" s="1014"/>
      <c r="E134" s="547"/>
      <c r="F134" s="548"/>
      <c r="G134" s="1015"/>
      <c r="H134" s="1015"/>
      <c r="I134" s="549"/>
      <c r="J134" s="550">
        <v>1.0202</v>
      </c>
      <c r="K134" s="551">
        <f>B134*J134</f>
        <v>32.993268</v>
      </c>
      <c r="L134" s="552" t="s">
        <v>3</v>
      </c>
      <c r="M134" s="173"/>
      <c r="O134" s="425"/>
    </row>
    <row r="135" spans="1:21" ht="30" customHeight="1" thickBot="1" x14ac:dyDescent="0.4">
      <c r="A135" s="1086"/>
      <c r="B135" s="1086"/>
      <c r="C135" s="1086"/>
      <c r="D135" s="1086"/>
      <c r="E135" s="1086"/>
      <c r="F135" s="1086"/>
      <c r="G135" s="1086"/>
      <c r="H135" s="1086"/>
      <c r="I135" s="1086"/>
      <c r="J135" s="1086"/>
      <c r="K135" s="1086"/>
      <c r="L135" s="1103"/>
      <c r="M135" s="173"/>
    </row>
    <row r="136" spans="1:21" ht="30" customHeight="1" x14ac:dyDescent="0.35">
      <c r="A136" s="465" t="s">
        <v>278</v>
      </c>
      <c r="B136" s="539">
        <v>1167</v>
      </c>
      <c r="C136" s="1252" t="s">
        <v>2576</v>
      </c>
      <c r="D136" s="1252"/>
      <c r="E136" s="541" t="s">
        <v>280</v>
      </c>
      <c r="F136" s="542" t="s">
        <v>3</v>
      </c>
      <c r="G136" s="543" t="s">
        <v>285</v>
      </c>
      <c r="H136" s="854">
        <v>2168</v>
      </c>
      <c r="I136" s="541" t="s">
        <v>281</v>
      </c>
      <c r="J136" s="1019" t="s">
        <v>2939</v>
      </c>
      <c r="K136" s="1019"/>
      <c r="L136" s="1020"/>
      <c r="M136" s="364"/>
      <c r="P136" s="171"/>
      <c r="Q136" s="171"/>
      <c r="R136" s="171"/>
      <c r="S136" s="51"/>
      <c r="T136" s="51"/>
      <c r="U136" s="171"/>
    </row>
    <row r="137" spans="1:21" s="208" customFormat="1" ht="30" customHeight="1" x14ac:dyDescent="0.35">
      <c r="A137" s="545"/>
      <c r="B137" s="1021" t="s">
        <v>2921</v>
      </c>
      <c r="C137" s="1021"/>
      <c r="D137" s="1021"/>
      <c r="E137" s="509" t="s">
        <v>290</v>
      </c>
      <c r="F137" s="509" t="s">
        <v>322</v>
      </c>
      <c r="G137" s="1034" t="s">
        <v>323</v>
      </c>
      <c r="H137" s="1034"/>
      <c r="I137" s="509" t="s">
        <v>327</v>
      </c>
      <c r="J137" s="509" t="s">
        <v>419</v>
      </c>
      <c r="K137" s="1012" t="s">
        <v>2356</v>
      </c>
      <c r="L137" s="1023"/>
      <c r="M137" s="173"/>
      <c r="O137" s="205"/>
      <c r="P137" s="75"/>
      <c r="Q137" s="75"/>
      <c r="R137" s="75"/>
      <c r="S137" s="75"/>
      <c r="T137" s="75"/>
      <c r="U137" s="75"/>
    </row>
    <row r="138" spans="1:21" ht="30" customHeight="1" thickBot="1" x14ac:dyDescent="0.4">
      <c r="A138" s="546"/>
      <c r="B138" s="1014">
        <v>222.41</v>
      </c>
      <c r="C138" s="1014"/>
      <c r="D138" s="1014"/>
      <c r="E138" s="547"/>
      <c r="F138" s="548"/>
      <c r="G138" s="1015"/>
      <c r="H138" s="1015"/>
      <c r="I138" s="549"/>
      <c r="J138" s="550">
        <v>1.02</v>
      </c>
      <c r="K138" s="551">
        <f>B138*J138</f>
        <v>226.85820000000001</v>
      </c>
      <c r="L138" s="552" t="s">
        <v>3</v>
      </c>
      <c r="M138" s="173"/>
      <c r="P138" s="171"/>
      <c r="Q138" s="171"/>
      <c r="R138" s="171"/>
      <c r="S138" s="171"/>
      <c r="T138" s="171"/>
      <c r="U138" s="171"/>
    </row>
    <row r="139" spans="1:21" ht="30" customHeight="1" thickBot="1" x14ac:dyDescent="0.4">
      <c r="A139" s="1086"/>
      <c r="B139" s="1086"/>
      <c r="C139" s="1086"/>
      <c r="D139" s="1086"/>
      <c r="E139" s="1086"/>
      <c r="F139" s="1086"/>
      <c r="G139" s="1086"/>
      <c r="H139" s="1086"/>
      <c r="I139" s="1086"/>
      <c r="J139" s="1086"/>
      <c r="K139" s="1086"/>
      <c r="L139" s="1103"/>
      <c r="M139" s="173"/>
      <c r="P139" s="171"/>
      <c r="Q139" s="171"/>
      <c r="R139" s="171"/>
      <c r="S139" s="51"/>
      <c r="T139" s="51"/>
      <c r="U139" s="171"/>
    </row>
    <row r="140" spans="1:21" ht="30" customHeight="1" x14ac:dyDescent="0.35">
      <c r="A140" s="432" t="s">
        <v>278</v>
      </c>
      <c r="B140" s="169">
        <v>1211</v>
      </c>
      <c r="C140" s="1206" t="s">
        <v>2582</v>
      </c>
      <c r="D140" s="1206"/>
      <c r="E140" s="167" t="s">
        <v>280</v>
      </c>
      <c r="F140" s="170" t="s">
        <v>2355</v>
      </c>
      <c r="G140" s="427" t="s">
        <v>2577</v>
      </c>
      <c r="H140" s="389">
        <v>6.2</v>
      </c>
      <c r="I140" s="167" t="s">
        <v>281</v>
      </c>
      <c r="J140" s="1019" t="s">
        <v>2940</v>
      </c>
      <c r="K140" s="1019"/>
      <c r="L140" s="1020"/>
      <c r="M140" s="364"/>
      <c r="P140" s="171"/>
      <c r="Q140" s="171"/>
      <c r="R140" s="171"/>
      <c r="S140" s="51"/>
      <c r="T140" s="51"/>
      <c r="U140" s="171"/>
    </row>
    <row r="141" spans="1:21" ht="30" customHeight="1" x14ac:dyDescent="0.35">
      <c r="A141" s="545"/>
      <c r="B141" s="1021" t="s">
        <v>2921</v>
      </c>
      <c r="C141" s="1021"/>
      <c r="D141" s="1021"/>
      <c r="E141" s="509" t="s">
        <v>290</v>
      </c>
      <c r="F141" s="509" t="s">
        <v>322</v>
      </c>
      <c r="G141" s="1012" t="s">
        <v>323</v>
      </c>
      <c r="H141" s="1012"/>
      <c r="I141" s="509" t="s">
        <v>327</v>
      </c>
      <c r="J141" s="509" t="s">
        <v>419</v>
      </c>
      <c r="K141" s="1012" t="s">
        <v>2356</v>
      </c>
      <c r="L141" s="1023"/>
      <c r="M141" s="173"/>
      <c r="P141" s="171"/>
      <c r="Q141" s="171"/>
      <c r="R141" s="171"/>
      <c r="S141" s="51"/>
      <c r="T141" s="51"/>
      <c r="U141" s="171"/>
    </row>
    <row r="142" spans="1:21" s="208" customFormat="1" ht="30" customHeight="1" thickBot="1" x14ac:dyDescent="0.4">
      <c r="A142" s="986"/>
      <c r="B142" s="1205">
        <v>375482.26</v>
      </c>
      <c r="C142" s="1205"/>
      <c r="D142" s="1205"/>
      <c r="E142" s="982"/>
      <c r="F142" s="309"/>
      <c r="G142" s="1401"/>
      <c r="H142" s="1401"/>
      <c r="I142" s="983"/>
      <c r="J142" s="984">
        <v>1.0202</v>
      </c>
      <c r="K142" s="985">
        <f>B142*J142</f>
        <v>383067.00165200001</v>
      </c>
      <c r="L142" s="969" t="s">
        <v>2355</v>
      </c>
      <c r="M142" s="173"/>
      <c r="O142" s="205"/>
      <c r="P142" s="75"/>
      <c r="Q142" s="75"/>
      <c r="R142" s="75"/>
      <c r="S142" s="213"/>
      <c r="T142" s="213"/>
      <c r="U142" s="75"/>
    </row>
    <row r="143" spans="1:21" ht="30" customHeight="1" thickBot="1" x14ac:dyDescent="0.4">
      <c r="A143" s="1086"/>
      <c r="B143" s="1086"/>
      <c r="C143" s="1086"/>
      <c r="D143" s="1086"/>
      <c r="E143" s="1086"/>
      <c r="F143" s="1086"/>
      <c r="G143" s="1086"/>
      <c r="H143" s="1086"/>
      <c r="I143" s="1086"/>
      <c r="J143" s="1086"/>
      <c r="K143" s="1086"/>
      <c r="L143" s="1103"/>
      <c r="M143" s="173"/>
      <c r="P143" s="171"/>
      <c r="Q143" s="171"/>
      <c r="R143" s="171"/>
      <c r="S143" s="51"/>
      <c r="T143" s="51"/>
      <c r="U143" s="171"/>
    </row>
    <row r="144" spans="1:21" s="208" customFormat="1" ht="30" customHeight="1" x14ac:dyDescent="0.35">
      <c r="A144" s="465" t="s">
        <v>278</v>
      </c>
      <c r="B144" s="539">
        <v>1221</v>
      </c>
      <c r="C144" s="1060" t="s">
        <v>2705</v>
      </c>
      <c r="D144" s="1060"/>
      <c r="E144" s="541" t="s">
        <v>280</v>
      </c>
      <c r="F144" s="542" t="s">
        <v>2355</v>
      </c>
      <c r="G144" s="543" t="s">
        <v>285</v>
      </c>
      <c r="H144" s="544">
        <v>2.2999999999999998</v>
      </c>
      <c r="I144" s="541" t="s">
        <v>281</v>
      </c>
      <c r="J144" s="1098" t="s">
        <v>2941</v>
      </c>
      <c r="K144" s="1098"/>
      <c r="L144" s="1187"/>
      <c r="M144" s="364"/>
      <c r="O144" s="205"/>
      <c r="P144" s="75"/>
      <c r="Q144" s="75"/>
      <c r="R144" s="75"/>
      <c r="S144" s="213"/>
      <c r="T144" s="213"/>
      <c r="U144" s="75"/>
    </row>
    <row r="145" spans="1:23" ht="30" customHeight="1" x14ac:dyDescent="0.35">
      <c r="A145" s="545"/>
      <c r="B145" s="1021" t="s">
        <v>2921</v>
      </c>
      <c r="C145" s="1021"/>
      <c r="D145" s="1021"/>
      <c r="E145" s="509" t="s">
        <v>290</v>
      </c>
      <c r="F145" s="509" t="s">
        <v>322</v>
      </c>
      <c r="G145" s="1034" t="s">
        <v>323</v>
      </c>
      <c r="H145" s="1034"/>
      <c r="I145" s="509" t="s">
        <v>327</v>
      </c>
      <c r="J145" s="509" t="s">
        <v>419</v>
      </c>
      <c r="K145" s="1012" t="s">
        <v>2356</v>
      </c>
      <c r="L145" s="1023"/>
      <c r="M145" s="173"/>
      <c r="P145" s="171"/>
      <c r="Q145" s="171"/>
      <c r="R145" s="171"/>
      <c r="S145" s="51"/>
      <c r="T145" s="51"/>
      <c r="U145" s="171"/>
    </row>
    <row r="146" spans="1:23" ht="30" customHeight="1" thickBot="1" x14ac:dyDescent="0.4">
      <c r="A146" s="546"/>
      <c r="B146" s="1014">
        <v>948968.89</v>
      </c>
      <c r="C146" s="1014"/>
      <c r="D146" s="1014"/>
      <c r="E146" s="547"/>
      <c r="F146" s="548"/>
      <c r="G146" s="1015"/>
      <c r="H146" s="1015"/>
      <c r="I146" s="549"/>
      <c r="J146" s="550">
        <v>1.0202</v>
      </c>
      <c r="K146" s="551">
        <f>B146*J146</f>
        <v>968138.06157799996</v>
      </c>
      <c r="L146" s="552" t="s">
        <v>2355</v>
      </c>
      <c r="M146" s="173"/>
      <c r="N146" s="34"/>
      <c r="R146" s="171"/>
      <c r="S146" s="171"/>
      <c r="T146" s="171"/>
      <c r="U146" s="51"/>
      <c r="V146" s="51"/>
      <c r="W146" s="171"/>
    </row>
    <row r="147" spans="1:23" ht="30" customHeight="1" thickBot="1" x14ac:dyDescent="0.4">
      <c r="A147" s="1086"/>
      <c r="B147" s="1086"/>
      <c r="C147" s="1086"/>
      <c r="D147" s="1086"/>
      <c r="E147" s="1086"/>
      <c r="F147" s="1086"/>
      <c r="G147" s="1086"/>
      <c r="H147" s="1086"/>
      <c r="I147" s="1086"/>
      <c r="J147" s="1086"/>
      <c r="K147" s="1086"/>
      <c r="L147" s="1103"/>
      <c r="M147" s="532"/>
      <c r="N147" s="220"/>
      <c r="P147" s="171"/>
      <c r="Q147" s="171"/>
      <c r="R147" s="171"/>
      <c r="S147" s="51"/>
      <c r="T147" s="51"/>
      <c r="U147" s="171"/>
    </row>
    <row r="148" spans="1:23" ht="30" customHeight="1" x14ac:dyDescent="0.35">
      <c r="A148" s="465" t="s">
        <v>278</v>
      </c>
      <c r="B148" s="539">
        <v>1231</v>
      </c>
      <c r="C148" s="1017" t="s">
        <v>2578</v>
      </c>
      <c r="D148" s="1017"/>
      <c r="E148" s="541" t="s">
        <v>280</v>
      </c>
      <c r="F148" s="542" t="s">
        <v>2355</v>
      </c>
      <c r="G148" s="553" t="s">
        <v>279</v>
      </c>
      <c r="H148" s="544">
        <v>2</v>
      </c>
      <c r="I148" s="541" t="s">
        <v>281</v>
      </c>
      <c r="J148" s="1098" t="s">
        <v>2910</v>
      </c>
      <c r="K148" s="1098"/>
      <c r="L148" s="1187"/>
      <c r="M148" s="364"/>
      <c r="P148" s="171"/>
      <c r="Q148" s="171"/>
      <c r="R148" s="171"/>
      <c r="S148" s="51"/>
      <c r="T148" s="51"/>
      <c r="U148" s="171"/>
    </row>
    <row r="149" spans="1:23" ht="30" customHeight="1" x14ac:dyDescent="0.35">
      <c r="A149" s="545"/>
      <c r="B149" s="1021" t="s">
        <v>2921</v>
      </c>
      <c r="C149" s="1021"/>
      <c r="D149" s="1021"/>
      <c r="E149" s="509" t="s">
        <v>290</v>
      </c>
      <c r="F149" s="509" t="s">
        <v>322</v>
      </c>
      <c r="G149" s="1034" t="s">
        <v>323</v>
      </c>
      <c r="H149" s="1034"/>
      <c r="I149" s="509" t="s">
        <v>327</v>
      </c>
      <c r="J149" s="509" t="s">
        <v>419</v>
      </c>
      <c r="K149" s="1012" t="s">
        <v>2356</v>
      </c>
      <c r="L149" s="1023"/>
      <c r="M149" s="173"/>
      <c r="N149" s="419"/>
      <c r="R149" s="171"/>
      <c r="S149" s="171"/>
      <c r="T149" s="171"/>
      <c r="U149" s="51"/>
      <c r="V149" s="51"/>
      <c r="W149" s="171"/>
    </row>
    <row r="150" spans="1:23" ht="30" customHeight="1" thickBot="1" x14ac:dyDescent="0.4">
      <c r="A150" s="546"/>
      <c r="B150" s="1014">
        <v>200012.84</v>
      </c>
      <c r="C150" s="1014"/>
      <c r="D150" s="1014"/>
      <c r="E150" s="547"/>
      <c r="F150" s="548"/>
      <c r="G150" s="1015"/>
      <c r="H150" s="1015"/>
      <c r="I150" s="549"/>
      <c r="J150" s="550">
        <v>1.0202</v>
      </c>
      <c r="K150" s="551">
        <f>B150*J150</f>
        <v>204053.099368</v>
      </c>
      <c r="L150" s="552" t="s">
        <v>2355</v>
      </c>
      <c r="M150" s="173"/>
      <c r="P150" s="171"/>
      <c r="Q150" s="171"/>
      <c r="R150" s="171"/>
      <c r="S150" s="51"/>
      <c r="T150" s="51"/>
      <c r="U150" s="171"/>
    </row>
    <row r="151" spans="1:23" ht="30" customHeight="1" thickBot="1" x14ac:dyDescent="0.4">
      <c r="A151" s="1086"/>
      <c r="B151" s="1086"/>
      <c r="C151" s="1086"/>
      <c r="D151" s="1086"/>
      <c r="E151" s="1086"/>
      <c r="F151" s="1086"/>
      <c r="G151" s="1086"/>
      <c r="H151" s="1086"/>
      <c r="I151" s="1086"/>
      <c r="J151" s="1086"/>
      <c r="K151" s="1086"/>
      <c r="L151" s="1103"/>
      <c r="M151" s="173"/>
      <c r="N151" s="419"/>
      <c r="R151" s="171"/>
      <c r="S151" s="171"/>
      <c r="T151" s="171"/>
      <c r="U151" s="51"/>
      <c r="V151" s="51"/>
      <c r="W151" s="171"/>
    </row>
    <row r="152" spans="1:23" ht="30" customHeight="1" x14ac:dyDescent="0.35">
      <c r="A152" s="465" t="s">
        <v>278</v>
      </c>
      <c r="B152" s="539">
        <v>1241</v>
      </c>
      <c r="C152" s="1017" t="s">
        <v>2579</v>
      </c>
      <c r="D152" s="1017"/>
      <c r="E152" s="541" t="s">
        <v>280</v>
      </c>
      <c r="F152" s="542" t="s">
        <v>5</v>
      </c>
      <c r="G152" s="554" t="s">
        <v>279</v>
      </c>
      <c r="H152" s="555">
        <v>420000</v>
      </c>
      <c r="I152" s="541" t="s">
        <v>281</v>
      </c>
      <c r="J152" s="1098" t="s">
        <v>2910</v>
      </c>
      <c r="K152" s="1098"/>
      <c r="L152" s="1187"/>
      <c r="M152" s="364"/>
      <c r="P152" s="171"/>
      <c r="Q152" s="171"/>
      <c r="R152" s="171"/>
      <c r="S152" s="51"/>
      <c r="T152" s="51"/>
      <c r="U152" s="171"/>
    </row>
    <row r="153" spans="1:23" ht="30" customHeight="1" x14ac:dyDescent="0.35">
      <c r="A153" s="545"/>
      <c r="B153" s="1021" t="s">
        <v>2921</v>
      </c>
      <c r="C153" s="1021"/>
      <c r="D153" s="1021"/>
      <c r="E153" s="509" t="s">
        <v>290</v>
      </c>
      <c r="F153" s="509" t="s">
        <v>322</v>
      </c>
      <c r="G153" s="1034" t="s">
        <v>323</v>
      </c>
      <c r="H153" s="1034"/>
      <c r="I153" s="509" t="s">
        <v>327</v>
      </c>
      <c r="J153" s="509" t="s">
        <v>419</v>
      </c>
      <c r="K153" s="1012" t="s">
        <v>2356</v>
      </c>
      <c r="L153" s="1023"/>
      <c r="M153" s="173"/>
      <c r="N153" s="210"/>
      <c r="P153" s="171"/>
      <c r="Q153" s="171"/>
      <c r="R153" s="171"/>
      <c r="S153" s="51"/>
      <c r="T153" s="51"/>
      <c r="U153" s="171"/>
    </row>
    <row r="154" spans="1:23" ht="30" customHeight="1" thickBot="1" x14ac:dyDescent="0.4">
      <c r="A154" s="546"/>
      <c r="B154" s="1014">
        <v>5.66</v>
      </c>
      <c r="C154" s="1014"/>
      <c r="D154" s="1014"/>
      <c r="E154" s="547"/>
      <c r="F154" s="548"/>
      <c r="G154" s="1015"/>
      <c r="H154" s="1015"/>
      <c r="I154" s="549"/>
      <c r="J154" s="550">
        <v>1.0202</v>
      </c>
      <c r="K154" s="551">
        <f>B154*J154</f>
        <v>5.7743320000000002</v>
      </c>
      <c r="L154" s="552" t="s">
        <v>5</v>
      </c>
      <c r="M154" s="173"/>
      <c r="N154" s="210"/>
      <c r="P154" s="171"/>
      <c r="Q154" s="171"/>
      <c r="R154" s="171"/>
      <c r="S154" s="51"/>
      <c r="T154" s="51"/>
      <c r="U154" s="171"/>
    </row>
    <row r="155" spans="1:23" ht="30" customHeight="1" thickBot="1" x14ac:dyDescent="0.4">
      <c r="A155" s="1086"/>
      <c r="B155" s="1086"/>
      <c r="C155" s="1086"/>
      <c r="D155" s="1086"/>
      <c r="E155" s="1086"/>
      <c r="F155" s="1086"/>
      <c r="G155" s="1086"/>
      <c r="H155" s="1086"/>
      <c r="I155" s="1086"/>
      <c r="J155" s="1086"/>
      <c r="K155" s="1086"/>
      <c r="L155" s="1103"/>
      <c r="M155" s="173"/>
      <c r="N155" s="210"/>
      <c r="P155" s="171"/>
      <c r="Q155" s="171"/>
      <c r="R155" s="171"/>
      <c r="S155" s="51"/>
      <c r="T155" s="51"/>
      <c r="U155" s="171"/>
    </row>
    <row r="156" spans="1:23" ht="30" customHeight="1" x14ac:dyDescent="0.35">
      <c r="A156" s="465" t="s">
        <v>278</v>
      </c>
      <c r="B156" s="539">
        <v>1242</v>
      </c>
      <c r="C156" s="1060" t="s">
        <v>2706</v>
      </c>
      <c r="D156" s="1060"/>
      <c r="E156" s="541" t="s">
        <v>280</v>
      </c>
      <c r="F156" s="542" t="s">
        <v>5</v>
      </c>
      <c r="G156" s="543" t="s">
        <v>285</v>
      </c>
      <c r="H156" s="556">
        <v>18002</v>
      </c>
      <c r="I156" s="541" t="s">
        <v>281</v>
      </c>
      <c r="J156" s="1019" t="s">
        <v>2941</v>
      </c>
      <c r="K156" s="1019"/>
      <c r="L156" s="1020"/>
      <c r="M156" s="364"/>
      <c r="N156" s="210"/>
      <c r="P156" s="171"/>
      <c r="Q156" s="171"/>
      <c r="R156" s="171"/>
      <c r="S156" s="51"/>
      <c r="T156" s="51"/>
      <c r="U156" s="171"/>
    </row>
    <row r="157" spans="1:23" ht="30" customHeight="1" thickBot="1" x14ac:dyDescent="0.4">
      <c r="A157" s="545"/>
      <c r="B157" s="1021" t="s">
        <v>2921</v>
      </c>
      <c r="C157" s="1021"/>
      <c r="D157" s="1021"/>
      <c r="E157" s="509" t="s">
        <v>290</v>
      </c>
      <c r="F157" s="530" t="s">
        <v>322</v>
      </c>
      <c r="G157" s="1034" t="s">
        <v>323</v>
      </c>
      <c r="H157" s="1034"/>
      <c r="I157" s="509" t="s">
        <v>327</v>
      </c>
      <c r="J157" s="509" t="s">
        <v>419</v>
      </c>
      <c r="K157" s="1012" t="s">
        <v>2356</v>
      </c>
      <c r="L157" s="1023"/>
      <c r="M157" s="173"/>
      <c r="N157" s="210"/>
      <c r="P157" s="171"/>
      <c r="Q157" s="171"/>
      <c r="R157" s="171"/>
      <c r="S157" s="51"/>
      <c r="T157" s="51"/>
      <c r="U157" s="171"/>
    </row>
    <row r="158" spans="1:23" ht="30" customHeight="1" thickBot="1" x14ac:dyDescent="0.4">
      <c r="A158" s="546"/>
      <c r="B158" s="1014">
        <v>18.29</v>
      </c>
      <c r="C158" s="1014"/>
      <c r="D158" s="1014"/>
      <c r="E158" s="529"/>
      <c r="F158" s="531"/>
      <c r="G158" s="1402"/>
      <c r="H158" s="1015"/>
      <c r="I158" s="549"/>
      <c r="J158" s="550">
        <v>1.0202</v>
      </c>
      <c r="K158" s="551">
        <f>B158*J158</f>
        <v>18.659458000000001</v>
      </c>
      <c r="L158" s="552" t="s">
        <v>5</v>
      </c>
      <c r="M158" s="173"/>
      <c r="P158" s="171"/>
      <c r="Q158" s="171"/>
      <c r="R158" s="171"/>
      <c r="S158" s="51"/>
      <c r="T158" s="51"/>
      <c r="U158" s="171"/>
    </row>
    <row r="159" spans="1:23" ht="30" customHeight="1" thickBot="1" x14ac:dyDescent="0.4">
      <c r="A159" s="1086"/>
      <c r="B159" s="1086"/>
      <c r="C159" s="1086"/>
      <c r="D159" s="1086"/>
      <c r="E159" s="1086"/>
      <c r="F159" s="1086"/>
      <c r="G159" s="1086"/>
      <c r="H159" s="1086"/>
      <c r="I159" s="1086"/>
      <c r="J159" s="1086"/>
      <c r="K159" s="1086"/>
      <c r="L159" s="1103"/>
      <c r="M159" s="173"/>
      <c r="P159" s="171"/>
      <c r="Q159" s="171"/>
      <c r="R159" s="171"/>
      <c r="S159" s="51"/>
      <c r="T159" s="51"/>
      <c r="U159" s="171"/>
    </row>
    <row r="160" spans="1:23" ht="30" customHeight="1" x14ac:dyDescent="0.35">
      <c r="A160" s="465" t="s">
        <v>278</v>
      </c>
      <c r="B160" s="539">
        <v>1243</v>
      </c>
      <c r="C160" s="1060" t="s">
        <v>2707</v>
      </c>
      <c r="D160" s="1060"/>
      <c r="E160" s="541" t="s">
        <v>280</v>
      </c>
      <c r="F160" s="542" t="s">
        <v>5</v>
      </c>
      <c r="G160" s="543" t="s">
        <v>285</v>
      </c>
      <c r="H160" s="556">
        <v>7555</v>
      </c>
      <c r="I160" s="541" t="s">
        <v>281</v>
      </c>
      <c r="J160" s="1019" t="s">
        <v>2941</v>
      </c>
      <c r="K160" s="1019"/>
      <c r="L160" s="1020"/>
      <c r="M160" s="364"/>
      <c r="O160" s="425"/>
    </row>
    <row r="161" spans="1:35" ht="30" customHeight="1" x14ac:dyDescent="0.35">
      <c r="A161" s="545"/>
      <c r="B161" s="1021" t="s">
        <v>2921</v>
      </c>
      <c r="C161" s="1021"/>
      <c r="D161" s="1021"/>
      <c r="E161" s="509" t="s">
        <v>290</v>
      </c>
      <c r="F161" s="509" t="s">
        <v>322</v>
      </c>
      <c r="G161" s="1034" t="s">
        <v>323</v>
      </c>
      <c r="H161" s="1034"/>
      <c r="I161" s="509" t="s">
        <v>327</v>
      </c>
      <c r="J161" s="509" t="s">
        <v>419</v>
      </c>
      <c r="K161" s="1012" t="s">
        <v>2356</v>
      </c>
      <c r="L161" s="1023"/>
      <c r="M161" s="173"/>
    </row>
    <row r="162" spans="1:35" ht="30" customHeight="1" thickBot="1" x14ac:dyDescent="0.4">
      <c r="A162" s="546"/>
      <c r="B162" s="1014">
        <v>4.3</v>
      </c>
      <c r="C162" s="1014"/>
      <c r="D162" s="1014"/>
      <c r="E162" s="547"/>
      <c r="F162" s="548"/>
      <c r="G162" s="1015"/>
      <c r="H162" s="1015"/>
      <c r="I162" s="549"/>
      <c r="J162" s="550">
        <v>1.0202</v>
      </c>
      <c r="K162" s="551">
        <f>B162*J162</f>
        <v>4.3868599999999995</v>
      </c>
      <c r="L162" s="552" t="s">
        <v>5</v>
      </c>
      <c r="M162" s="173"/>
      <c r="P162" s="171"/>
      <c r="Q162" s="171"/>
      <c r="R162" s="171"/>
      <c r="S162" s="51"/>
      <c r="T162" s="51"/>
      <c r="U162" s="171"/>
    </row>
    <row r="163" spans="1:35" s="208" customFormat="1" ht="30" customHeight="1" thickBot="1" x14ac:dyDescent="0.4">
      <c r="A163" s="1086"/>
      <c r="B163" s="1086"/>
      <c r="C163" s="1086"/>
      <c r="D163" s="1086"/>
      <c r="E163" s="1086"/>
      <c r="F163" s="1086"/>
      <c r="G163" s="1086"/>
      <c r="H163" s="1086"/>
      <c r="I163" s="1086"/>
      <c r="J163" s="1086"/>
      <c r="K163" s="1086"/>
      <c r="L163" s="1103"/>
      <c r="M163" s="173"/>
      <c r="O163" s="205"/>
      <c r="P163" s="75"/>
      <c r="Q163" s="75"/>
      <c r="R163" s="75"/>
      <c r="S163" s="213"/>
      <c r="T163" s="213"/>
      <c r="U163" s="75"/>
    </row>
    <row r="164" spans="1:35" ht="30" customHeight="1" x14ac:dyDescent="0.35">
      <c r="A164" s="465" t="s">
        <v>278</v>
      </c>
      <c r="B164" s="539">
        <v>1244</v>
      </c>
      <c r="C164" s="1060" t="s">
        <v>2785</v>
      </c>
      <c r="D164" s="1060"/>
      <c r="E164" s="541" t="s">
        <v>280</v>
      </c>
      <c r="F164" s="542" t="s">
        <v>5</v>
      </c>
      <c r="G164" s="543" t="s">
        <v>285</v>
      </c>
      <c r="H164" s="556">
        <v>9505</v>
      </c>
      <c r="I164" s="541" t="s">
        <v>281</v>
      </c>
      <c r="J164" s="1019" t="s">
        <v>2941</v>
      </c>
      <c r="K164" s="1019"/>
      <c r="L164" s="1020"/>
      <c r="M164" s="364"/>
      <c r="P164" s="171"/>
      <c r="Q164" s="171"/>
      <c r="R164" s="171"/>
      <c r="S164" s="51"/>
      <c r="T164" s="51"/>
      <c r="U164" s="171"/>
    </row>
    <row r="165" spans="1:35" ht="30" customHeight="1" x14ac:dyDescent="0.35">
      <c r="A165" s="545"/>
      <c r="B165" s="1021" t="s">
        <v>2921</v>
      </c>
      <c r="C165" s="1021"/>
      <c r="D165" s="1021"/>
      <c r="E165" s="509" t="s">
        <v>290</v>
      </c>
      <c r="F165" s="509" t="s">
        <v>322</v>
      </c>
      <c r="G165" s="1034" t="s">
        <v>323</v>
      </c>
      <c r="H165" s="1034"/>
      <c r="I165" s="509" t="s">
        <v>327</v>
      </c>
      <c r="J165" s="509" t="s">
        <v>419</v>
      </c>
      <c r="K165" s="1012" t="s">
        <v>2356</v>
      </c>
      <c r="L165" s="1023"/>
      <c r="M165" s="173"/>
      <c r="N165" s="34"/>
      <c r="R165" s="171"/>
      <c r="S165" s="171"/>
      <c r="T165" s="171"/>
      <c r="U165" s="51"/>
      <c r="V165" s="51"/>
      <c r="W165" s="171"/>
    </row>
    <row r="166" spans="1:35" ht="30" customHeight="1" thickBot="1" x14ac:dyDescent="0.4">
      <c r="A166" s="546"/>
      <c r="B166" s="1014">
        <v>3.11</v>
      </c>
      <c r="C166" s="1014"/>
      <c r="D166" s="1014"/>
      <c r="E166" s="547"/>
      <c r="F166" s="548"/>
      <c r="G166" s="1015"/>
      <c r="H166" s="1015"/>
      <c r="I166" s="549"/>
      <c r="J166" s="550">
        <v>1.0202</v>
      </c>
      <c r="K166" s="551">
        <f>B166*J166</f>
        <v>3.172822</v>
      </c>
      <c r="L166" s="552" t="s">
        <v>5</v>
      </c>
      <c r="M166" s="173"/>
      <c r="P166" s="171"/>
      <c r="Q166" s="171"/>
      <c r="R166" s="171"/>
      <c r="S166" s="51"/>
      <c r="T166" s="51"/>
      <c r="U166" s="171"/>
    </row>
    <row r="167" spans="1:35" ht="30" customHeight="1" thickBot="1" x14ac:dyDescent="0.4">
      <c r="A167" s="1086"/>
      <c r="B167" s="1086"/>
      <c r="C167" s="1086"/>
      <c r="D167" s="1086"/>
      <c r="E167" s="1086"/>
      <c r="F167" s="1086"/>
      <c r="G167" s="1086"/>
      <c r="H167" s="1086"/>
      <c r="I167" s="1086"/>
      <c r="J167" s="1086"/>
      <c r="K167" s="1086"/>
      <c r="L167" s="1103"/>
      <c r="M167" s="173"/>
      <c r="P167" s="171"/>
      <c r="Q167" s="171"/>
      <c r="R167" s="171"/>
      <c r="S167" s="51"/>
      <c r="T167" s="51"/>
      <c r="U167" s="171"/>
    </row>
    <row r="168" spans="1:35" ht="30" customHeight="1" x14ac:dyDescent="0.35">
      <c r="A168" s="465" t="s">
        <v>278</v>
      </c>
      <c r="B168" s="539">
        <v>1251</v>
      </c>
      <c r="C168" s="1138" t="s">
        <v>2580</v>
      </c>
      <c r="D168" s="1138"/>
      <c r="E168" s="541" t="s">
        <v>280</v>
      </c>
      <c r="F168" s="557" t="s">
        <v>6</v>
      </c>
      <c r="G168" s="543" t="s">
        <v>279</v>
      </c>
      <c r="H168" s="558">
        <v>1000</v>
      </c>
      <c r="I168" s="541" t="s">
        <v>281</v>
      </c>
      <c r="J168" s="1019" t="s">
        <v>2910</v>
      </c>
      <c r="K168" s="1019"/>
      <c r="L168" s="1020"/>
      <c r="M168" s="401"/>
      <c r="N168" s="264"/>
      <c r="O168" s="394"/>
      <c r="P168" s="394"/>
      <c r="Q168" s="280"/>
      <c r="R168" s="136"/>
      <c r="S168" s="34"/>
      <c r="T168" s="395"/>
      <c r="U168" s="280"/>
      <c r="V168" s="277" t="s">
        <v>2356</v>
      </c>
      <c r="W168" s="34"/>
      <c r="X168" s="34"/>
      <c r="Y168" s="173"/>
      <c r="Z168" s="34"/>
      <c r="AA168" s="205"/>
      <c r="AD168" s="171"/>
      <c r="AE168" s="171"/>
      <c r="AF168" s="171"/>
      <c r="AG168" s="51"/>
      <c r="AH168" s="51"/>
      <c r="AI168" s="171"/>
    </row>
    <row r="169" spans="1:35" ht="30" customHeight="1" x14ac:dyDescent="0.35">
      <c r="A169" s="545"/>
      <c r="B169" s="1021" t="s">
        <v>2921</v>
      </c>
      <c r="C169" s="1021"/>
      <c r="D169" s="1021"/>
      <c r="E169" s="509" t="s">
        <v>290</v>
      </c>
      <c r="F169" s="509" t="s">
        <v>322</v>
      </c>
      <c r="G169" s="1034" t="s">
        <v>323</v>
      </c>
      <c r="H169" s="1034"/>
      <c r="I169" s="509" t="s">
        <v>327</v>
      </c>
      <c r="J169" s="509" t="s">
        <v>419</v>
      </c>
      <c r="K169" s="1012" t="s">
        <v>2356</v>
      </c>
      <c r="L169" s="1023"/>
      <c r="M169" s="533"/>
      <c r="N169" s="220"/>
      <c r="P169" s="171"/>
      <c r="Q169" s="171"/>
      <c r="R169" s="171"/>
      <c r="S169" s="51"/>
      <c r="T169" s="51"/>
      <c r="U169" s="171"/>
    </row>
    <row r="170" spans="1:35" ht="30" customHeight="1" thickBot="1" x14ac:dyDescent="0.4">
      <c r="A170" s="546"/>
      <c r="B170" s="1014">
        <v>374.9</v>
      </c>
      <c r="C170" s="1014"/>
      <c r="D170" s="1014"/>
      <c r="E170" s="547"/>
      <c r="F170" s="548"/>
      <c r="G170" s="1015"/>
      <c r="H170" s="1015"/>
      <c r="I170" s="549"/>
      <c r="J170" s="550">
        <v>1.0202</v>
      </c>
      <c r="K170" s="551">
        <f>B170*J170</f>
        <v>382.47297999999995</v>
      </c>
      <c r="L170" s="552" t="s">
        <v>6</v>
      </c>
      <c r="M170" s="173"/>
      <c r="P170" s="171"/>
      <c r="Q170" s="171"/>
      <c r="R170" s="171"/>
      <c r="S170" s="51"/>
      <c r="T170" s="51"/>
      <c r="U170" s="171"/>
    </row>
    <row r="171" spans="1:35" ht="30" customHeight="1" thickBot="1" x14ac:dyDescent="0.4">
      <c r="A171" s="1086"/>
      <c r="B171" s="1086"/>
      <c r="C171" s="1086"/>
      <c r="D171" s="1086"/>
      <c r="E171" s="1086"/>
      <c r="F171" s="1086"/>
      <c r="G171" s="1086"/>
      <c r="H171" s="1086"/>
      <c r="I171" s="1086"/>
      <c r="J171" s="1086"/>
      <c r="K171" s="1086"/>
      <c r="L171" s="1103"/>
      <c r="M171" s="173"/>
      <c r="N171" s="419"/>
      <c r="R171" s="171"/>
      <c r="S171" s="171"/>
      <c r="T171" s="171"/>
      <c r="U171" s="51"/>
      <c r="V171" s="51"/>
      <c r="W171" s="171"/>
    </row>
    <row r="172" spans="1:35" ht="30" customHeight="1" x14ac:dyDescent="0.35">
      <c r="A172" s="465" t="s">
        <v>278</v>
      </c>
      <c r="B172" s="539">
        <v>1252</v>
      </c>
      <c r="C172" s="1060" t="s">
        <v>2708</v>
      </c>
      <c r="D172" s="1060"/>
      <c r="E172" s="541" t="s">
        <v>280</v>
      </c>
      <c r="F172" s="542" t="s">
        <v>6</v>
      </c>
      <c r="G172" s="543" t="s">
        <v>285</v>
      </c>
      <c r="H172" s="556">
        <v>3999</v>
      </c>
      <c r="I172" s="541" t="s">
        <v>281</v>
      </c>
      <c r="J172" s="1098" t="s">
        <v>2912</v>
      </c>
      <c r="K172" s="1098"/>
      <c r="L172" s="1187"/>
      <c r="M172" s="364"/>
      <c r="P172" s="171"/>
      <c r="Q172" s="171"/>
      <c r="R172" s="171"/>
      <c r="S172" s="51"/>
      <c r="T172" s="51"/>
      <c r="U172" s="171"/>
    </row>
    <row r="173" spans="1:35" ht="30" customHeight="1" x14ac:dyDescent="0.35">
      <c r="A173" s="545"/>
      <c r="B173" s="1021" t="s">
        <v>2921</v>
      </c>
      <c r="C173" s="1021"/>
      <c r="D173" s="1021"/>
      <c r="E173" s="509" t="s">
        <v>290</v>
      </c>
      <c r="F173" s="509" t="s">
        <v>322</v>
      </c>
      <c r="G173" s="1034" t="s">
        <v>323</v>
      </c>
      <c r="H173" s="1034"/>
      <c r="I173" s="509" t="s">
        <v>327</v>
      </c>
      <c r="J173" s="509" t="s">
        <v>419</v>
      </c>
      <c r="K173" s="1012" t="s">
        <v>2356</v>
      </c>
      <c r="L173" s="1023"/>
      <c r="M173" s="173"/>
      <c r="N173" s="210"/>
      <c r="P173" s="171"/>
      <c r="Q173" s="171"/>
      <c r="R173" s="171"/>
      <c r="S173" s="51"/>
      <c r="T173" s="51"/>
      <c r="U173" s="171"/>
    </row>
    <row r="174" spans="1:35" ht="30" customHeight="1" thickBot="1" x14ac:dyDescent="0.4">
      <c r="A174" s="546"/>
      <c r="B174" s="1014">
        <v>181.47</v>
      </c>
      <c r="C174" s="1014"/>
      <c r="D174" s="1014"/>
      <c r="E174" s="547"/>
      <c r="F174" s="548"/>
      <c r="G174" s="1015"/>
      <c r="H174" s="1015"/>
      <c r="I174" s="549"/>
      <c r="J174" s="550">
        <v>1.0202</v>
      </c>
      <c r="K174" s="551">
        <f>B174*J174</f>
        <v>185.135694</v>
      </c>
      <c r="L174" s="552" t="s">
        <v>6</v>
      </c>
      <c r="M174" s="173"/>
      <c r="N174" s="210"/>
      <c r="P174" s="171"/>
      <c r="Q174" s="171"/>
      <c r="R174" s="171"/>
      <c r="S174" s="51"/>
      <c r="T174" s="51"/>
      <c r="U174" s="171"/>
    </row>
    <row r="175" spans="1:35" ht="30" customHeight="1" thickBot="1" x14ac:dyDescent="0.4">
      <c r="A175" s="1086"/>
      <c r="B175" s="1086"/>
      <c r="C175" s="1086"/>
      <c r="D175" s="1086"/>
      <c r="E175" s="1086"/>
      <c r="F175" s="1086"/>
      <c r="G175" s="1086"/>
      <c r="H175" s="1086"/>
      <c r="I175" s="1086"/>
      <c r="J175" s="1086"/>
      <c r="K175" s="1086"/>
      <c r="L175" s="1103"/>
      <c r="M175" s="173"/>
      <c r="N175" s="210"/>
      <c r="P175" s="171"/>
      <c r="Q175" s="171"/>
      <c r="R175" s="171"/>
      <c r="S175" s="51"/>
      <c r="T175" s="51"/>
      <c r="U175" s="171"/>
    </row>
    <row r="176" spans="1:35" ht="30" customHeight="1" x14ac:dyDescent="0.35">
      <c r="A176" s="465" t="s">
        <v>278</v>
      </c>
      <c r="B176" s="539">
        <v>1261</v>
      </c>
      <c r="C176" s="1017" t="s">
        <v>2709</v>
      </c>
      <c r="D176" s="1017"/>
      <c r="E176" s="541" t="s">
        <v>280</v>
      </c>
      <c r="F176" s="557" t="s">
        <v>2355</v>
      </c>
      <c r="G176" s="543" t="s">
        <v>279</v>
      </c>
      <c r="H176" s="559">
        <v>4</v>
      </c>
      <c r="I176" s="541" t="s">
        <v>281</v>
      </c>
      <c r="J176" s="1098" t="s">
        <v>2910</v>
      </c>
      <c r="K176" s="1098"/>
      <c r="L176" s="1187"/>
      <c r="M176" s="364"/>
      <c r="P176" s="171"/>
      <c r="Q176" s="171"/>
      <c r="R176" s="171"/>
      <c r="S176" s="51"/>
      <c r="T176" s="51"/>
      <c r="U176" s="171"/>
    </row>
    <row r="177" spans="1:23" ht="30" customHeight="1" x14ac:dyDescent="0.35">
      <c r="A177" s="545"/>
      <c r="B177" s="1021" t="s">
        <v>2921</v>
      </c>
      <c r="C177" s="1021"/>
      <c r="D177" s="1021"/>
      <c r="E177" s="509" t="s">
        <v>290</v>
      </c>
      <c r="F177" s="509" t="s">
        <v>322</v>
      </c>
      <c r="G177" s="1034" t="s">
        <v>323</v>
      </c>
      <c r="H177" s="1034"/>
      <c r="I177" s="509" t="s">
        <v>327</v>
      </c>
      <c r="J177" s="509" t="s">
        <v>419</v>
      </c>
      <c r="K177" s="1012" t="s">
        <v>2356</v>
      </c>
      <c r="L177" s="1023"/>
      <c r="M177" s="173"/>
      <c r="P177" s="171"/>
      <c r="Q177" s="171"/>
      <c r="R177" s="171"/>
      <c r="S177" s="51"/>
      <c r="T177" s="51"/>
      <c r="U177" s="171"/>
    </row>
    <row r="178" spans="1:23" ht="30" customHeight="1" thickBot="1" x14ac:dyDescent="0.4">
      <c r="A178" s="546"/>
      <c r="B178" s="1014">
        <v>93633.37</v>
      </c>
      <c r="C178" s="1014"/>
      <c r="D178" s="1014"/>
      <c r="E178" s="547"/>
      <c r="F178" s="548"/>
      <c r="G178" s="1015"/>
      <c r="H178" s="1015"/>
      <c r="I178" s="549"/>
      <c r="J178" s="550">
        <v>1.0202</v>
      </c>
      <c r="K178" s="551">
        <f>B178*J178</f>
        <v>95524.764073999992</v>
      </c>
      <c r="L178" s="552" t="s">
        <v>2355</v>
      </c>
      <c r="M178" s="173"/>
      <c r="O178" s="425"/>
    </row>
    <row r="179" spans="1:23" ht="30" customHeight="1" thickBot="1" x14ac:dyDescent="0.4">
      <c r="A179" s="1086"/>
      <c r="B179" s="1086"/>
      <c r="C179" s="1086"/>
      <c r="D179" s="1086"/>
      <c r="E179" s="1086"/>
      <c r="F179" s="1086"/>
      <c r="G179" s="1086"/>
      <c r="H179" s="1086"/>
      <c r="I179" s="1086"/>
      <c r="J179" s="1086"/>
      <c r="K179" s="1086"/>
      <c r="L179" s="1103"/>
      <c r="M179" s="173"/>
    </row>
    <row r="180" spans="1:23" ht="30" customHeight="1" x14ac:dyDescent="0.35">
      <c r="A180" s="465" t="s">
        <v>278</v>
      </c>
      <c r="B180" s="539">
        <v>1262</v>
      </c>
      <c r="C180" s="1017" t="s">
        <v>2581</v>
      </c>
      <c r="D180" s="1017"/>
      <c r="E180" s="541" t="s">
        <v>280</v>
      </c>
      <c r="F180" s="542" t="s">
        <v>7</v>
      </c>
      <c r="G180" s="560" t="s">
        <v>279</v>
      </c>
      <c r="H180" s="558">
        <v>2400</v>
      </c>
      <c r="I180" s="541" t="s">
        <v>281</v>
      </c>
      <c r="J180" s="1098" t="s">
        <v>2909</v>
      </c>
      <c r="K180" s="1098"/>
      <c r="L180" s="1187"/>
      <c r="M180" s="364"/>
      <c r="P180" s="171"/>
      <c r="Q180" s="171"/>
      <c r="R180" s="171"/>
      <c r="S180" s="51"/>
      <c r="T180" s="51"/>
      <c r="U180" s="171"/>
    </row>
    <row r="181" spans="1:23" s="208" customFormat="1" ht="30" customHeight="1" x14ac:dyDescent="0.35">
      <c r="A181" s="545"/>
      <c r="B181" s="1021" t="s">
        <v>2921</v>
      </c>
      <c r="C181" s="1021"/>
      <c r="D181" s="1021"/>
      <c r="E181" s="509" t="s">
        <v>290</v>
      </c>
      <c r="F181" s="509" t="s">
        <v>322</v>
      </c>
      <c r="G181" s="1034" t="s">
        <v>323</v>
      </c>
      <c r="H181" s="1034"/>
      <c r="I181" s="509" t="s">
        <v>327</v>
      </c>
      <c r="J181" s="509" t="s">
        <v>419</v>
      </c>
      <c r="K181" s="1012" t="s">
        <v>2356</v>
      </c>
      <c r="L181" s="1023"/>
      <c r="M181" s="173"/>
      <c r="O181" s="205"/>
      <c r="P181" s="75"/>
      <c r="Q181" s="75"/>
      <c r="R181" s="75"/>
      <c r="S181" s="213"/>
      <c r="T181" s="213"/>
      <c r="U181" s="75"/>
    </row>
    <row r="182" spans="1:23" ht="30" customHeight="1" thickBot="1" x14ac:dyDescent="0.4">
      <c r="A182" s="546"/>
      <c r="B182" s="1014">
        <v>1179.52</v>
      </c>
      <c r="C182" s="1014"/>
      <c r="D182" s="1014"/>
      <c r="E182" s="547"/>
      <c r="F182" s="548"/>
      <c r="G182" s="1015"/>
      <c r="H182" s="1015"/>
      <c r="I182" s="549"/>
      <c r="J182" s="550">
        <v>1.0202</v>
      </c>
      <c r="K182" s="551">
        <f>B182*J182</f>
        <v>1203.3463039999999</v>
      </c>
      <c r="L182" s="552" t="s">
        <v>7</v>
      </c>
      <c r="M182" s="173"/>
      <c r="P182" s="171"/>
      <c r="Q182" s="171"/>
      <c r="R182" s="171"/>
      <c r="S182" s="51"/>
      <c r="T182" s="51"/>
      <c r="U182" s="171"/>
    </row>
    <row r="183" spans="1:23" ht="30" customHeight="1" thickBot="1" x14ac:dyDescent="0.4">
      <c r="A183" s="1086"/>
      <c r="B183" s="1086"/>
      <c r="C183" s="1086"/>
      <c r="D183" s="1086"/>
      <c r="E183" s="1086"/>
      <c r="F183" s="1086"/>
      <c r="G183" s="1086"/>
      <c r="H183" s="1086"/>
      <c r="I183" s="1086"/>
      <c r="J183" s="1086"/>
      <c r="K183" s="1086"/>
      <c r="L183" s="1103"/>
      <c r="M183" s="173"/>
      <c r="N183" s="34"/>
      <c r="R183" s="171"/>
      <c r="S183" s="171"/>
      <c r="T183" s="171"/>
      <c r="U183" s="51"/>
      <c r="V183" s="51"/>
      <c r="W183" s="171"/>
    </row>
    <row r="184" spans="1:23" ht="30" customHeight="1" x14ac:dyDescent="0.35">
      <c r="A184" s="465" t="s">
        <v>278</v>
      </c>
      <c r="B184" s="539">
        <v>1311</v>
      </c>
      <c r="C184" s="1060" t="s">
        <v>286</v>
      </c>
      <c r="D184" s="1060"/>
      <c r="E184" s="541" t="s">
        <v>280</v>
      </c>
      <c r="F184" s="542" t="s">
        <v>8</v>
      </c>
      <c r="G184" s="543" t="s">
        <v>285</v>
      </c>
      <c r="H184" s="559">
        <v>4821</v>
      </c>
      <c r="I184" s="541" t="s">
        <v>281</v>
      </c>
      <c r="J184" s="1098" t="s">
        <v>2637</v>
      </c>
      <c r="K184" s="1098"/>
      <c r="L184" s="1187"/>
      <c r="M184" s="293"/>
      <c r="N184" s="220"/>
      <c r="P184" s="171"/>
      <c r="Q184" s="171"/>
      <c r="R184" s="171"/>
      <c r="S184" s="51"/>
      <c r="T184" s="51"/>
      <c r="U184" s="171"/>
    </row>
    <row r="185" spans="1:23" ht="30" customHeight="1" x14ac:dyDescent="0.35">
      <c r="A185" s="545" t="s">
        <v>288</v>
      </c>
      <c r="B185" s="1051" t="s">
        <v>282</v>
      </c>
      <c r="C185" s="1051"/>
      <c r="D185" s="1051"/>
      <c r="E185" s="530" t="s">
        <v>289</v>
      </c>
      <c r="F185" s="561" t="s">
        <v>290</v>
      </c>
      <c r="G185" s="509"/>
      <c r="H185" s="509"/>
      <c r="I185" s="1052" t="s">
        <v>405</v>
      </c>
      <c r="J185" s="1052"/>
      <c r="K185" s="1012" t="s">
        <v>292</v>
      </c>
      <c r="L185" s="1023"/>
      <c r="M185" s="173"/>
      <c r="P185" s="171"/>
      <c r="Q185" s="171"/>
      <c r="R185" s="171"/>
      <c r="S185" s="51"/>
      <c r="T185" s="51"/>
      <c r="U185" s="171"/>
    </row>
    <row r="186" spans="1:23" ht="30" customHeight="1" x14ac:dyDescent="0.35">
      <c r="A186" s="562" t="s">
        <v>293</v>
      </c>
      <c r="B186" s="1057" t="s">
        <v>294</v>
      </c>
      <c r="C186" s="1057"/>
      <c r="D186" s="1057"/>
      <c r="E186" s="563">
        <v>37000</v>
      </c>
      <c r="F186" s="444">
        <v>527</v>
      </c>
      <c r="G186" s="442"/>
      <c r="H186" s="17"/>
      <c r="I186" s="1044" t="s">
        <v>2638</v>
      </c>
      <c r="J186" s="1044"/>
      <c r="K186" s="444">
        <f>F186</f>
        <v>527</v>
      </c>
      <c r="L186" s="564" t="s">
        <v>8</v>
      </c>
      <c r="M186" s="173"/>
      <c r="N186" s="419"/>
      <c r="R186" s="171"/>
      <c r="S186" s="171"/>
      <c r="T186" s="171"/>
      <c r="U186" s="51"/>
      <c r="V186" s="51"/>
      <c r="W186" s="171"/>
    </row>
    <row r="187" spans="1:23" ht="30" customHeight="1" thickBot="1" x14ac:dyDescent="0.4">
      <c r="A187" s="241"/>
      <c r="B187" s="1059"/>
      <c r="C187" s="1059"/>
      <c r="D187" s="1059"/>
      <c r="E187" s="565"/>
      <c r="F187" s="566"/>
      <c r="G187" s="566"/>
      <c r="H187" s="567"/>
      <c r="I187" s="458"/>
      <c r="J187" s="568" t="s">
        <v>2356</v>
      </c>
      <c r="K187" s="444">
        <f>F186</f>
        <v>527</v>
      </c>
      <c r="L187" s="243" t="s">
        <v>8</v>
      </c>
      <c r="M187" s="173"/>
      <c r="P187" s="171"/>
      <c r="Q187" s="171"/>
      <c r="R187" s="171"/>
      <c r="S187" s="51"/>
      <c r="T187" s="51"/>
      <c r="U187" s="171"/>
    </row>
    <row r="188" spans="1:23" ht="30" customHeight="1" thickBot="1" x14ac:dyDescent="0.4">
      <c r="A188" s="1086"/>
      <c r="B188" s="1086"/>
      <c r="C188" s="1086"/>
      <c r="D188" s="1086"/>
      <c r="E188" s="1086"/>
      <c r="F188" s="1086"/>
      <c r="G188" s="1086"/>
      <c r="H188" s="1086"/>
      <c r="I188" s="1086"/>
      <c r="J188" s="1086"/>
      <c r="K188" s="1086"/>
      <c r="L188" s="1103"/>
      <c r="M188" s="173"/>
      <c r="N188" s="419"/>
      <c r="R188" s="171"/>
      <c r="S188" s="171"/>
      <c r="T188" s="171"/>
      <c r="U188" s="51"/>
      <c r="V188" s="51"/>
      <c r="W188" s="171"/>
    </row>
    <row r="189" spans="1:23" ht="30" customHeight="1" x14ac:dyDescent="0.35">
      <c r="A189" s="465" t="s">
        <v>278</v>
      </c>
      <c r="B189" s="539">
        <v>1312</v>
      </c>
      <c r="C189" s="1060" t="s">
        <v>295</v>
      </c>
      <c r="D189" s="1060"/>
      <c r="E189" s="541" t="s">
        <v>280</v>
      </c>
      <c r="F189" s="542" t="s">
        <v>8</v>
      </c>
      <c r="G189" s="543" t="s">
        <v>285</v>
      </c>
      <c r="H189" s="569">
        <v>3748</v>
      </c>
      <c r="I189" s="541" t="s">
        <v>281</v>
      </c>
      <c r="J189" s="1098" t="s">
        <v>296</v>
      </c>
      <c r="K189" s="1098"/>
      <c r="L189" s="1187"/>
      <c r="M189" s="363"/>
      <c r="P189" s="171"/>
      <c r="Q189" s="171"/>
      <c r="R189" s="171"/>
      <c r="S189" s="51"/>
      <c r="T189" s="51"/>
      <c r="U189" s="171"/>
    </row>
    <row r="190" spans="1:23" s="208" customFormat="1" ht="30" customHeight="1" x14ac:dyDescent="0.35">
      <c r="A190" s="545" t="s">
        <v>288</v>
      </c>
      <c r="B190" s="1051" t="s">
        <v>282</v>
      </c>
      <c r="C190" s="1051"/>
      <c r="D190" s="1051"/>
      <c r="E190" s="530" t="s">
        <v>289</v>
      </c>
      <c r="F190" s="561" t="s">
        <v>290</v>
      </c>
      <c r="G190" s="509"/>
      <c r="H190" s="509"/>
      <c r="I190" s="1052" t="s">
        <v>2301</v>
      </c>
      <c r="J190" s="1052"/>
      <c r="K190" s="1012" t="s">
        <v>292</v>
      </c>
      <c r="L190" s="1023"/>
      <c r="M190" s="173"/>
      <c r="O190" s="205"/>
      <c r="P190" s="75"/>
      <c r="Q190" s="75"/>
      <c r="R190" s="75"/>
      <c r="S190" s="213"/>
      <c r="T190" s="213"/>
      <c r="U190" s="75"/>
    </row>
    <row r="191" spans="1:23" s="27" customFormat="1" ht="30" customHeight="1" x14ac:dyDescent="0.35">
      <c r="A191" s="562">
        <v>13181</v>
      </c>
      <c r="B191" s="1057" t="s">
        <v>297</v>
      </c>
      <c r="C191" s="1057"/>
      <c r="D191" s="1057"/>
      <c r="E191" s="563">
        <v>26000</v>
      </c>
      <c r="F191" s="441">
        <v>377</v>
      </c>
      <c r="G191" s="442"/>
      <c r="H191" s="17"/>
      <c r="I191" s="1044">
        <f>+'2021 MILCON Inflation Table'!F15</f>
        <v>1.0621074668527564</v>
      </c>
      <c r="J191" s="1044"/>
      <c r="K191" s="463">
        <f>+F191*I191</f>
        <v>400.41451500348916</v>
      </c>
      <c r="L191" s="564" t="s">
        <v>8</v>
      </c>
      <c r="M191" s="173"/>
      <c r="N191" s="63"/>
      <c r="O191" s="207"/>
    </row>
    <row r="192" spans="1:23" ht="30" customHeight="1" thickBot="1" x14ac:dyDescent="0.4">
      <c r="A192" s="241"/>
      <c r="B192" s="1059"/>
      <c r="C192" s="1059"/>
      <c r="D192" s="1059"/>
      <c r="E192" s="1197" t="s">
        <v>2710</v>
      </c>
      <c r="F192" s="1197"/>
      <c r="G192" s="1197"/>
      <c r="H192" s="1197"/>
      <c r="I192" s="458"/>
      <c r="J192" s="568" t="s">
        <v>2356</v>
      </c>
      <c r="K192" s="459">
        <f>+K191</f>
        <v>400.41451500348916</v>
      </c>
      <c r="L192" s="243" t="s">
        <v>8</v>
      </c>
      <c r="M192" s="173"/>
    </row>
    <row r="193" spans="1:21" ht="30" customHeight="1" thickBot="1" x14ac:dyDescent="0.4">
      <c r="A193" s="1086"/>
      <c r="B193" s="1086"/>
      <c r="C193" s="1086"/>
      <c r="D193" s="1086"/>
      <c r="E193" s="1086"/>
      <c r="F193" s="1086"/>
      <c r="G193" s="1086"/>
      <c r="H193" s="1086"/>
      <c r="I193" s="1086"/>
      <c r="J193" s="1086"/>
      <c r="K193" s="1086"/>
      <c r="L193" s="1103"/>
      <c r="M193" s="363"/>
    </row>
    <row r="194" spans="1:21" ht="30" customHeight="1" x14ac:dyDescent="0.35">
      <c r="A194" s="465" t="s">
        <v>278</v>
      </c>
      <c r="B194" s="539">
        <v>1321</v>
      </c>
      <c r="C194" s="1060" t="s">
        <v>294</v>
      </c>
      <c r="D194" s="1060"/>
      <c r="E194" s="541" t="s">
        <v>280</v>
      </c>
      <c r="F194" s="542" t="s">
        <v>10</v>
      </c>
      <c r="G194" s="543" t="s">
        <v>279</v>
      </c>
      <c r="H194" s="569">
        <v>1</v>
      </c>
      <c r="I194" s="541" t="s">
        <v>281</v>
      </c>
      <c r="J194" s="1098" t="s">
        <v>2371</v>
      </c>
      <c r="K194" s="1098"/>
      <c r="L194" s="1187"/>
      <c r="M194" s="363"/>
      <c r="P194" s="171"/>
      <c r="Q194" s="171"/>
      <c r="R194" s="171"/>
      <c r="S194" s="51"/>
      <c r="T194" s="51"/>
      <c r="U194" s="171"/>
    </row>
    <row r="195" spans="1:21" s="208" customFormat="1" ht="30" customHeight="1" x14ac:dyDescent="0.35">
      <c r="A195" s="545" t="s">
        <v>298</v>
      </c>
      <c r="B195" s="1117" t="s">
        <v>282</v>
      </c>
      <c r="C195" s="1117"/>
      <c r="D195" s="1117"/>
      <c r="E195" s="561" t="s">
        <v>290</v>
      </c>
      <c r="F195" s="561" t="s">
        <v>2</v>
      </c>
      <c r="G195" s="1052"/>
      <c r="H195" s="1052"/>
      <c r="I195" s="1052" t="s">
        <v>299</v>
      </c>
      <c r="J195" s="1052"/>
      <c r="K195" s="1012" t="s">
        <v>292</v>
      </c>
      <c r="L195" s="1023"/>
      <c r="M195" s="173"/>
      <c r="N195" s="63"/>
      <c r="O195" s="205"/>
      <c r="P195" s="75"/>
      <c r="Q195" s="75"/>
      <c r="R195" s="75"/>
      <c r="S195" s="213"/>
      <c r="T195" s="213"/>
      <c r="U195" s="75"/>
    </row>
    <row r="196" spans="1:21" s="27" customFormat="1" ht="30" customHeight="1" x14ac:dyDescent="0.35">
      <c r="A196" s="562" t="s">
        <v>300</v>
      </c>
      <c r="B196" s="1203" t="s">
        <v>301</v>
      </c>
      <c r="C196" s="1203"/>
      <c r="D196" s="1203"/>
      <c r="E196" s="460">
        <f>(50500+74000)/2</f>
        <v>62250</v>
      </c>
      <c r="F196" s="460" t="s">
        <v>10</v>
      </c>
      <c r="G196" s="1201"/>
      <c r="H196" s="1201"/>
      <c r="I196" s="1211">
        <v>1.02</v>
      </c>
      <c r="J196" s="1211"/>
      <c r="K196" s="463">
        <f>+E196*I196</f>
        <v>63495</v>
      </c>
      <c r="L196" s="564" t="s">
        <v>10</v>
      </c>
      <c r="M196" s="173"/>
      <c r="N196" s="63"/>
      <c r="O196" s="207"/>
    </row>
    <row r="197" spans="1:21" s="27" customFormat="1" ht="30" customHeight="1" x14ac:dyDescent="0.35">
      <c r="A197" s="241"/>
      <c r="B197" s="516"/>
      <c r="C197" s="570"/>
      <c r="D197" s="571"/>
      <c r="E197" s="572"/>
      <c r="F197" s="1029" t="s">
        <v>302</v>
      </c>
      <c r="G197" s="1058" t="s">
        <v>303</v>
      </c>
      <c r="H197" s="1058"/>
      <c r="I197" s="1058"/>
      <c r="J197" s="1058"/>
      <c r="K197" s="573">
        <v>1.07</v>
      </c>
      <c r="L197" s="574"/>
      <c r="M197" s="173"/>
      <c r="N197" s="214"/>
      <c r="O197" s="207"/>
    </row>
    <row r="198" spans="1:21" s="27" customFormat="1" ht="30" customHeight="1" x14ac:dyDescent="0.35">
      <c r="A198" s="241"/>
      <c r="B198" s="516"/>
      <c r="C198" s="570"/>
      <c r="D198" s="571"/>
      <c r="E198" s="572"/>
      <c r="F198" s="1029"/>
      <c r="G198" s="1073" t="s">
        <v>2374</v>
      </c>
      <c r="H198" s="1073"/>
      <c r="I198" s="1073"/>
      <c r="J198" s="1073"/>
      <c r="K198" s="573">
        <v>1.08</v>
      </c>
      <c r="L198" s="574"/>
      <c r="M198" s="363"/>
      <c r="N198" s="63"/>
      <c r="O198" s="207"/>
    </row>
    <row r="199" spans="1:21" ht="30" customHeight="1" x14ac:dyDescent="0.35">
      <c r="A199" s="575"/>
      <c r="B199" s="1082"/>
      <c r="C199" s="1082"/>
      <c r="D199" s="1082"/>
      <c r="E199" s="576"/>
      <c r="F199" s="577"/>
      <c r="G199" s="577"/>
      <c r="H199" s="578" t="s">
        <v>304</v>
      </c>
      <c r="I199" s="579"/>
      <c r="J199" s="580" t="s">
        <v>2356</v>
      </c>
      <c r="K199" s="581">
        <f>K196*K197/K198</f>
        <v>62907.083333333336</v>
      </c>
      <c r="L199" s="552" t="s">
        <v>10</v>
      </c>
      <c r="M199" s="173"/>
      <c r="N199" s="215"/>
    </row>
    <row r="200" spans="1:21" ht="30" customHeight="1" x14ac:dyDescent="0.35">
      <c r="A200" s="582"/>
      <c r="B200" s="499"/>
      <c r="C200" s="499"/>
      <c r="D200" s="499"/>
      <c r="E200" s="18"/>
      <c r="F200" s="18"/>
      <c r="G200" s="19" t="s">
        <v>2358</v>
      </c>
      <c r="H200" s="18"/>
      <c r="I200" s="20"/>
      <c r="J200" s="583">
        <f>VLOOKUP(B194,'Mil Cost Premiums for PUCs'!$A$4:$R$272,18,FALSE)</f>
        <v>1.0209999999999999</v>
      </c>
      <c r="K200" s="200">
        <f>+K199*J200</f>
        <v>64228.13208333333</v>
      </c>
      <c r="L200" s="584" t="s">
        <v>10</v>
      </c>
      <c r="M200" s="173"/>
      <c r="N200" s="57"/>
    </row>
    <row r="201" spans="1:21" ht="60" customHeight="1" x14ac:dyDescent="0.35">
      <c r="A201" s="1064" t="s">
        <v>305</v>
      </c>
      <c r="B201" s="1067"/>
      <c r="C201" s="1067"/>
      <c r="D201" s="1067"/>
      <c r="E201" s="1067"/>
      <c r="F201" s="1067"/>
      <c r="G201" s="1067"/>
      <c r="H201" s="1067"/>
      <c r="I201" s="1067"/>
      <c r="J201" s="1067"/>
      <c r="K201" s="1067"/>
      <c r="L201" s="1126"/>
      <c r="M201" s="173"/>
    </row>
    <row r="202" spans="1:21" ht="30" customHeight="1" x14ac:dyDescent="0.35">
      <c r="A202" s="1238" t="s">
        <v>306</v>
      </c>
      <c r="B202" s="1239"/>
      <c r="C202" s="1239"/>
      <c r="D202" s="1125" t="s">
        <v>2716</v>
      </c>
      <c r="E202" s="1125"/>
      <c r="F202" s="1125"/>
      <c r="G202" s="1125"/>
      <c r="H202" s="1125"/>
      <c r="I202" s="1125"/>
      <c r="J202" s="1125"/>
      <c r="K202" s="1125"/>
      <c r="L202" s="1235"/>
      <c r="M202" s="173"/>
    </row>
    <row r="203" spans="1:21" ht="30" customHeight="1" x14ac:dyDescent="0.35">
      <c r="A203" s="1233" t="s">
        <v>307</v>
      </c>
      <c r="B203" s="1234"/>
      <c r="C203" s="1234"/>
      <c r="D203" s="1125" t="s">
        <v>2305</v>
      </c>
      <c r="E203" s="1125"/>
      <c r="F203" s="1125"/>
      <c r="G203" s="1125"/>
      <c r="H203" s="1125"/>
      <c r="I203" s="1125"/>
      <c r="J203" s="1125"/>
      <c r="K203" s="1125"/>
      <c r="L203" s="1235"/>
      <c r="M203" s="173"/>
    </row>
    <row r="204" spans="1:21" ht="30" customHeight="1" x14ac:dyDescent="0.35">
      <c r="A204" s="1233" t="s">
        <v>308</v>
      </c>
      <c r="B204" s="1234"/>
      <c r="C204" s="1234"/>
      <c r="D204" s="1125" t="s">
        <v>2712</v>
      </c>
      <c r="E204" s="1125"/>
      <c r="F204" s="1125"/>
      <c r="G204" s="1125"/>
      <c r="H204" s="1125"/>
      <c r="I204" s="1125"/>
      <c r="J204" s="1125"/>
      <c r="K204" s="1125"/>
      <c r="L204" s="1235"/>
      <c r="M204" s="173"/>
      <c r="N204" s="21"/>
    </row>
    <row r="205" spans="1:21" ht="30" customHeight="1" x14ac:dyDescent="0.35">
      <c r="A205" s="1233" t="s">
        <v>309</v>
      </c>
      <c r="B205" s="1234"/>
      <c r="C205" s="1234"/>
      <c r="D205" s="1129" t="s">
        <v>310</v>
      </c>
      <c r="E205" s="1129"/>
      <c r="F205" s="1129"/>
      <c r="G205" s="1129"/>
      <c r="H205" s="1129"/>
      <c r="I205" s="1129"/>
      <c r="J205" s="1129"/>
      <c r="K205" s="1129"/>
      <c r="L205" s="1130"/>
      <c r="M205" s="173"/>
    </row>
    <row r="206" spans="1:21" ht="30" customHeight="1" x14ac:dyDescent="0.35">
      <c r="A206" s="1233" t="s">
        <v>311</v>
      </c>
      <c r="B206" s="1234"/>
      <c r="C206" s="1234"/>
      <c r="D206" s="1125" t="s">
        <v>312</v>
      </c>
      <c r="E206" s="1125"/>
      <c r="F206" s="1125"/>
      <c r="G206" s="1125"/>
      <c r="H206" s="1125"/>
      <c r="I206" s="1125"/>
      <c r="J206" s="1125"/>
      <c r="K206" s="1125"/>
      <c r="L206" s="1235"/>
      <c r="M206" s="173"/>
    </row>
    <row r="207" spans="1:21" ht="30" customHeight="1" x14ac:dyDescent="0.35">
      <c r="A207" s="1233" t="s">
        <v>313</v>
      </c>
      <c r="B207" s="1234"/>
      <c r="C207" s="1234"/>
      <c r="D207" s="1125" t="s">
        <v>314</v>
      </c>
      <c r="E207" s="1125"/>
      <c r="F207" s="1125"/>
      <c r="G207" s="1125"/>
      <c r="H207" s="1125"/>
      <c r="I207" s="1125"/>
      <c r="J207" s="1125"/>
      <c r="K207" s="1125"/>
      <c r="L207" s="1235"/>
      <c r="M207" s="173"/>
    </row>
    <row r="208" spans="1:21" ht="30" customHeight="1" x14ac:dyDescent="0.35">
      <c r="A208" s="1233" t="s">
        <v>315</v>
      </c>
      <c r="B208" s="1234"/>
      <c r="C208" s="1234"/>
      <c r="D208" s="1125" t="s">
        <v>2160</v>
      </c>
      <c r="E208" s="1125"/>
      <c r="F208" s="1125"/>
      <c r="G208" s="1125"/>
      <c r="H208" s="1125"/>
      <c r="I208" s="1125"/>
      <c r="J208" s="1125"/>
      <c r="K208" s="1125"/>
      <c r="L208" s="1235"/>
      <c r="M208" s="173"/>
    </row>
    <row r="209" spans="1:21" ht="30" customHeight="1" x14ac:dyDescent="0.35">
      <c r="A209" s="1233" t="s">
        <v>316</v>
      </c>
      <c r="B209" s="1234"/>
      <c r="C209" s="1234"/>
      <c r="D209" s="1118" t="s">
        <v>317</v>
      </c>
      <c r="E209" s="1118"/>
      <c r="F209" s="1118"/>
      <c r="G209" s="1118"/>
      <c r="H209" s="1118"/>
      <c r="I209" s="1118"/>
      <c r="J209" s="1118"/>
      <c r="K209" s="1118"/>
      <c r="L209" s="1119"/>
      <c r="M209" s="173"/>
    </row>
    <row r="210" spans="1:21" ht="30" customHeight="1" thickBot="1" x14ac:dyDescent="0.4">
      <c r="A210" s="1236" t="s">
        <v>318</v>
      </c>
      <c r="B210" s="1237"/>
      <c r="C210" s="1237"/>
      <c r="D210" s="1068" t="s">
        <v>2717</v>
      </c>
      <c r="E210" s="1068"/>
      <c r="F210" s="1068"/>
      <c r="G210" s="1068"/>
      <c r="H210" s="1068"/>
      <c r="I210" s="1068"/>
      <c r="J210" s="1068"/>
      <c r="K210" s="1068"/>
      <c r="L210" s="1120"/>
      <c r="M210" s="173"/>
    </row>
    <row r="211" spans="1:21" ht="30" customHeight="1" thickBot="1" x14ac:dyDescent="0.4">
      <c r="A211" s="1086"/>
      <c r="B211" s="1086"/>
      <c r="C211" s="1086"/>
      <c r="D211" s="1086"/>
      <c r="E211" s="1086"/>
      <c r="F211" s="1086"/>
      <c r="G211" s="1086"/>
      <c r="H211" s="1086"/>
      <c r="I211" s="1086"/>
      <c r="J211" s="1086"/>
      <c r="K211" s="1086"/>
      <c r="L211" s="1103"/>
      <c r="M211" s="173"/>
    </row>
    <row r="212" spans="1:21" ht="30" customHeight="1" x14ac:dyDescent="0.35">
      <c r="A212" s="465" t="s">
        <v>278</v>
      </c>
      <c r="B212" s="539">
        <v>1331</v>
      </c>
      <c r="C212" s="1060" t="s">
        <v>319</v>
      </c>
      <c r="D212" s="1060"/>
      <c r="E212" s="541" t="s">
        <v>280</v>
      </c>
      <c r="F212" s="542" t="s">
        <v>8</v>
      </c>
      <c r="G212" s="543" t="s">
        <v>285</v>
      </c>
      <c r="H212" s="569">
        <v>2650</v>
      </c>
      <c r="I212" s="541" t="s">
        <v>281</v>
      </c>
      <c r="J212" s="1098" t="s">
        <v>2639</v>
      </c>
      <c r="K212" s="1098"/>
      <c r="L212" s="1187"/>
      <c r="M212" s="173"/>
      <c r="P212" s="171"/>
      <c r="Q212" s="171"/>
      <c r="R212" s="171"/>
      <c r="S212" s="51"/>
      <c r="T212" s="51"/>
      <c r="U212" s="171"/>
    </row>
    <row r="213" spans="1:21" s="208" customFormat="1" ht="30" customHeight="1" x14ac:dyDescent="0.35">
      <c r="A213" s="545" t="s">
        <v>288</v>
      </c>
      <c r="B213" s="1051" t="s">
        <v>282</v>
      </c>
      <c r="C213" s="1051"/>
      <c r="D213" s="1051"/>
      <c r="E213" s="530" t="s">
        <v>289</v>
      </c>
      <c r="F213" s="561" t="s">
        <v>290</v>
      </c>
      <c r="G213" s="509"/>
      <c r="H213" s="509"/>
      <c r="I213" s="1052" t="s">
        <v>405</v>
      </c>
      <c r="J213" s="1052"/>
      <c r="K213" s="1012" t="s">
        <v>292</v>
      </c>
      <c r="L213" s="1023"/>
      <c r="M213" s="173"/>
      <c r="O213" s="205"/>
      <c r="P213" s="75"/>
      <c r="Q213" s="75"/>
      <c r="R213" s="75"/>
      <c r="S213" s="213"/>
      <c r="T213" s="213"/>
      <c r="U213" s="75"/>
    </row>
    <row r="214" spans="1:21" s="27" customFormat="1" ht="30" customHeight="1" x14ac:dyDescent="0.35">
      <c r="A214" s="562" t="s">
        <v>293</v>
      </c>
      <c r="B214" s="1057" t="s">
        <v>294</v>
      </c>
      <c r="C214" s="1057"/>
      <c r="D214" s="1057"/>
      <c r="E214" s="563">
        <v>37000</v>
      </c>
      <c r="F214" s="444">
        <v>527</v>
      </c>
      <c r="G214" s="442"/>
      <c r="H214" s="17"/>
      <c r="I214" s="1044" t="s">
        <v>2638</v>
      </c>
      <c r="J214" s="1044"/>
      <c r="K214" s="444">
        <f>F214</f>
        <v>527</v>
      </c>
      <c r="L214" s="564" t="s">
        <v>8</v>
      </c>
      <c r="M214" s="173"/>
      <c r="N214" s="214"/>
      <c r="O214" s="207"/>
    </row>
    <row r="215" spans="1:21" ht="30" customHeight="1" thickBot="1" x14ac:dyDescent="0.4">
      <c r="A215" s="241"/>
      <c r="B215" s="1059"/>
      <c r="C215" s="1059"/>
      <c r="D215" s="1059"/>
      <c r="E215" s="565"/>
      <c r="F215" s="566"/>
      <c r="G215" s="566"/>
      <c r="H215" s="567"/>
      <c r="I215" s="458"/>
      <c r="J215" s="568" t="s">
        <v>2356</v>
      </c>
      <c r="K215" s="585">
        <f>F214</f>
        <v>527</v>
      </c>
      <c r="L215" s="243" t="s">
        <v>8</v>
      </c>
      <c r="M215" s="173"/>
    </row>
    <row r="216" spans="1:21" ht="30" customHeight="1" thickBot="1" x14ac:dyDescent="0.4">
      <c r="A216" s="1086"/>
      <c r="B216" s="1086"/>
      <c r="C216" s="1086"/>
      <c r="D216" s="1086"/>
      <c r="E216" s="1086"/>
      <c r="F216" s="1086"/>
      <c r="G216" s="1086"/>
      <c r="H216" s="1086"/>
      <c r="I216" s="1086"/>
      <c r="J216" s="1086"/>
      <c r="K216" s="1086"/>
      <c r="L216" s="1103"/>
      <c r="M216" s="173"/>
    </row>
    <row r="217" spans="1:21" ht="30" customHeight="1" x14ac:dyDescent="0.35">
      <c r="A217" s="465" t="s">
        <v>278</v>
      </c>
      <c r="B217" s="539">
        <v>1341</v>
      </c>
      <c r="C217" s="586" t="s">
        <v>320</v>
      </c>
      <c r="D217" s="587"/>
      <c r="E217" s="541" t="s">
        <v>280</v>
      </c>
      <c r="F217" s="542" t="s">
        <v>10</v>
      </c>
      <c r="G217" s="543" t="s">
        <v>285</v>
      </c>
      <c r="H217" s="587">
        <v>3</v>
      </c>
      <c r="I217" s="541" t="s">
        <v>281</v>
      </c>
      <c r="J217" s="1098" t="s">
        <v>2371</v>
      </c>
      <c r="K217" s="1098"/>
      <c r="L217" s="1187"/>
      <c r="M217" s="173"/>
      <c r="N217" s="68"/>
      <c r="O217" s="203"/>
      <c r="P217" s="216"/>
      <c r="Q217" s="68"/>
      <c r="R217" s="217"/>
    </row>
    <row r="218" spans="1:21" s="208" customFormat="1" ht="30" customHeight="1" x14ac:dyDescent="0.35">
      <c r="A218" s="588" t="s">
        <v>298</v>
      </c>
      <c r="B218" s="1038" t="s">
        <v>321</v>
      </c>
      <c r="C218" s="1038"/>
      <c r="D218" s="1038"/>
      <c r="E218" s="23" t="s">
        <v>290</v>
      </c>
      <c r="F218" s="23" t="s">
        <v>322</v>
      </c>
      <c r="G218" s="1034" t="s">
        <v>323</v>
      </c>
      <c r="H218" s="1034"/>
      <c r="I218" s="1052" t="s">
        <v>299</v>
      </c>
      <c r="J218" s="1052"/>
      <c r="K218" s="1012" t="s">
        <v>292</v>
      </c>
      <c r="L218" s="1023"/>
      <c r="M218" s="173"/>
      <c r="N218" s="68"/>
      <c r="P218" s="216"/>
      <c r="Q218" s="68"/>
      <c r="R218" s="217"/>
    </row>
    <row r="219" spans="1:21" ht="30" customHeight="1" x14ac:dyDescent="0.35">
      <c r="A219" s="241" t="s">
        <v>324</v>
      </c>
      <c r="B219" s="1082" t="s">
        <v>2713</v>
      </c>
      <c r="C219" s="1082"/>
      <c r="D219" s="1082"/>
      <c r="E219" s="453">
        <v>99</v>
      </c>
      <c r="F219" s="446" t="s">
        <v>8</v>
      </c>
      <c r="G219" s="589">
        <v>100</v>
      </c>
      <c r="H219" s="571" t="s">
        <v>325</v>
      </c>
      <c r="I219" s="1163">
        <v>1.03</v>
      </c>
      <c r="J219" s="1163"/>
      <c r="K219" s="453">
        <f>+E219*G219*I219</f>
        <v>10197</v>
      </c>
      <c r="L219" s="243" t="s">
        <v>10</v>
      </c>
      <c r="M219" s="173"/>
      <c r="N219" s="68"/>
      <c r="O219" s="203"/>
      <c r="P219" s="216"/>
      <c r="Q219" s="68"/>
      <c r="R219" s="217"/>
    </row>
    <row r="220" spans="1:21" ht="30" customHeight="1" x14ac:dyDescent="0.35">
      <c r="A220" s="241"/>
      <c r="B220" s="1102" t="s">
        <v>2364</v>
      </c>
      <c r="C220" s="1102"/>
      <c r="D220" s="1102"/>
      <c r="E220" s="453"/>
      <c r="F220" s="1029" t="s">
        <v>302</v>
      </c>
      <c r="G220" s="1058" t="s">
        <v>303</v>
      </c>
      <c r="H220" s="1058"/>
      <c r="I220" s="1058"/>
      <c r="J220" s="1058"/>
      <c r="K220" s="573">
        <v>1.07</v>
      </c>
      <c r="L220" s="243"/>
      <c r="M220" s="173"/>
      <c r="N220" s="68"/>
      <c r="O220" s="203"/>
      <c r="P220" s="216"/>
      <c r="Q220" s="68"/>
      <c r="R220" s="217"/>
    </row>
    <row r="221" spans="1:21" ht="30" customHeight="1" x14ac:dyDescent="0.35">
      <c r="A221" s="241"/>
      <c r="B221" s="506"/>
      <c r="C221" s="506"/>
      <c r="D221" s="506"/>
      <c r="E221" s="453"/>
      <c r="F221" s="1029"/>
      <c r="G221" s="1073" t="s">
        <v>2374</v>
      </c>
      <c r="H221" s="1073"/>
      <c r="I221" s="1073"/>
      <c r="J221" s="1073"/>
      <c r="K221" s="573">
        <v>1.08</v>
      </c>
      <c r="L221" s="243"/>
      <c r="M221" s="173"/>
      <c r="N221" s="68"/>
      <c r="O221" s="203"/>
      <c r="P221" s="216"/>
      <c r="Q221" s="68"/>
      <c r="R221" s="217"/>
    </row>
    <row r="222" spans="1:21" ht="30" customHeight="1" x14ac:dyDescent="0.35">
      <c r="A222" s="241"/>
      <c r="B222" s="446"/>
      <c r="C222" s="458"/>
      <c r="D222" s="458"/>
      <c r="E222" s="458"/>
      <c r="F222" s="458"/>
      <c r="G222" s="458"/>
      <c r="H222" s="458"/>
      <c r="I222" s="458"/>
      <c r="J222" s="590" t="s">
        <v>2356</v>
      </c>
      <c r="K222" s="591">
        <f>+K219*K220/K221</f>
        <v>10102.583333333334</v>
      </c>
      <c r="L222" s="243" t="s">
        <v>10</v>
      </c>
      <c r="M222" s="173"/>
      <c r="N222" s="68"/>
      <c r="O222" s="203"/>
      <c r="P222" s="218"/>
      <c r="Q222" s="68"/>
      <c r="R222" s="217"/>
    </row>
    <row r="223" spans="1:21" ht="30" customHeight="1" thickBot="1" x14ac:dyDescent="0.4">
      <c r="A223" s="241"/>
      <c r="B223" s="446"/>
      <c r="C223" s="458"/>
      <c r="D223" s="458"/>
      <c r="E223" s="458"/>
      <c r="F223" s="458"/>
      <c r="G223" s="592" t="s">
        <v>2358</v>
      </c>
      <c r="H223" s="458"/>
      <c r="I223" s="458"/>
      <c r="J223" s="583">
        <f>VLOOKUP(B217,'Mil Cost Premiums for PUCs'!$A$4:$R$272,18,FALSE)</f>
        <v>1.0209999999999999</v>
      </c>
      <c r="K223" s="591">
        <f>+K222*J223</f>
        <v>10314.737583333334</v>
      </c>
      <c r="L223" s="243" t="s">
        <v>10</v>
      </c>
      <c r="M223" s="173"/>
      <c r="N223" s="68"/>
      <c r="O223" s="203"/>
      <c r="P223" s="218"/>
      <c r="Q223" s="68"/>
      <c r="R223" s="217"/>
    </row>
    <row r="224" spans="1:21" ht="30" customHeight="1" thickBot="1" x14ac:dyDescent="0.4">
      <c r="A224" s="1086"/>
      <c r="B224" s="1086"/>
      <c r="C224" s="1086"/>
      <c r="D224" s="1086"/>
      <c r="E224" s="1086"/>
      <c r="F224" s="1086"/>
      <c r="G224" s="1086"/>
      <c r="H224" s="1086"/>
      <c r="I224" s="1086"/>
      <c r="J224" s="1086"/>
      <c r="K224" s="1086"/>
      <c r="L224" s="1103"/>
      <c r="M224" s="173"/>
      <c r="N224" s="68"/>
      <c r="O224" s="203"/>
      <c r="P224" s="218"/>
      <c r="Q224" s="68"/>
      <c r="R224" s="217"/>
    </row>
    <row r="225" spans="1:18" ht="30" customHeight="1" x14ac:dyDescent="0.35">
      <c r="A225" s="593" t="s">
        <v>0</v>
      </c>
      <c r="B225" s="433">
        <v>1351</v>
      </c>
      <c r="C225" s="1096" t="s">
        <v>326</v>
      </c>
      <c r="D225" s="1096"/>
      <c r="E225" s="594" t="s">
        <v>280</v>
      </c>
      <c r="F225" s="539" t="s">
        <v>13</v>
      </c>
      <c r="G225" s="543" t="s">
        <v>279</v>
      </c>
      <c r="H225" s="569">
        <v>1</v>
      </c>
      <c r="I225" s="541" t="s">
        <v>281</v>
      </c>
      <c r="J225" s="1098" t="s">
        <v>2714</v>
      </c>
      <c r="K225" s="1098"/>
      <c r="L225" s="1187"/>
      <c r="M225" s="173"/>
      <c r="N225" s="68"/>
      <c r="O225" s="203"/>
      <c r="P225" s="218"/>
      <c r="Q225" s="68"/>
      <c r="R225" s="217"/>
    </row>
    <row r="226" spans="1:18" s="208" customFormat="1" ht="30" customHeight="1" x14ac:dyDescent="0.35">
      <c r="A226" s="588" t="s">
        <v>298</v>
      </c>
      <c r="B226" s="595" t="s">
        <v>321</v>
      </c>
      <c r="C226" s="1240"/>
      <c r="D226" s="1240"/>
      <c r="E226" s="510" t="s">
        <v>290</v>
      </c>
      <c r="F226" s="510" t="s">
        <v>322</v>
      </c>
      <c r="G226" s="510" t="s">
        <v>323</v>
      </c>
      <c r="H226" s="510"/>
      <c r="I226" s="509" t="s">
        <v>299</v>
      </c>
      <c r="J226" s="509" t="s">
        <v>327</v>
      </c>
      <c r="K226" s="1012" t="s">
        <v>292</v>
      </c>
      <c r="L226" s="1023"/>
      <c r="M226" s="173"/>
      <c r="N226" s="68"/>
      <c r="P226" s="218"/>
      <c r="Q226" s="68"/>
      <c r="R226" s="217"/>
    </row>
    <row r="227" spans="1:18" ht="30" customHeight="1" x14ac:dyDescent="0.35">
      <c r="A227" s="596">
        <v>13510</v>
      </c>
      <c r="B227" s="1116" t="s">
        <v>328</v>
      </c>
      <c r="C227" s="1116"/>
      <c r="D227" s="1116"/>
      <c r="E227" s="597">
        <v>3.1</v>
      </c>
      <c r="F227" s="598" t="s">
        <v>6</v>
      </c>
      <c r="G227" s="599">
        <v>5280</v>
      </c>
      <c r="H227" s="598" t="s">
        <v>329</v>
      </c>
      <c r="I227" s="600">
        <f>+'2021 MILCON Inflation Table'!F20</f>
        <v>0.9432470865927236</v>
      </c>
      <c r="J227" s="601"/>
      <c r="K227" s="597">
        <f>+E227*I227*G227</f>
        <v>15439.0683133497</v>
      </c>
      <c r="L227" s="602" t="s">
        <v>13</v>
      </c>
      <c r="M227" s="173"/>
      <c r="N227" s="68"/>
      <c r="O227" s="203"/>
      <c r="P227" s="218"/>
      <c r="Q227" s="68"/>
      <c r="R227" s="217"/>
    </row>
    <row r="228" spans="1:18" ht="30" customHeight="1" x14ac:dyDescent="0.35">
      <c r="A228" s="596">
        <v>13510</v>
      </c>
      <c r="B228" s="1116" t="s">
        <v>2715</v>
      </c>
      <c r="C228" s="1116"/>
      <c r="D228" s="1116"/>
      <c r="E228" s="597">
        <v>996</v>
      </c>
      <c r="F228" s="598" t="s">
        <v>10</v>
      </c>
      <c r="G228" s="598">
        <v>6</v>
      </c>
      <c r="H228" s="598" t="s">
        <v>330</v>
      </c>
      <c r="I228" s="600">
        <f>+'2021 MILCON Inflation Table'!F20</f>
        <v>0.9432470865927236</v>
      </c>
      <c r="J228" s="601"/>
      <c r="K228" s="597">
        <f>+E228*I228*G228</f>
        <v>5636.8445894781162</v>
      </c>
      <c r="L228" s="602" t="s">
        <v>13</v>
      </c>
      <c r="M228" s="173"/>
      <c r="N228" s="13"/>
      <c r="O228" s="203"/>
      <c r="P228" s="218"/>
      <c r="Q228" s="68"/>
      <c r="R228" s="217"/>
    </row>
    <row r="229" spans="1:18" ht="30" customHeight="1" x14ac:dyDescent="0.35">
      <c r="A229" s="596" t="s">
        <v>331</v>
      </c>
      <c r="B229" s="1203" t="s">
        <v>332</v>
      </c>
      <c r="C229" s="1203"/>
      <c r="D229" s="1203"/>
      <c r="E229" s="597">
        <v>7.09</v>
      </c>
      <c r="F229" s="598" t="s">
        <v>333</v>
      </c>
      <c r="G229" s="599">
        <v>5280</v>
      </c>
      <c r="H229" s="598" t="s">
        <v>329</v>
      </c>
      <c r="I229" s="601">
        <v>1.03</v>
      </c>
      <c r="J229" s="601">
        <f>1.07/1.08</f>
        <v>0.9907407407407407</v>
      </c>
      <c r="K229" s="597">
        <f>+E229*G229*I229*J229</f>
        <v>38201.235111111113</v>
      </c>
      <c r="L229" s="602" t="s">
        <v>13</v>
      </c>
      <c r="M229" s="173"/>
      <c r="N229" s="63"/>
      <c r="O229" s="203"/>
      <c r="P229" s="218"/>
      <c r="Q229" s="68"/>
      <c r="R229" s="217"/>
    </row>
    <row r="230" spans="1:18" ht="30" customHeight="1" x14ac:dyDescent="0.35">
      <c r="A230" s="596" t="s">
        <v>331</v>
      </c>
      <c r="B230" s="1203" t="s">
        <v>334</v>
      </c>
      <c r="C230" s="1203"/>
      <c r="D230" s="1203"/>
      <c r="E230" s="597">
        <v>6.32</v>
      </c>
      <c r="F230" s="598" t="s">
        <v>333</v>
      </c>
      <c r="G230" s="599">
        <v>5280</v>
      </c>
      <c r="H230" s="598" t="s">
        <v>329</v>
      </c>
      <c r="I230" s="601">
        <v>1.03</v>
      </c>
      <c r="J230" s="601">
        <f>1.07/1.08</f>
        <v>0.9907407407407407</v>
      </c>
      <c r="K230" s="597">
        <f>+E230*G230*I230*J230</f>
        <v>34052.440888888887</v>
      </c>
      <c r="L230" s="602" t="s">
        <v>13</v>
      </c>
      <c r="M230" s="173"/>
      <c r="N230" s="63"/>
      <c r="O230" s="203"/>
      <c r="P230" s="218"/>
      <c r="Q230" s="68"/>
      <c r="R230" s="217"/>
    </row>
    <row r="231" spans="1:18" ht="30" customHeight="1" x14ac:dyDescent="0.35">
      <c r="A231" s="603"/>
      <c r="B231" s="604"/>
      <c r="C231" s="605"/>
      <c r="D231" s="606"/>
      <c r="E231" s="607"/>
      <c r="F231" s="458"/>
      <c r="G231" s="458"/>
      <c r="H231" s="458"/>
      <c r="I231" s="1163" t="s">
        <v>335</v>
      </c>
      <c r="J231" s="1163"/>
      <c r="K231" s="607">
        <f>SUM(K227:K230)</f>
        <v>93329.588902827818</v>
      </c>
      <c r="L231" s="574" t="s">
        <v>13</v>
      </c>
      <c r="M231" s="173"/>
      <c r="N231" s="68"/>
      <c r="O231" s="203"/>
      <c r="P231" s="218"/>
      <c r="Q231" s="68"/>
      <c r="R231" s="217"/>
    </row>
    <row r="232" spans="1:18" ht="30" customHeight="1" x14ac:dyDescent="0.35">
      <c r="A232" s="1198" t="s">
        <v>2739</v>
      </c>
      <c r="B232" s="1082"/>
      <c r="C232" s="1082"/>
      <c r="D232" s="1082"/>
      <c r="E232" s="1082"/>
      <c r="F232" s="608"/>
      <c r="G232" s="458"/>
      <c r="H232" s="458"/>
      <c r="I232" s="1163" t="s">
        <v>2356</v>
      </c>
      <c r="J232" s="1163"/>
      <c r="K232" s="607">
        <f>+K231</f>
        <v>93329.588902827818</v>
      </c>
      <c r="L232" s="574" t="s">
        <v>13</v>
      </c>
      <c r="M232" s="173"/>
      <c r="N232" s="68"/>
      <c r="O232" s="203"/>
      <c r="P232" s="218"/>
      <c r="Q232" s="68"/>
      <c r="R232" s="217"/>
    </row>
    <row r="233" spans="1:18" ht="30" customHeight="1" x14ac:dyDescent="0.35">
      <c r="A233" s="609"/>
      <c r="B233" s="610"/>
      <c r="C233" s="610"/>
      <c r="D233" s="610"/>
      <c r="E233" s="610"/>
      <c r="F233" s="608"/>
      <c r="G233" s="592" t="s">
        <v>2358</v>
      </c>
      <c r="H233" s="20"/>
      <c r="I233" s="492"/>
      <c r="J233" s="583">
        <f>VLOOKUP(B225,'Mil Cost Premiums for PUCs'!$A$4:$R$272,18,FALSE)</f>
        <v>1.0209999999999999</v>
      </c>
      <c r="K233" s="607">
        <f>+K232*J233</f>
        <v>95289.510269787192</v>
      </c>
      <c r="L233" s="574" t="s">
        <v>13</v>
      </c>
      <c r="M233" s="173"/>
      <c r="N233" s="68"/>
      <c r="O233" s="203"/>
      <c r="P233" s="218"/>
      <c r="Q233" s="68"/>
      <c r="R233" s="217"/>
    </row>
    <row r="234" spans="1:18" ht="60" customHeight="1" x14ac:dyDescent="0.35">
      <c r="A234" s="1198" t="s">
        <v>305</v>
      </c>
      <c r="B234" s="1082"/>
      <c r="C234" s="1082"/>
      <c r="D234" s="1082"/>
      <c r="E234" s="1082"/>
      <c r="F234" s="1082"/>
      <c r="G234" s="1082"/>
      <c r="H234" s="1082"/>
      <c r="I234" s="1082"/>
      <c r="J234" s="1082"/>
      <c r="K234" s="1082"/>
      <c r="L234" s="1199"/>
      <c r="M234" s="173"/>
      <c r="N234" s="68"/>
      <c r="O234" s="203"/>
      <c r="P234" s="218"/>
      <c r="Q234" s="68"/>
      <c r="R234" s="217"/>
    </row>
    <row r="235" spans="1:18" ht="30" customHeight="1" x14ac:dyDescent="0.35">
      <c r="A235" s="1136" t="s">
        <v>306</v>
      </c>
      <c r="B235" s="1137"/>
      <c r="C235" s="1137"/>
      <c r="D235" s="1145" t="s">
        <v>336</v>
      </c>
      <c r="E235" s="1145"/>
      <c r="F235" s="1145"/>
      <c r="G235" s="1145"/>
      <c r="H235" s="1145"/>
      <c r="I235" s="1145"/>
      <c r="J235" s="1145"/>
      <c r="K235" s="1145"/>
      <c r="L235" s="1242"/>
      <c r="M235" s="173"/>
      <c r="N235" s="13"/>
      <c r="O235" s="203"/>
      <c r="P235" s="218"/>
      <c r="Q235" s="68"/>
      <c r="R235" s="217"/>
    </row>
    <row r="236" spans="1:18" ht="30" customHeight="1" x14ac:dyDescent="0.35">
      <c r="A236" s="1136" t="s">
        <v>307</v>
      </c>
      <c r="B236" s="1137"/>
      <c r="C236" s="1137"/>
      <c r="D236" s="1137" t="s">
        <v>337</v>
      </c>
      <c r="E236" s="1137"/>
      <c r="F236" s="1137"/>
      <c r="G236" s="1137"/>
      <c r="H236" s="1137"/>
      <c r="I236" s="1137"/>
      <c r="J236" s="1137"/>
      <c r="K236" s="1137"/>
      <c r="L236" s="1242"/>
      <c r="M236" s="173"/>
      <c r="N236" s="13"/>
      <c r="P236" s="218"/>
      <c r="Q236" s="68"/>
      <c r="R236" s="217"/>
    </row>
    <row r="237" spans="1:18" ht="30" customHeight="1" x14ac:dyDescent="0.35">
      <c r="A237" s="1136" t="s">
        <v>308</v>
      </c>
      <c r="B237" s="1137"/>
      <c r="C237" s="1137"/>
      <c r="D237" s="1203" t="s">
        <v>2373</v>
      </c>
      <c r="E237" s="1203"/>
      <c r="F237" s="1203"/>
      <c r="G237" s="1203"/>
      <c r="H237" s="1203"/>
      <c r="I237" s="1203"/>
      <c r="J237" s="1203"/>
      <c r="K237" s="1203"/>
      <c r="L237" s="1204"/>
      <c r="M237" s="173"/>
      <c r="P237" s="218"/>
      <c r="Q237" s="68"/>
      <c r="R237" s="217"/>
    </row>
    <row r="238" spans="1:18" ht="30" customHeight="1" x14ac:dyDescent="0.35">
      <c r="A238" s="1136" t="s">
        <v>309</v>
      </c>
      <c r="B238" s="1137"/>
      <c r="C238" s="1137"/>
      <c r="D238" s="1241" t="s">
        <v>310</v>
      </c>
      <c r="E238" s="1241"/>
      <c r="F238" s="1241"/>
      <c r="G238" s="1241"/>
      <c r="H238" s="1241"/>
      <c r="I238" s="1241"/>
      <c r="J238" s="1241"/>
      <c r="K238" s="1241"/>
      <c r="L238" s="1204"/>
      <c r="M238" s="173"/>
      <c r="O238" s="203"/>
      <c r="P238" s="218"/>
      <c r="Q238" s="68"/>
      <c r="R238" s="217"/>
    </row>
    <row r="239" spans="1:18" ht="30" customHeight="1" x14ac:dyDescent="0.35">
      <c r="A239" s="1136" t="s">
        <v>311</v>
      </c>
      <c r="B239" s="1137"/>
      <c r="C239" s="1137"/>
      <c r="D239" s="1145" t="s">
        <v>338</v>
      </c>
      <c r="E239" s="1145"/>
      <c r="F239" s="1145"/>
      <c r="G239" s="1145"/>
      <c r="H239" s="1145"/>
      <c r="I239" s="1145"/>
      <c r="J239" s="1145"/>
      <c r="K239" s="1145"/>
      <c r="L239" s="1242"/>
      <c r="M239" s="173"/>
      <c r="O239" s="203"/>
      <c r="P239" s="218"/>
      <c r="Q239" s="68"/>
      <c r="R239" s="217"/>
    </row>
    <row r="240" spans="1:18" ht="30" customHeight="1" x14ac:dyDescent="0.35">
      <c r="A240" s="1136" t="s">
        <v>313</v>
      </c>
      <c r="B240" s="1137"/>
      <c r="C240" s="1137"/>
      <c r="D240" s="1203" t="s">
        <v>314</v>
      </c>
      <c r="E240" s="1203"/>
      <c r="F240" s="1203"/>
      <c r="G240" s="1203"/>
      <c r="H240" s="1203"/>
      <c r="I240" s="1203"/>
      <c r="J240" s="1203"/>
      <c r="K240" s="1203"/>
      <c r="L240" s="1204"/>
      <c r="M240" s="173"/>
      <c r="O240" s="203"/>
      <c r="P240" s="218"/>
      <c r="Q240" s="68"/>
      <c r="R240" s="217"/>
    </row>
    <row r="241" spans="1:21" ht="30" customHeight="1" x14ac:dyDescent="0.35">
      <c r="A241" s="1136" t="s">
        <v>315</v>
      </c>
      <c r="B241" s="1137"/>
      <c r="C241" s="1137"/>
      <c r="D241" s="1203" t="s">
        <v>339</v>
      </c>
      <c r="E241" s="1203"/>
      <c r="F241" s="1203"/>
      <c r="G241" s="1203"/>
      <c r="H241" s="1203"/>
      <c r="I241" s="1203"/>
      <c r="J241" s="1203"/>
      <c r="K241" s="1203"/>
      <c r="L241" s="1204"/>
      <c r="M241" s="173"/>
      <c r="O241" s="203"/>
      <c r="P241" s="218"/>
      <c r="Q241" s="68"/>
      <c r="R241" s="217"/>
    </row>
    <row r="242" spans="1:21" ht="30" customHeight="1" x14ac:dyDescent="0.35">
      <c r="A242" s="1136" t="s">
        <v>316</v>
      </c>
      <c r="B242" s="1137"/>
      <c r="C242" s="1137"/>
      <c r="D242" s="1118" t="s">
        <v>317</v>
      </c>
      <c r="E242" s="1118"/>
      <c r="F242" s="1118"/>
      <c r="G242" s="1118"/>
      <c r="H242" s="1118"/>
      <c r="I242" s="1118"/>
      <c r="J242" s="1118"/>
      <c r="K242" s="1118"/>
      <c r="L242" s="1119"/>
      <c r="M242" s="173"/>
      <c r="N242" s="13"/>
      <c r="O242" s="75"/>
      <c r="P242" s="75"/>
      <c r="Q242" s="419"/>
      <c r="R242" s="219"/>
    </row>
    <row r="243" spans="1:21" ht="45" customHeight="1" thickBot="1" x14ac:dyDescent="0.4">
      <c r="A243" s="1243" t="s">
        <v>318</v>
      </c>
      <c r="B243" s="1244"/>
      <c r="C243" s="1244"/>
      <c r="D243" s="1067" t="s">
        <v>2908</v>
      </c>
      <c r="E243" s="1067"/>
      <c r="F243" s="1067"/>
      <c r="G243" s="1067"/>
      <c r="H243" s="1067"/>
      <c r="I243" s="1067"/>
      <c r="J243" s="1067"/>
      <c r="K243" s="1067"/>
      <c r="L243" s="1126"/>
      <c r="M243" s="173"/>
      <c r="O243" s="425"/>
      <c r="P243" s="171"/>
      <c r="Q243" s="171"/>
      <c r="R243" s="171"/>
    </row>
    <row r="244" spans="1:21" ht="30" customHeight="1" thickBot="1" x14ac:dyDescent="0.4">
      <c r="A244" s="1086"/>
      <c r="B244" s="1086"/>
      <c r="C244" s="1086"/>
      <c r="D244" s="1086"/>
      <c r="E244" s="1086"/>
      <c r="F244" s="1086"/>
      <c r="G244" s="1086"/>
      <c r="H244" s="1086"/>
      <c r="I244" s="1086"/>
      <c r="J244" s="1086"/>
      <c r="K244" s="1086"/>
      <c r="L244" s="1103"/>
      <c r="M244" s="173"/>
      <c r="O244" s="425"/>
      <c r="P244" s="171"/>
      <c r="Q244" s="171"/>
      <c r="R244" s="171"/>
    </row>
    <row r="245" spans="1:21" ht="30" customHeight="1" x14ac:dyDescent="0.35">
      <c r="A245" s="465" t="s">
        <v>278</v>
      </c>
      <c r="B245" s="539">
        <v>1361</v>
      </c>
      <c r="C245" s="1017" t="s">
        <v>2520</v>
      </c>
      <c r="D245" s="1017"/>
      <c r="E245" s="541" t="s">
        <v>280</v>
      </c>
      <c r="F245" s="542" t="s">
        <v>6</v>
      </c>
      <c r="G245" s="554" t="s">
        <v>279</v>
      </c>
      <c r="H245" s="555">
        <v>10000</v>
      </c>
      <c r="I245" s="541" t="s">
        <v>281</v>
      </c>
      <c r="J245" s="1098" t="s">
        <v>2931</v>
      </c>
      <c r="K245" s="1098"/>
      <c r="L245" s="1187"/>
      <c r="M245" s="364"/>
      <c r="O245" s="425"/>
      <c r="P245" s="171"/>
      <c r="Q245" s="171"/>
      <c r="R245" s="171"/>
      <c r="S245" s="51"/>
      <c r="T245" s="51"/>
      <c r="U245" s="171"/>
    </row>
    <row r="246" spans="1:21" s="208" customFormat="1" ht="30" customHeight="1" x14ac:dyDescent="0.35">
      <c r="A246" s="545"/>
      <c r="B246" s="1021" t="s">
        <v>2921</v>
      </c>
      <c r="C246" s="1021"/>
      <c r="D246" s="1021"/>
      <c r="E246" s="509" t="s">
        <v>290</v>
      </c>
      <c r="F246" s="509" t="s">
        <v>322</v>
      </c>
      <c r="G246" s="1034" t="s">
        <v>323</v>
      </c>
      <c r="H246" s="1034"/>
      <c r="I246" s="509" t="s">
        <v>327</v>
      </c>
      <c r="J246" s="509" t="s">
        <v>419</v>
      </c>
      <c r="K246" s="1012" t="s">
        <v>2356</v>
      </c>
      <c r="L246" s="1023"/>
      <c r="M246" s="173"/>
      <c r="O246" s="250">
        <f>K251</f>
        <v>15638.513174000002</v>
      </c>
      <c r="P246" s="75"/>
      <c r="Q246" s="75"/>
      <c r="R246" s="75"/>
      <c r="S246" s="213"/>
      <c r="T246" s="213"/>
      <c r="U246" s="75"/>
    </row>
    <row r="247" spans="1:21" ht="30" customHeight="1" thickBot="1" x14ac:dyDescent="0.4">
      <c r="A247" s="546"/>
      <c r="B247" s="1014">
        <v>645.27</v>
      </c>
      <c r="C247" s="1014"/>
      <c r="D247" s="1014"/>
      <c r="E247" s="547"/>
      <c r="F247" s="548"/>
      <c r="G247" s="1015"/>
      <c r="H247" s="1015"/>
      <c r="I247" s="549"/>
      <c r="J247" s="550">
        <v>1.0202</v>
      </c>
      <c r="K247" s="551">
        <f>B247*J247</f>
        <v>658.30445399999996</v>
      </c>
      <c r="L247" s="552" t="s">
        <v>6</v>
      </c>
      <c r="M247" s="173"/>
      <c r="N247" s="210"/>
      <c r="P247" s="171"/>
      <c r="Q247" s="171"/>
      <c r="R247" s="171"/>
      <c r="S247" s="51"/>
      <c r="T247" s="51"/>
      <c r="U247" s="171"/>
    </row>
    <row r="248" spans="1:21" ht="30" customHeight="1" thickBot="1" x14ac:dyDescent="0.4">
      <c r="A248" s="1086"/>
      <c r="B248" s="1086"/>
      <c r="C248" s="1086"/>
      <c r="D248" s="1086"/>
      <c r="E248" s="1086"/>
      <c r="F248" s="1086"/>
      <c r="G248" s="1086"/>
      <c r="H248" s="1086"/>
      <c r="I248" s="1086"/>
      <c r="J248" s="1086"/>
      <c r="K248" s="1086"/>
      <c r="L248" s="1103"/>
      <c r="M248" s="173"/>
      <c r="P248" s="171"/>
      <c r="Q248" s="171"/>
      <c r="R248" s="171"/>
      <c r="S248" s="51"/>
      <c r="T248" s="51"/>
      <c r="U248" s="171"/>
    </row>
    <row r="249" spans="1:21" ht="30" customHeight="1" x14ac:dyDescent="0.35">
      <c r="A249" s="465" t="s">
        <v>278</v>
      </c>
      <c r="B249" s="539">
        <v>1362</v>
      </c>
      <c r="C249" s="1017" t="s">
        <v>2521</v>
      </c>
      <c r="D249" s="1017"/>
      <c r="E249" s="541" t="s">
        <v>280</v>
      </c>
      <c r="F249" s="542" t="s">
        <v>10</v>
      </c>
      <c r="G249" s="554" t="s">
        <v>279</v>
      </c>
      <c r="H249" s="555">
        <v>938</v>
      </c>
      <c r="I249" s="541" t="s">
        <v>281</v>
      </c>
      <c r="J249" s="1098" t="s">
        <v>2907</v>
      </c>
      <c r="K249" s="1098"/>
      <c r="L249" s="1187"/>
      <c r="M249" s="364"/>
      <c r="P249" s="171"/>
      <c r="Q249" s="171"/>
      <c r="R249" s="171"/>
      <c r="S249" s="51"/>
      <c r="T249" s="51"/>
      <c r="U249" s="171"/>
    </row>
    <row r="250" spans="1:21" ht="30" customHeight="1" x14ac:dyDescent="0.35">
      <c r="A250" s="545"/>
      <c r="B250" s="1021" t="s">
        <v>2921</v>
      </c>
      <c r="C250" s="1021"/>
      <c r="D250" s="1021"/>
      <c r="E250" s="509" t="s">
        <v>290</v>
      </c>
      <c r="F250" s="509" t="s">
        <v>322</v>
      </c>
      <c r="G250" s="1034" t="s">
        <v>323</v>
      </c>
      <c r="H250" s="1034"/>
      <c r="I250" s="509" t="s">
        <v>327</v>
      </c>
      <c r="J250" s="509" t="s">
        <v>419</v>
      </c>
      <c r="K250" s="1012" t="s">
        <v>2356</v>
      </c>
      <c r="L250" s="1023"/>
      <c r="M250" s="173"/>
    </row>
    <row r="251" spans="1:21" ht="30" customHeight="1" thickBot="1" x14ac:dyDescent="0.4">
      <c r="A251" s="546"/>
      <c r="B251" s="1014">
        <v>15328.87</v>
      </c>
      <c r="C251" s="1014"/>
      <c r="D251" s="1014"/>
      <c r="E251" s="547"/>
      <c r="F251" s="548"/>
      <c r="G251" s="1015"/>
      <c r="H251" s="1015"/>
      <c r="I251" s="549"/>
      <c r="J251" s="550">
        <v>1.0202</v>
      </c>
      <c r="K251" s="551">
        <f>B251*J251</f>
        <v>15638.513174000002</v>
      </c>
      <c r="L251" s="552" t="s">
        <v>10</v>
      </c>
      <c r="M251" s="173"/>
    </row>
    <row r="252" spans="1:21" ht="30" customHeight="1" thickBot="1" x14ac:dyDescent="0.4">
      <c r="A252" s="1086"/>
      <c r="B252" s="1086"/>
      <c r="C252" s="1086"/>
      <c r="D252" s="1086"/>
      <c r="E252" s="1086"/>
      <c r="F252" s="1086"/>
      <c r="G252" s="1086"/>
      <c r="H252" s="1086"/>
      <c r="I252" s="1086"/>
      <c r="J252" s="1086"/>
      <c r="K252" s="1086"/>
      <c r="L252" s="1103"/>
      <c r="M252" s="173"/>
      <c r="P252" s="171"/>
      <c r="Q252" s="171"/>
      <c r="R252" s="171"/>
      <c r="S252" s="51"/>
      <c r="T252" s="51"/>
      <c r="U252" s="171"/>
    </row>
    <row r="253" spans="1:21" s="208" customFormat="1" ht="30" customHeight="1" x14ac:dyDescent="0.35">
      <c r="A253" s="465" t="s">
        <v>278</v>
      </c>
      <c r="B253" s="539">
        <v>1371</v>
      </c>
      <c r="C253" s="1060" t="s">
        <v>340</v>
      </c>
      <c r="D253" s="1060"/>
      <c r="E253" s="541" t="s">
        <v>280</v>
      </c>
      <c r="F253" s="542" t="s">
        <v>8</v>
      </c>
      <c r="G253" s="543" t="s">
        <v>285</v>
      </c>
      <c r="H253" s="569">
        <v>192</v>
      </c>
      <c r="I253" s="541" t="s">
        <v>281</v>
      </c>
      <c r="J253" s="1098" t="str">
        <f t="shared" ref="J253" si="4">$J$184</f>
        <v>Table 2, UFC 3-701-1, Change 8, 3 February 2021</v>
      </c>
      <c r="K253" s="1098"/>
      <c r="L253" s="1187"/>
      <c r="M253" s="173"/>
      <c r="O253" s="205"/>
      <c r="P253" s="75"/>
      <c r="Q253" s="75"/>
      <c r="R253" s="75"/>
      <c r="S253" s="213"/>
      <c r="T253" s="213"/>
      <c r="U253" s="75"/>
    </row>
    <row r="254" spans="1:21" ht="30" customHeight="1" x14ac:dyDescent="0.35">
      <c r="A254" s="545" t="s">
        <v>288</v>
      </c>
      <c r="B254" s="1051" t="s">
        <v>282</v>
      </c>
      <c r="C254" s="1051"/>
      <c r="D254" s="1051"/>
      <c r="E254" s="530" t="s">
        <v>289</v>
      </c>
      <c r="F254" s="561" t="s">
        <v>290</v>
      </c>
      <c r="G254" s="509"/>
      <c r="H254" s="509"/>
      <c r="I254" s="1052" t="s">
        <v>405</v>
      </c>
      <c r="J254" s="1052"/>
      <c r="K254" s="1012" t="s">
        <v>292</v>
      </c>
      <c r="L254" s="1023"/>
      <c r="M254" s="173"/>
      <c r="P254" s="171"/>
      <c r="Q254" s="171"/>
      <c r="R254" s="171"/>
      <c r="S254" s="51"/>
      <c r="T254" s="51"/>
      <c r="U254" s="171"/>
    </row>
    <row r="255" spans="1:21" ht="30" customHeight="1" x14ac:dyDescent="0.35">
      <c r="A255" s="562" t="s">
        <v>293</v>
      </c>
      <c r="B255" s="1057" t="s">
        <v>294</v>
      </c>
      <c r="C255" s="1057"/>
      <c r="D255" s="1057"/>
      <c r="E255" s="563">
        <v>37000</v>
      </c>
      <c r="F255" s="444">
        <v>527</v>
      </c>
      <c r="G255" s="442"/>
      <c r="H255" s="17"/>
      <c r="I255" s="1044" t="s">
        <v>2638</v>
      </c>
      <c r="J255" s="1044"/>
      <c r="K255" s="444">
        <f>F255</f>
        <v>527</v>
      </c>
      <c r="L255" s="564" t="s">
        <v>8</v>
      </c>
      <c r="M255" s="173"/>
      <c r="P255" s="171"/>
      <c r="Q255" s="171"/>
      <c r="R255" s="171"/>
      <c r="S255" s="51"/>
      <c r="T255" s="51"/>
      <c r="U255" s="171"/>
    </row>
    <row r="256" spans="1:21" ht="30" customHeight="1" thickBot="1" x14ac:dyDescent="0.4">
      <c r="A256" s="241"/>
      <c r="B256" s="1059"/>
      <c r="C256" s="1059"/>
      <c r="D256" s="1059"/>
      <c r="E256" s="565"/>
      <c r="F256" s="566"/>
      <c r="G256" s="566"/>
      <c r="H256" s="567"/>
      <c r="I256" s="458"/>
      <c r="J256" s="568" t="s">
        <v>2356</v>
      </c>
      <c r="K256" s="585">
        <f>K255</f>
        <v>527</v>
      </c>
      <c r="L256" s="243" t="s">
        <v>8</v>
      </c>
      <c r="M256" s="173"/>
      <c r="N256" s="220"/>
      <c r="P256" s="171"/>
      <c r="Q256" s="171"/>
      <c r="R256" s="171"/>
      <c r="S256" s="51"/>
      <c r="T256" s="51"/>
      <c r="U256" s="171"/>
    </row>
    <row r="257" spans="1:21" ht="30" customHeight="1" thickBot="1" x14ac:dyDescent="0.4">
      <c r="A257" s="1086"/>
      <c r="B257" s="1086"/>
      <c r="C257" s="1086"/>
      <c r="D257" s="1086"/>
      <c r="E257" s="1086"/>
      <c r="F257" s="1086"/>
      <c r="G257" s="1086"/>
      <c r="H257" s="1086"/>
      <c r="I257" s="1086"/>
      <c r="J257" s="1086"/>
      <c r="K257" s="1086"/>
      <c r="L257" s="1103"/>
      <c r="M257" s="173"/>
      <c r="N257" s="220"/>
      <c r="P257" s="171"/>
      <c r="Q257" s="171"/>
      <c r="R257" s="171"/>
      <c r="S257" s="51"/>
      <c r="T257" s="51"/>
      <c r="U257" s="171"/>
    </row>
    <row r="258" spans="1:21" ht="30" customHeight="1" x14ac:dyDescent="0.35">
      <c r="A258" s="465" t="s">
        <v>278</v>
      </c>
      <c r="B258" s="539">
        <v>1381</v>
      </c>
      <c r="C258" s="1231" t="s">
        <v>341</v>
      </c>
      <c r="D258" s="1231"/>
      <c r="E258" s="541" t="s">
        <v>280</v>
      </c>
      <c r="F258" s="542" t="s">
        <v>10</v>
      </c>
      <c r="G258" s="543" t="s">
        <v>285</v>
      </c>
      <c r="H258" s="587">
        <v>1</v>
      </c>
      <c r="I258" s="541" t="s">
        <v>281</v>
      </c>
      <c r="J258" s="1019" t="s">
        <v>2719</v>
      </c>
      <c r="K258" s="1019"/>
      <c r="L258" s="1020"/>
      <c r="M258" s="173"/>
      <c r="N258" s="220"/>
      <c r="P258" s="171"/>
      <c r="Q258" s="171"/>
      <c r="R258" s="171"/>
      <c r="S258" s="51"/>
      <c r="T258" s="51"/>
      <c r="U258" s="171"/>
    </row>
    <row r="259" spans="1:21" ht="30" customHeight="1" x14ac:dyDescent="0.35">
      <c r="A259" s="588" t="s">
        <v>298</v>
      </c>
      <c r="B259" s="1038" t="s">
        <v>321</v>
      </c>
      <c r="C259" s="1038"/>
      <c r="D259" s="1038"/>
      <c r="E259" s="23" t="s">
        <v>290</v>
      </c>
      <c r="F259" s="23" t="s">
        <v>322</v>
      </c>
      <c r="G259" s="1012" t="s">
        <v>323</v>
      </c>
      <c r="H259" s="1012"/>
      <c r="I259" s="201" t="s">
        <v>299</v>
      </c>
      <c r="J259" s="201"/>
      <c r="K259" s="1012" t="s">
        <v>292</v>
      </c>
      <c r="L259" s="1023"/>
      <c r="M259" s="173"/>
      <c r="N259" s="220"/>
      <c r="P259" s="171"/>
      <c r="Q259" s="171"/>
      <c r="R259" s="171"/>
      <c r="S259" s="51"/>
      <c r="T259" s="51"/>
      <c r="U259" s="171"/>
    </row>
    <row r="260" spans="1:21" ht="30" customHeight="1" x14ac:dyDescent="0.35">
      <c r="A260" s="562" t="s">
        <v>300</v>
      </c>
      <c r="B260" s="1241" t="s">
        <v>342</v>
      </c>
      <c r="C260" s="1241"/>
      <c r="D260" s="1241"/>
      <c r="E260" s="460">
        <f>+(15800+25200)/2</f>
        <v>20500</v>
      </c>
      <c r="F260" s="434" t="s">
        <v>10</v>
      </c>
      <c r="G260" s="434"/>
      <c r="H260" s="434"/>
      <c r="I260" s="611">
        <v>1.02</v>
      </c>
      <c r="J260" s="434"/>
      <c r="K260" s="460">
        <f>+E260*I260</f>
        <v>20910</v>
      </c>
      <c r="L260" s="564" t="s">
        <v>10</v>
      </c>
      <c r="M260" s="173"/>
      <c r="P260" s="171"/>
      <c r="Q260" s="171"/>
      <c r="R260" s="171"/>
      <c r="S260" s="51"/>
      <c r="T260" s="51"/>
      <c r="U260" s="171"/>
    </row>
    <row r="261" spans="1:21" ht="30" customHeight="1" x14ac:dyDescent="0.35">
      <c r="A261" s="241"/>
      <c r="B261" s="506"/>
      <c r="C261" s="506"/>
      <c r="D261" s="506"/>
      <c r="E261" s="453"/>
      <c r="F261" s="1029" t="s">
        <v>302</v>
      </c>
      <c r="G261" s="1058" t="s">
        <v>303</v>
      </c>
      <c r="H261" s="1058"/>
      <c r="I261" s="1058"/>
      <c r="J261" s="1058"/>
      <c r="K261" s="612">
        <v>1.07</v>
      </c>
      <c r="L261" s="243"/>
      <c r="M261" s="173"/>
    </row>
    <row r="262" spans="1:21" ht="30" customHeight="1" x14ac:dyDescent="0.35">
      <c r="A262" s="241"/>
      <c r="B262" s="506"/>
      <c r="C262" s="506"/>
      <c r="D262" s="506"/>
      <c r="E262" s="453"/>
      <c r="F262" s="1029"/>
      <c r="G262" s="1073" t="s">
        <v>2374</v>
      </c>
      <c r="H262" s="1073"/>
      <c r="I262" s="1073"/>
      <c r="J262" s="1073"/>
      <c r="K262" s="573">
        <v>1.08</v>
      </c>
      <c r="L262" s="243"/>
      <c r="M262" s="173"/>
    </row>
    <row r="263" spans="1:21" ht="30" customHeight="1" x14ac:dyDescent="0.35">
      <c r="A263" s="241"/>
      <c r="B263" s="446"/>
      <c r="C263" s="458"/>
      <c r="D263" s="458"/>
      <c r="E263" s="458"/>
      <c r="F263" s="458"/>
      <c r="G263" s="458"/>
      <c r="H263" s="458"/>
      <c r="I263" s="458"/>
      <c r="J263" s="458" t="s">
        <v>2356</v>
      </c>
      <c r="K263" s="591">
        <f>+K260*K261/K262</f>
        <v>20716.388888888887</v>
      </c>
      <c r="L263" s="243" t="s">
        <v>10</v>
      </c>
      <c r="M263" s="173"/>
      <c r="N263" s="13"/>
      <c r="P263" s="171"/>
      <c r="Q263" s="171"/>
      <c r="R263" s="171"/>
      <c r="S263" s="51"/>
      <c r="T263" s="51"/>
      <c r="U263" s="171"/>
    </row>
    <row r="264" spans="1:21" s="208" customFormat="1" ht="30" customHeight="1" thickBot="1" x14ac:dyDescent="0.4">
      <c r="A264" s="241"/>
      <c r="B264" s="446"/>
      <c r="C264" s="458"/>
      <c r="D264" s="458"/>
      <c r="E264" s="458"/>
      <c r="F264" s="458"/>
      <c r="G264" s="592" t="s">
        <v>2358</v>
      </c>
      <c r="H264" s="458"/>
      <c r="I264" s="458"/>
      <c r="J264" s="583">
        <f>VLOOKUP(B258,'Mil Cost Premiums for PUCs'!$A$4:$R$272,18,FALSE)</f>
        <v>1.0209999999999999</v>
      </c>
      <c r="K264" s="591">
        <f>+K263*J264</f>
        <v>21151.43305555555</v>
      </c>
      <c r="L264" s="243" t="s">
        <v>10</v>
      </c>
      <c r="M264" s="173"/>
      <c r="N264" s="13"/>
      <c r="O264" s="205"/>
      <c r="P264" s="75"/>
      <c r="Q264" s="75"/>
      <c r="R264" s="75"/>
      <c r="S264" s="213"/>
      <c r="T264" s="213"/>
      <c r="U264" s="75"/>
    </row>
    <row r="265" spans="1:21" s="27" customFormat="1" ht="30" customHeight="1" thickBot="1" x14ac:dyDescent="0.4">
      <c r="A265" s="1086"/>
      <c r="B265" s="1086"/>
      <c r="C265" s="1086"/>
      <c r="D265" s="1086"/>
      <c r="E265" s="1086"/>
      <c r="F265" s="1086"/>
      <c r="G265" s="1086"/>
      <c r="H265" s="1086"/>
      <c r="I265" s="1086"/>
      <c r="J265" s="1086"/>
      <c r="K265" s="1086"/>
      <c r="L265" s="1103"/>
      <c r="M265" s="173"/>
      <c r="N265" s="214"/>
      <c r="O265" s="207"/>
    </row>
    <row r="266" spans="1:21" ht="30" customHeight="1" x14ac:dyDescent="0.35">
      <c r="A266" s="465" t="s">
        <v>278</v>
      </c>
      <c r="B266" s="539">
        <v>1402</v>
      </c>
      <c r="C266" s="1060" t="s">
        <v>343</v>
      </c>
      <c r="D266" s="1060"/>
      <c r="E266" s="541" t="s">
        <v>280</v>
      </c>
      <c r="F266" s="542" t="s">
        <v>8</v>
      </c>
      <c r="G266" s="543" t="s">
        <v>285</v>
      </c>
      <c r="H266" s="569">
        <v>9674</v>
      </c>
      <c r="I266" s="541" t="s">
        <v>281</v>
      </c>
      <c r="J266" s="1098" t="str">
        <f t="shared" ref="J266" si="5">$J$184</f>
        <v>Table 2, UFC 3-701-1, Change 8, 3 February 2021</v>
      </c>
      <c r="K266" s="1098"/>
      <c r="L266" s="1187"/>
      <c r="M266" s="173"/>
    </row>
    <row r="267" spans="1:21" ht="30" customHeight="1" x14ac:dyDescent="0.35">
      <c r="A267" s="545" t="s">
        <v>288</v>
      </c>
      <c r="B267" s="1051" t="s">
        <v>282</v>
      </c>
      <c r="C267" s="1051"/>
      <c r="D267" s="1051"/>
      <c r="E267" s="530" t="s">
        <v>289</v>
      </c>
      <c r="F267" s="561" t="s">
        <v>290</v>
      </c>
      <c r="G267" s="509"/>
      <c r="H267" s="509"/>
      <c r="I267" s="1052" t="s">
        <v>405</v>
      </c>
      <c r="J267" s="1052"/>
      <c r="K267" s="1012" t="s">
        <v>292</v>
      </c>
      <c r="L267" s="1023"/>
      <c r="M267" s="173"/>
    </row>
    <row r="268" spans="1:21" ht="30" customHeight="1" x14ac:dyDescent="0.35">
      <c r="A268" s="562" t="s">
        <v>293</v>
      </c>
      <c r="B268" s="1057" t="s">
        <v>344</v>
      </c>
      <c r="C268" s="1057"/>
      <c r="D268" s="1057"/>
      <c r="E268" s="563">
        <v>47000</v>
      </c>
      <c r="F268" s="444">
        <v>306</v>
      </c>
      <c r="G268" s="442"/>
      <c r="H268" s="17"/>
      <c r="I268" s="1044" t="s">
        <v>2638</v>
      </c>
      <c r="J268" s="1044"/>
      <c r="K268" s="444">
        <f>F268</f>
        <v>306</v>
      </c>
      <c r="L268" s="564" t="s">
        <v>8</v>
      </c>
      <c r="M268" s="173"/>
      <c r="O268" s="203"/>
      <c r="P268" s="68"/>
      <c r="T268" s="217"/>
    </row>
    <row r="269" spans="1:21" s="208" customFormat="1" ht="30" customHeight="1" thickBot="1" x14ac:dyDescent="0.4">
      <c r="A269" s="241"/>
      <c r="B269" s="1082"/>
      <c r="C269" s="1082"/>
      <c r="D269" s="1082"/>
      <c r="E269" s="565"/>
      <c r="F269" s="566"/>
      <c r="G269" s="566"/>
      <c r="H269" s="567"/>
      <c r="I269" s="458"/>
      <c r="J269" s="613" t="s">
        <v>2356</v>
      </c>
      <c r="K269" s="585">
        <f>+K268</f>
        <v>306</v>
      </c>
      <c r="L269" s="243" t="s">
        <v>8</v>
      </c>
      <c r="M269" s="173"/>
      <c r="P269" s="68"/>
      <c r="T269" s="217"/>
    </row>
    <row r="270" spans="1:21" ht="30" customHeight="1" thickBot="1" x14ac:dyDescent="0.4">
      <c r="A270" s="1086"/>
      <c r="B270" s="1086"/>
      <c r="C270" s="1086"/>
      <c r="D270" s="1086"/>
      <c r="E270" s="1086"/>
      <c r="F270" s="1086"/>
      <c r="G270" s="1086"/>
      <c r="H270" s="1086"/>
      <c r="I270" s="1086"/>
      <c r="J270" s="1086"/>
      <c r="K270" s="1086"/>
      <c r="L270" s="1103"/>
      <c r="M270" s="173"/>
      <c r="O270" s="203"/>
      <c r="P270" s="68"/>
      <c r="T270" s="217"/>
    </row>
    <row r="271" spans="1:21" ht="30" customHeight="1" x14ac:dyDescent="0.35">
      <c r="A271" s="465" t="s">
        <v>278</v>
      </c>
      <c r="B271" s="539">
        <v>1403</v>
      </c>
      <c r="C271" s="1060" t="s">
        <v>345</v>
      </c>
      <c r="D271" s="1060"/>
      <c r="E271" s="541" t="s">
        <v>280</v>
      </c>
      <c r="F271" s="542" t="s">
        <v>8</v>
      </c>
      <c r="G271" s="543" t="s">
        <v>285</v>
      </c>
      <c r="H271" s="569">
        <v>5859</v>
      </c>
      <c r="I271" s="541" t="s">
        <v>281</v>
      </c>
      <c r="J271" s="1098" t="str">
        <f t="shared" ref="J271" si="6">$J$184</f>
        <v>Table 2, UFC 3-701-1, Change 8, 3 February 2021</v>
      </c>
      <c r="K271" s="1098"/>
      <c r="L271" s="1187"/>
      <c r="M271" s="173"/>
      <c r="O271" s="203"/>
      <c r="P271" s="68"/>
      <c r="T271" s="217"/>
    </row>
    <row r="272" spans="1:21" ht="30" customHeight="1" x14ac:dyDescent="0.35">
      <c r="A272" s="545" t="s">
        <v>288</v>
      </c>
      <c r="B272" s="1051" t="s">
        <v>282</v>
      </c>
      <c r="C272" s="1051"/>
      <c r="D272" s="1051"/>
      <c r="E272" s="530" t="s">
        <v>289</v>
      </c>
      <c r="F272" s="561" t="s">
        <v>290</v>
      </c>
      <c r="G272" s="509"/>
      <c r="H272" s="509"/>
      <c r="I272" s="1052" t="s">
        <v>405</v>
      </c>
      <c r="J272" s="1052"/>
      <c r="K272" s="1012" t="s">
        <v>292</v>
      </c>
      <c r="L272" s="1023"/>
      <c r="M272" s="173"/>
      <c r="O272" s="203"/>
      <c r="P272" s="68"/>
      <c r="T272" s="217"/>
    </row>
    <row r="273" spans="1:21" ht="30" customHeight="1" x14ac:dyDescent="0.35">
      <c r="A273" s="562" t="s">
        <v>293</v>
      </c>
      <c r="B273" s="1057" t="s">
        <v>294</v>
      </c>
      <c r="C273" s="1057"/>
      <c r="D273" s="1057"/>
      <c r="E273" s="563">
        <v>37000</v>
      </c>
      <c r="F273" s="444">
        <v>527</v>
      </c>
      <c r="G273" s="442"/>
      <c r="H273" s="17"/>
      <c r="I273" s="1044" t="s">
        <v>2638</v>
      </c>
      <c r="J273" s="1044"/>
      <c r="K273" s="444">
        <f>F273</f>
        <v>527</v>
      </c>
      <c r="L273" s="564" t="s">
        <v>8</v>
      </c>
      <c r="M273" s="173"/>
      <c r="O273" s="203"/>
      <c r="P273" s="68"/>
      <c r="T273" s="217"/>
    </row>
    <row r="274" spans="1:21" ht="30" customHeight="1" thickBot="1" x14ac:dyDescent="0.4">
      <c r="A274" s="241"/>
      <c r="B274" s="1059"/>
      <c r="C274" s="1059"/>
      <c r="D274" s="1059"/>
      <c r="E274" s="565"/>
      <c r="F274" s="566"/>
      <c r="G274" s="566"/>
      <c r="H274" s="567"/>
      <c r="I274" s="458"/>
      <c r="J274" s="510" t="s">
        <v>2356</v>
      </c>
      <c r="K274" s="585">
        <f>K273</f>
        <v>527</v>
      </c>
      <c r="L274" s="243" t="s">
        <v>8</v>
      </c>
      <c r="M274" s="173"/>
      <c r="O274" s="203"/>
      <c r="P274" s="68"/>
      <c r="T274" s="217"/>
    </row>
    <row r="275" spans="1:21" ht="30" customHeight="1" thickBot="1" x14ac:dyDescent="0.4">
      <c r="A275" s="1086"/>
      <c r="B275" s="1086"/>
      <c r="C275" s="1086"/>
      <c r="D275" s="1086"/>
      <c r="E275" s="1086"/>
      <c r="F275" s="1086"/>
      <c r="G275" s="1086"/>
      <c r="H275" s="1086"/>
      <c r="I275" s="1086"/>
      <c r="J275" s="1086"/>
      <c r="K275" s="1086"/>
      <c r="L275" s="1103"/>
      <c r="M275" s="173"/>
      <c r="N275" s="68"/>
      <c r="O275" s="203"/>
      <c r="P275" s="216"/>
      <c r="Q275" s="419"/>
      <c r="R275" s="217"/>
    </row>
    <row r="276" spans="1:21" ht="30" customHeight="1" x14ac:dyDescent="0.35">
      <c r="A276" s="465" t="s">
        <v>278</v>
      </c>
      <c r="B276" s="539">
        <v>1404</v>
      </c>
      <c r="C276" s="1060" t="s">
        <v>2640</v>
      </c>
      <c r="D276" s="1060"/>
      <c r="E276" s="541" t="s">
        <v>280</v>
      </c>
      <c r="F276" s="542" t="s">
        <v>8</v>
      </c>
      <c r="G276" s="543" t="s">
        <v>285</v>
      </c>
      <c r="H276" s="569">
        <v>13803</v>
      </c>
      <c r="I276" s="541" t="s">
        <v>281</v>
      </c>
      <c r="J276" s="1098" t="s">
        <v>2180</v>
      </c>
      <c r="K276" s="1098"/>
      <c r="L276" s="1187"/>
      <c r="M276" s="363"/>
      <c r="P276" s="171"/>
      <c r="Q276" s="171"/>
      <c r="R276" s="171"/>
      <c r="S276" s="51"/>
      <c r="T276" s="51"/>
      <c r="U276" s="171"/>
    </row>
    <row r="277" spans="1:21" s="208" customFormat="1" ht="30" customHeight="1" x14ac:dyDescent="0.35">
      <c r="A277" s="545" t="s">
        <v>288</v>
      </c>
      <c r="B277" s="1051" t="s">
        <v>282</v>
      </c>
      <c r="C277" s="1051"/>
      <c r="D277" s="1051"/>
      <c r="E277" s="530" t="s">
        <v>289</v>
      </c>
      <c r="F277" s="561" t="s">
        <v>290</v>
      </c>
      <c r="G277" s="509"/>
      <c r="H277" s="509"/>
      <c r="I277" s="1052" t="s">
        <v>405</v>
      </c>
      <c r="J277" s="1052"/>
      <c r="K277" s="1012" t="s">
        <v>292</v>
      </c>
      <c r="L277" s="1023"/>
      <c r="M277" s="173"/>
      <c r="O277" s="205"/>
      <c r="P277" s="75"/>
      <c r="Q277" s="75"/>
      <c r="R277" s="75"/>
      <c r="S277" s="213"/>
      <c r="T277" s="213"/>
      <c r="U277" s="75"/>
    </row>
    <row r="278" spans="1:21" s="27" customFormat="1" ht="30" customHeight="1" x14ac:dyDescent="0.35">
      <c r="A278" s="562">
        <v>14162</v>
      </c>
      <c r="B278" s="1057" t="s">
        <v>2718</v>
      </c>
      <c r="C278" s="1057"/>
      <c r="D278" s="1057"/>
      <c r="E278" s="563">
        <v>4100</v>
      </c>
      <c r="F278" s="441">
        <v>617</v>
      </c>
      <c r="G278" s="442"/>
      <c r="H278" s="17"/>
      <c r="I278" s="1044">
        <v>0.98140000000000005</v>
      </c>
      <c r="J278" s="1044"/>
      <c r="K278" s="463">
        <f>+F278*I278</f>
        <v>605.52380000000005</v>
      </c>
      <c r="L278" s="564" t="s">
        <v>8</v>
      </c>
      <c r="M278" s="173"/>
      <c r="N278" s="63"/>
      <c r="O278" s="207"/>
    </row>
    <row r="279" spans="1:21" ht="30" customHeight="1" thickBot="1" x14ac:dyDescent="0.4">
      <c r="A279" s="614"/>
      <c r="B279" s="570"/>
      <c r="C279" s="570"/>
      <c r="D279" s="571"/>
      <c r="E279" s="565"/>
      <c r="F279" s="566"/>
      <c r="G279" s="566"/>
      <c r="H279" s="567"/>
      <c r="I279" s="458"/>
      <c r="J279" s="510" t="s">
        <v>2356</v>
      </c>
      <c r="K279" s="459">
        <f>+K278</f>
        <v>605.52380000000005</v>
      </c>
      <c r="L279" s="243" t="s">
        <v>8</v>
      </c>
      <c r="M279" s="173"/>
    </row>
    <row r="280" spans="1:21" ht="30" customHeight="1" thickBot="1" x14ac:dyDescent="0.4">
      <c r="A280" s="1086"/>
      <c r="B280" s="1086"/>
      <c r="C280" s="1086"/>
      <c r="D280" s="1086"/>
      <c r="E280" s="1086"/>
      <c r="F280" s="1086"/>
      <c r="G280" s="1086"/>
      <c r="H280" s="1086"/>
      <c r="I280" s="1086"/>
      <c r="J280" s="1086"/>
      <c r="K280" s="1086"/>
      <c r="L280" s="1103"/>
      <c r="M280" s="173"/>
    </row>
    <row r="281" spans="1:21" ht="30" customHeight="1" x14ac:dyDescent="0.35">
      <c r="A281" s="465" t="s">
        <v>278</v>
      </c>
      <c r="B281" s="539">
        <v>1411</v>
      </c>
      <c r="C281" s="1060" t="s">
        <v>347</v>
      </c>
      <c r="D281" s="1060"/>
      <c r="E281" s="541" t="s">
        <v>280</v>
      </c>
      <c r="F281" s="542" t="s">
        <v>8</v>
      </c>
      <c r="G281" s="543" t="s">
        <v>285</v>
      </c>
      <c r="H281" s="569">
        <v>9247</v>
      </c>
      <c r="I281" s="541" t="s">
        <v>281</v>
      </c>
      <c r="J281" s="1098" t="s">
        <v>2178</v>
      </c>
      <c r="K281" s="1098"/>
      <c r="L281" s="1187"/>
      <c r="M281" s="173"/>
      <c r="P281" s="171"/>
      <c r="Q281" s="171"/>
      <c r="R281" s="171"/>
      <c r="S281" s="51"/>
      <c r="T281" s="51"/>
      <c r="U281" s="171"/>
    </row>
    <row r="282" spans="1:21" s="208" customFormat="1" ht="30" customHeight="1" x14ac:dyDescent="0.35">
      <c r="A282" s="545" t="s">
        <v>288</v>
      </c>
      <c r="B282" s="1051" t="s">
        <v>282</v>
      </c>
      <c r="C282" s="1051"/>
      <c r="D282" s="1051"/>
      <c r="E282" s="530" t="s">
        <v>289</v>
      </c>
      <c r="F282" s="561" t="s">
        <v>290</v>
      </c>
      <c r="G282" s="509"/>
      <c r="H282" s="509"/>
      <c r="I282" s="1052" t="s">
        <v>405</v>
      </c>
      <c r="J282" s="1052"/>
      <c r="K282" s="1012" t="s">
        <v>292</v>
      </c>
      <c r="L282" s="1023"/>
      <c r="M282" s="173"/>
      <c r="O282" s="205"/>
      <c r="P282" s="75"/>
      <c r="Q282" s="75"/>
      <c r="R282" s="75"/>
      <c r="S282" s="213"/>
      <c r="T282" s="213"/>
      <c r="U282" s="75"/>
    </row>
    <row r="283" spans="1:21" s="27" customFormat="1" ht="30" customHeight="1" x14ac:dyDescent="0.35">
      <c r="A283" s="562" t="s">
        <v>293</v>
      </c>
      <c r="B283" s="1057" t="s">
        <v>347</v>
      </c>
      <c r="C283" s="1057"/>
      <c r="D283" s="1057"/>
      <c r="E283" s="563">
        <v>31000</v>
      </c>
      <c r="F283" s="444">
        <v>366</v>
      </c>
      <c r="G283" s="442"/>
      <c r="H283" s="141"/>
      <c r="I283" s="1044">
        <v>1.0621</v>
      </c>
      <c r="J283" s="1044"/>
      <c r="K283" s="444">
        <f>F283*I283</f>
        <v>388.72860000000003</v>
      </c>
      <c r="L283" s="564" t="s">
        <v>8</v>
      </c>
      <c r="M283" s="173"/>
      <c r="N283" s="214"/>
      <c r="O283" s="207"/>
    </row>
    <row r="284" spans="1:21" ht="30" customHeight="1" thickBot="1" x14ac:dyDescent="0.4">
      <c r="A284" s="241"/>
      <c r="B284" s="1109"/>
      <c r="C284" s="1109"/>
      <c r="D284" s="1109"/>
      <c r="E284" s="565"/>
      <c r="F284" s="566"/>
      <c r="G284" s="566"/>
      <c r="H284" s="567"/>
      <c r="I284" s="458"/>
      <c r="J284" s="510" t="s">
        <v>2356</v>
      </c>
      <c r="K284" s="585">
        <f>+K283</f>
        <v>388.72860000000003</v>
      </c>
      <c r="L284" s="243" t="s">
        <v>8</v>
      </c>
      <c r="M284" s="173"/>
    </row>
    <row r="285" spans="1:21" ht="30" customHeight="1" thickBot="1" x14ac:dyDescent="0.4">
      <c r="A285" s="1086"/>
      <c r="B285" s="1086"/>
      <c r="C285" s="1086"/>
      <c r="D285" s="1086"/>
      <c r="E285" s="1086"/>
      <c r="F285" s="1086"/>
      <c r="G285" s="1086"/>
      <c r="H285" s="1086"/>
      <c r="I285" s="1086"/>
      <c r="J285" s="1086"/>
      <c r="K285" s="1086"/>
      <c r="L285" s="1103"/>
      <c r="M285" s="173"/>
    </row>
    <row r="286" spans="1:21" ht="30" customHeight="1" x14ac:dyDescent="0.35">
      <c r="A286" s="465" t="s">
        <v>278</v>
      </c>
      <c r="B286" s="539">
        <v>1412</v>
      </c>
      <c r="C286" s="1060" t="s">
        <v>348</v>
      </c>
      <c r="D286" s="1060"/>
      <c r="E286" s="541" t="s">
        <v>280</v>
      </c>
      <c r="F286" s="542" t="s">
        <v>8</v>
      </c>
      <c r="G286" s="543" t="s">
        <v>285</v>
      </c>
      <c r="H286" s="569">
        <v>9942</v>
      </c>
      <c r="I286" s="541" t="s">
        <v>281</v>
      </c>
      <c r="J286" s="1098" t="str">
        <f>$J$184</f>
        <v>Table 2, UFC 3-701-1, Change 8, 3 February 2021</v>
      </c>
      <c r="K286" s="1098"/>
      <c r="L286" s="1187"/>
      <c r="M286" s="173"/>
      <c r="P286" s="171"/>
      <c r="Q286" s="171"/>
      <c r="R286" s="171"/>
      <c r="S286" s="51"/>
      <c r="T286" s="51"/>
      <c r="U286" s="171"/>
    </row>
    <row r="287" spans="1:21" s="208" customFormat="1" ht="30" customHeight="1" x14ac:dyDescent="0.35">
      <c r="A287" s="545" t="s">
        <v>288</v>
      </c>
      <c r="B287" s="1051" t="s">
        <v>282</v>
      </c>
      <c r="C287" s="1051"/>
      <c r="D287" s="1051"/>
      <c r="E287" s="530" t="s">
        <v>289</v>
      </c>
      <c r="F287" s="561" t="s">
        <v>290</v>
      </c>
      <c r="G287" s="509"/>
      <c r="H287" s="509"/>
      <c r="I287" s="1052" t="s">
        <v>405</v>
      </c>
      <c r="J287" s="1052"/>
      <c r="K287" s="1012" t="s">
        <v>292</v>
      </c>
      <c r="L287" s="1023"/>
      <c r="M287" s="173"/>
      <c r="O287" s="205"/>
      <c r="P287" s="75"/>
      <c r="Q287" s="75"/>
      <c r="R287" s="75"/>
      <c r="S287" s="213"/>
      <c r="T287" s="213"/>
      <c r="U287" s="75"/>
    </row>
    <row r="288" spans="1:21" s="27" customFormat="1" ht="30" customHeight="1" x14ac:dyDescent="0.35">
      <c r="A288" s="562" t="s">
        <v>293</v>
      </c>
      <c r="B288" s="1057" t="s">
        <v>344</v>
      </c>
      <c r="C288" s="1057"/>
      <c r="D288" s="1057"/>
      <c r="E288" s="563">
        <v>47000</v>
      </c>
      <c r="F288" s="444">
        <v>306</v>
      </c>
      <c r="G288" s="442"/>
      <c r="H288" s="17"/>
      <c r="I288" s="1044" t="s">
        <v>2638</v>
      </c>
      <c r="J288" s="1044"/>
      <c r="K288" s="444">
        <f>F288</f>
        <v>306</v>
      </c>
      <c r="L288" s="564" t="s">
        <v>8</v>
      </c>
      <c r="M288" s="173"/>
      <c r="N288" s="13"/>
      <c r="O288" s="207"/>
    </row>
    <row r="289" spans="1:21" ht="30" customHeight="1" thickBot="1" x14ac:dyDescent="0.4">
      <c r="A289" s="241"/>
      <c r="B289" s="1059"/>
      <c r="C289" s="1059"/>
      <c r="D289" s="1059"/>
      <c r="E289" s="565"/>
      <c r="F289" s="566"/>
      <c r="G289" s="566"/>
      <c r="H289" s="567"/>
      <c r="I289" s="458"/>
      <c r="J289" s="510" t="s">
        <v>2356</v>
      </c>
      <c r="K289" s="585">
        <f>+K288</f>
        <v>306</v>
      </c>
      <c r="L289" s="243" t="s">
        <v>8</v>
      </c>
      <c r="M289" s="173"/>
    </row>
    <row r="290" spans="1:21" ht="30" customHeight="1" thickBot="1" x14ac:dyDescent="0.4">
      <c r="A290" s="1086"/>
      <c r="B290" s="1086"/>
      <c r="C290" s="1086"/>
      <c r="D290" s="1086"/>
      <c r="E290" s="1086"/>
      <c r="F290" s="1086"/>
      <c r="G290" s="1086"/>
      <c r="H290" s="1086"/>
      <c r="I290" s="1086"/>
      <c r="J290" s="1086"/>
      <c r="K290" s="1086"/>
      <c r="L290" s="1103"/>
      <c r="M290" s="363"/>
    </row>
    <row r="291" spans="1:21" ht="30" customHeight="1" x14ac:dyDescent="0.35">
      <c r="A291" s="615" t="s">
        <v>278</v>
      </c>
      <c r="B291" s="196">
        <v>1413</v>
      </c>
      <c r="C291" s="1248" t="s">
        <v>349</v>
      </c>
      <c r="D291" s="1248"/>
      <c r="E291" s="185" t="s">
        <v>280</v>
      </c>
      <c r="F291" s="188" t="s">
        <v>8</v>
      </c>
      <c r="G291" s="488" t="s">
        <v>285</v>
      </c>
      <c r="H291" s="445">
        <v>3552</v>
      </c>
      <c r="I291" s="185" t="s">
        <v>281</v>
      </c>
      <c r="J291" s="1152" t="str">
        <f t="shared" ref="J291" si="7">$J$184</f>
        <v>Table 2, UFC 3-701-1, Change 8, 3 February 2021</v>
      </c>
      <c r="K291" s="1152"/>
      <c r="L291" s="1153"/>
      <c r="M291" s="173"/>
      <c r="N291" s="221"/>
      <c r="P291" s="171"/>
      <c r="Q291" s="171"/>
      <c r="R291" s="171"/>
      <c r="S291" s="51"/>
      <c r="T291" s="51"/>
      <c r="U291" s="171"/>
    </row>
    <row r="292" spans="1:21" s="208" customFormat="1" ht="30" customHeight="1" x14ac:dyDescent="0.35">
      <c r="A292" s="545" t="s">
        <v>288</v>
      </c>
      <c r="B292" s="1051" t="s">
        <v>282</v>
      </c>
      <c r="C292" s="1051"/>
      <c r="D292" s="1051"/>
      <c r="E292" s="509" t="s">
        <v>289</v>
      </c>
      <c r="F292" s="509" t="s">
        <v>290</v>
      </c>
      <c r="G292" s="1021" t="s">
        <v>323</v>
      </c>
      <c r="H292" s="1021"/>
      <c r="I292" s="1021" t="s">
        <v>405</v>
      </c>
      <c r="J292" s="1021"/>
      <c r="K292" s="1022" t="s">
        <v>292</v>
      </c>
      <c r="L292" s="1023"/>
      <c r="M292" s="173"/>
      <c r="O292" s="205"/>
      <c r="P292" s="75"/>
      <c r="Q292" s="75"/>
      <c r="R292" s="75"/>
      <c r="S292" s="213"/>
      <c r="T292" s="213"/>
      <c r="U292" s="75"/>
    </row>
    <row r="293" spans="1:21" s="27" customFormat="1" ht="30" customHeight="1" x14ac:dyDescent="0.35">
      <c r="A293" s="562" t="s">
        <v>293</v>
      </c>
      <c r="B293" s="1057" t="s">
        <v>2376</v>
      </c>
      <c r="C293" s="1057"/>
      <c r="D293" s="1057"/>
      <c r="E293" s="440" t="s">
        <v>2903</v>
      </c>
      <c r="F293" s="441">
        <v>93999</v>
      </c>
      <c r="G293" s="442">
        <f>62/H291</f>
        <v>1.7454954954954954E-2</v>
      </c>
      <c r="H293" s="443" t="s">
        <v>2904</v>
      </c>
      <c r="I293" s="1245" t="str">
        <f t="shared" ref="I293:J294" si="8">I288</f>
        <v>NA;  GUCs are as of October 2020</v>
      </c>
      <c r="J293" s="1245"/>
      <c r="K293" s="444">
        <f>F293*G293</f>
        <v>1640.7483108108106</v>
      </c>
      <c r="L293" s="564" t="s">
        <v>8</v>
      </c>
      <c r="M293" s="173"/>
      <c r="N293" s="207"/>
      <c r="O293" s="207"/>
    </row>
    <row r="294" spans="1:21" ht="30" customHeight="1" thickBot="1" x14ac:dyDescent="0.4">
      <c r="A294" s="1246" t="s">
        <v>2905</v>
      </c>
      <c r="B294" s="1247"/>
      <c r="C294" s="1247"/>
      <c r="D294" s="1247"/>
      <c r="E294" s="1247"/>
      <c r="F294" s="616"/>
      <c r="G294" s="616"/>
      <c r="H294" s="616"/>
      <c r="I294" s="617">
        <f t="shared" si="8"/>
        <v>0</v>
      </c>
      <c r="J294" s="618" t="str">
        <f t="shared" si="8"/>
        <v>PUC</v>
      </c>
      <c r="K294" s="619">
        <f>K293</f>
        <v>1640.7483108108106</v>
      </c>
      <c r="L294" s="620" t="s">
        <v>8</v>
      </c>
      <c r="M294" s="173"/>
      <c r="N294" s="208"/>
    </row>
    <row r="295" spans="1:21" ht="30" customHeight="1" thickBot="1" x14ac:dyDescent="0.4">
      <c r="A295" s="1086"/>
      <c r="B295" s="1086"/>
      <c r="C295" s="1086"/>
      <c r="D295" s="1086"/>
      <c r="E295" s="1086"/>
      <c r="F295" s="1086"/>
      <c r="G295" s="1086"/>
      <c r="H295" s="1086"/>
      <c r="I295" s="1086"/>
      <c r="J295" s="1086"/>
      <c r="K295" s="1086"/>
      <c r="L295" s="1103"/>
      <c r="M295" s="173"/>
    </row>
    <row r="296" spans="1:21" ht="30" customHeight="1" x14ac:dyDescent="0.35">
      <c r="A296" s="465" t="s">
        <v>278</v>
      </c>
      <c r="B296" s="539">
        <v>1421</v>
      </c>
      <c r="C296" s="1060" t="s">
        <v>350</v>
      </c>
      <c r="D296" s="1060"/>
      <c r="E296" s="541" t="s">
        <v>280</v>
      </c>
      <c r="F296" s="542" t="s">
        <v>8</v>
      </c>
      <c r="G296" s="543" t="s">
        <v>285</v>
      </c>
      <c r="H296" s="569">
        <v>386</v>
      </c>
      <c r="I296" s="541" t="s">
        <v>281</v>
      </c>
      <c r="J296" s="1098" t="s">
        <v>2786</v>
      </c>
      <c r="K296" s="1098"/>
      <c r="L296" s="1187"/>
      <c r="M296" s="173"/>
      <c r="P296" s="171"/>
      <c r="Q296" s="171"/>
      <c r="R296" s="171"/>
      <c r="S296" s="51"/>
      <c r="T296" s="51"/>
      <c r="U296" s="171"/>
    </row>
    <row r="297" spans="1:21" s="208" customFormat="1" ht="30" customHeight="1" x14ac:dyDescent="0.35">
      <c r="A297" s="545" t="s">
        <v>288</v>
      </c>
      <c r="B297" s="1051" t="s">
        <v>282</v>
      </c>
      <c r="C297" s="1051"/>
      <c r="D297" s="1051"/>
      <c r="E297" s="530" t="s">
        <v>289</v>
      </c>
      <c r="F297" s="561" t="s">
        <v>290</v>
      </c>
      <c r="G297" s="509"/>
      <c r="H297" s="509"/>
      <c r="I297" s="1052" t="s">
        <v>405</v>
      </c>
      <c r="J297" s="1052"/>
      <c r="K297" s="1012" t="s">
        <v>292</v>
      </c>
      <c r="L297" s="1023"/>
      <c r="M297" s="173"/>
      <c r="O297" s="205"/>
      <c r="P297" s="75"/>
      <c r="Q297" s="75"/>
      <c r="R297" s="75"/>
      <c r="S297" s="213"/>
      <c r="T297" s="213"/>
      <c r="U297" s="75"/>
    </row>
    <row r="298" spans="1:21" s="27" customFormat="1" ht="30" customHeight="1" x14ac:dyDescent="0.35">
      <c r="A298" s="562" t="s">
        <v>293</v>
      </c>
      <c r="B298" s="1116" t="s">
        <v>351</v>
      </c>
      <c r="C298" s="1116"/>
      <c r="D298" s="1116"/>
      <c r="E298" s="563">
        <v>8600</v>
      </c>
      <c r="F298" s="441">
        <v>325</v>
      </c>
      <c r="G298" s="442"/>
      <c r="H298" s="17"/>
      <c r="I298" s="1044" t="str">
        <f t="shared" ref="I298" si="9">I293</f>
        <v>NA;  GUCs are as of October 2020</v>
      </c>
      <c r="J298" s="1044"/>
      <c r="K298" s="444">
        <v>325</v>
      </c>
      <c r="L298" s="564" t="s">
        <v>8</v>
      </c>
      <c r="M298" s="173"/>
      <c r="N298" s="214"/>
      <c r="O298" s="207"/>
    </row>
    <row r="299" spans="1:21" ht="30" customHeight="1" x14ac:dyDescent="0.35">
      <c r="A299" s="562">
        <v>44135</v>
      </c>
      <c r="B299" s="1116" t="s">
        <v>1251</v>
      </c>
      <c r="C299" s="1116"/>
      <c r="D299" s="1116"/>
      <c r="E299" s="563">
        <v>386</v>
      </c>
      <c r="F299" s="441">
        <v>387</v>
      </c>
      <c r="G299" s="442"/>
      <c r="H299" s="17"/>
      <c r="I299" s="1044">
        <v>0.96209999999999996</v>
      </c>
      <c r="J299" s="1044"/>
      <c r="K299" s="444">
        <f>+F299*I299</f>
        <v>372.33269999999999</v>
      </c>
      <c r="L299" s="564" t="s">
        <v>8</v>
      </c>
      <c r="M299" s="173"/>
    </row>
    <row r="300" spans="1:21" ht="30" customHeight="1" x14ac:dyDescent="0.35">
      <c r="A300" s="241"/>
      <c r="B300" s="516"/>
      <c r="C300" s="570"/>
      <c r="D300" s="571" t="s">
        <v>352</v>
      </c>
      <c r="E300" s="621">
        <f>AVERAGE(E298:E299)</f>
        <v>4493</v>
      </c>
      <c r="F300" s="622"/>
      <c r="G300" s="623"/>
      <c r="H300" s="28"/>
      <c r="I300" s="1044" t="s">
        <v>353</v>
      </c>
      <c r="J300" s="1044"/>
      <c r="K300" s="444">
        <f>((E298/(E298+E299))*K298)+(E299/(E298+E299))*K299</f>
        <v>327.0332096817271</v>
      </c>
      <c r="L300" s="564" t="s">
        <v>8</v>
      </c>
      <c r="M300" s="173"/>
    </row>
    <row r="301" spans="1:21" ht="30" customHeight="1" thickBot="1" x14ac:dyDescent="0.4">
      <c r="A301" s="241"/>
      <c r="B301" s="1059"/>
      <c r="C301" s="1059"/>
      <c r="D301" s="1059"/>
      <c r="E301" s="624"/>
      <c r="F301" s="625"/>
      <c r="G301" s="625"/>
      <c r="H301" s="626"/>
      <c r="I301" s="458"/>
      <c r="J301" s="510" t="s">
        <v>2356</v>
      </c>
      <c r="K301" s="585">
        <f>+K300</f>
        <v>327.0332096817271</v>
      </c>
      <c r="L301" s="243" t="s">
        <v>8</v>
      </c>
      <c r="M301" s="173"/>
      <c r="N301" s="425"/>
      <c r="P301" s="171"/>
      <c r="Q301" s="171"/>
      <c r="R301" s="171"/>
      <c r="S301" s="51"/>
      <c r="T301" s="51"/>
      <c r="U301" s="171"/>
    </row>
    <row r="302" spans="1:21" s="208" customFormat="1" ht="30" customHeight="1" thickBot="1" x14ac:dyDescent="0.4">
      <c r="A302" s="1086"/>
      <c r="B302" s="1086"/>
      <c r="C302" s="1086"/>
      <c r="D302" s="1086"/>
      <c r="E302" s="1086"/>
      <c r="F302" s="1086"/>
      <c r="G302" s="1086"/>
      <c r="H302" s="1086"/>
      <c r="I302" s="1086"/>
      <c r="J302" s="1086"/>
      <c r="K302" s="1086"/>
      <c r="L302" s="1103"/>
      <c r="M302" s="173"/>
      <c r="O302" s="205"/>
      <c r="P302" s="75"/>
      <c r="Q302" s="75"/>
      <c r="R302" s="75"/>
      <c r="S302" s="213"/>
      <c r="T302" s="213"/>
      <c r="U302" s="75"/>
    </row>
    <row r="303" spans="1:21" s="27" customFormat="1" ht="30" customHeight="1" x14ac:dyDescent="0.35">
      <c r="A303" s="465" t="s">
        <v>278</v>
      </c>
      <c r="B303" s="539">
        <v>1422</v>
      </c>
      <c r="C303" s="1017" t="s">
        <v>354</v>
      </c>
      <c r="D303" s="1017"/>
      <c r="E303" s="541" t="s">
        <v>280</v>
      </c>
      <c r="F303" s="542" t="s">
        <v>10</v>
      </c>
      <c r="G303" s="553" t="s">
        <v>279</v>
      </c>
      <c r="H303" s="587">
        <v>1</v>
      </c>
      <c r="I303" s="541" t="s">
        <v>281</v>
      </c>
      <c r="J303" s="1019" t="s">
        <v>2719</v>
      </c>
      <c r="K303" s="1019"/>
      <c r="L303" s="1020"/>
      <c r="M303" s="173"/>
      <c r="N303" s="214"/>
      <c r="O303" s="207"/>
    </row>
    <row r="304" spans="1:21" ht="30" customHeight="1" x14ac:dyDescent="0.35">
      <c r="A304" s="588" t="s">
        <v>298</v>
      </c>
      <c r="B304" s="1038" t="s">
        <v>321</v>
      </c>
      <c r="C304" s="1038"/>
      <c r="D304" s="1038"/>
      <c r="E304" s="23" t="s">
        <v>290</v>
      </c>
      <c r="F304" s="23" t="s">
        <v>322</v>
      </c>
      <c r="G304" s="1034" t="s">
        <v>323</v>
      </c>
      <c r="H304" s="1034"/>
      <c r="I304" s="509" t="s">
        <v>299</v>
      </c>
      <c r="J304" s="509"/>
      <c r="K304" s="1012" t="s">
        <v>292</v>
      </c>
      <c r="L304" s="1023"/>
      <c r="M304" s="173"/>
    </row>
    <row r="305" spans="1:21" ht="30" customHeight="1" x14ac:dyDescent="0.35">
      <c r="A305" s="241" t="s">
        <v>355</v>
      </c>
      <c r="B305" s="1031" t="s">
        <v>2377</v>
      </c>
      <c r="C305" s="1031"/>
      <c r="D305" s="1031"/>
      <c r="E305" s="453">
        <v>83250</v>
      </c>
      <c r="F305" s="446" t="s">
        <v>10</v>
      </c>
      <c r="G305" s="454"/>
      <c r="H305" s="446"/>
      <c r="I305" s="446">
        <v>1.02</v>
      </c>
      <c r="J305" s="446"/>
      <c r="K305" s="453">
        <f>+E305*I305</f>
        <v>84915</v>
      </c>
      <c r="L305" s="243" t="s">
        <v>10</v>
      </c>
      <c r="M305" s="173"/>
    </row>
    <row r="306" spans="1:21" ht="30" customHeight="1" x14ac:dyDescent="0.35">
      <c r="A306" s="241" t="s">
        <v>355</v>
      </c>
      <c r="B306" s="1031" t="s">
        <v>2378</v>
      </c>
      <c r="C306" s="1031"/>
      <c r="D306" s="1031"/>
      <c r="E306" s="453">
        <v>125000</v>
      </c>
      <c r="F306" s="446" t="s">
        <v>10</v>
      </c>
      <c r="G306" s="454"/>
      <c r="H306" s="446"/>
      <c r="I306" s="446">
        <v>1.02</v>
      </c>
      <c r="J306" s="446"/>
      <c r="K306" s="453">
        <f>+E306*I306</f>
        <v>127500</v>
      </c>
      <c r="L306" s="243" t="s">
        <v>10</v>
      </c>
      <c r="M306" s="173"/>
      <c r="P306" s="171"/>
      <c r="Q306" s="171"/>
      <c r="R306" s="171"/>
      <c r="S306" s="51"/>
      <c r="T306" s="51"/>
      <c r="U306" s="171"/>
    </row>
    <row r="307" spans="1:21" s="208" customFormat="1" ht="30" customHeight="1" x14ac:dyDescent="0.35">
      <c r="A307" s="241"/>
      <c r="B307" s="516"/>
      <c r="C307" s="570"/>
      <c r="D307" s="571"/>
      <c r="E307" s="453"/>
      <c r="F307" s="446"/>
      <c r="G307" s="454"/>
      <c r="H307" s="446"/>
      <c r="I307" s="446"/>
      <c r="J307" s="446" t="s">
        <v>304</v>
      </c>
      <c r="K307" s="453">
        <f>AVERAGE(K305:K306)</f>
        <v>106207.5</v>
      </c>
      <c r="L307" s="243" t="s">
        <v>10</v>
      </c>
      <c r="M307" s="173"/>
      <c r="O307" s="205"/>
      <c r="P307" s="75"/>
      <c r="Q307" s="75"/>
      <c r="R307" s="75"/>
      <c r="S307" s="213"/>
      <c r="T307" s="213"/>
      <c r="U307" s="75"/>
    </row>
    <row r="308" spans="1:21" s="27" customFormat="1" ht="30" customHeight="1" x14ac:dyDescent="0.35">
      <c r="A308" s="241"/>
      <c r="B308" s="516"/>
      <c r="C308" s="570"/>
      <c r="D308" s="571"/>
      <c r="E308" s="453"/>
      <c r="F308" s="1029" t="s">
        <v>302</v>
      </c>
      <c r="G308" s="1058" t="s">
        <v>303</v>
      </c>
      <c r="H308" s="1058"/>
      <c r="I308" s="1058"/>
      <c r="J308" s="1058"/>
      <c r="K308" s="573">
        <v>1.07</v>
      </c>
      <c r="L308" s="243"/>
      <c r="M308" s="173"/>
      <c r="N308" s="13"/>
      <c r="O308" s="207"/>
    </row>
    <row r="309" spans="1:21" s="27" customFormat="1" ht="30" customHeight="1" x14ac:dyDescent="0.35">
      <c r="A309" s="241"/>
      <c r="B309" s="1059"/>
      <c r="C309" s="1059"/>
      <c r="D309" s="1059"/>
      <c r="E309" s="453"/>
      <c r="F309" s="1029"/>
      <c r="G309" s="1073" t="s">
        <v>2374</v>
      </c>
      <c r="H309" s="1073"/>
      <c r="I309" s="1073"/>
      <c r="J309" s="1073"/>
      <c r="K309" s="573">
        <v>1.08</v>
      </c>
      <c r="L309" s="574"/>
      <c r="M309" s="173"/>
      <c r="N309" s="214"/>
      <c r="O309" s="207"/>
    </row>
    <row r="310" spans="1:21" s="27" customFormat="1" ht="30" customHeight="1" x14ac:dyDescent="0.35">
      <c r="A310" s="241"/>
      <c r="B310" s="446"/>
      <c r="C310" s="458"/>
      <c r="D310" s="458"/>
      <c r="E310" s="458"/>
      <c r="F310" s="458"/>
      <c r="G310" s="458"/>
      <c r="H310" s="458"/>
      <c r="I310" s="458"/>
      <c r="J310" s="458" t="s">
        <v>2356</v>
      </c>
      <c r="K310" s="591">
        <f>+K307*K308/K309</f>
        <v>105224.09722222222</v>
      </c>
      <c r="L310" s="243" t="s">
        <v>10</v>
      </c>
      <c r="M310" s="364"/>
      <c r="N310" s="222"/>
      <c r="O310" s="207"/>
    </row>
    <row r="311" spans="1:21" ht="30" customHeight="1" thickBot="1" x14ac:dyDescent="0.4">
      <c r="A311" s="241"/>
      <c r="B311" s="446"/>
      <c r="C311" s="458"/>
      <c r="D311" s="458"/>
      <c r="E311" s="458"/>
      <c r="F311" s="458"/>
      <c r="G311" s="592" t="s">
        <v>2358</v>
      </c>
      <c r="H311" s="458"/>
      <c r="I311" s="458"/>
      <c r="J311" s="583">
        <f>VLOOKUP(B303,'Mil Cost Premiums for PUCs'!$A$4:$R$272,18,FALSE)</f>
        <v>1.0209999999999999</v>
      </c>
      <c r="K311" s="591">
        <f>+K310*J311</f>
        <v>107433.80326388887</v>
      </c>
      <c r="L311" s="243" t="s">
        <v>10</v>
      </c>
      <c r="M311" s="173"/>
    </row>
    <row r="312" spans="1:21" ht="30" customHeight="1" thickBot="1" x14ac:dyDescent="0.4">
      <c r="A312" s="1086"/>
      <c r="B312" s="1086"/>
      <c r="C312" s="1086"/>
      <c r="D312" s="1086"/>
      <c r="E312" s="1086"/>
      <c r="F312" s="1086"/>
      <c r="G312" s="1086"/>
      <c r="H312" s="1086"/>
      <c r="I312" s="1086"/>
      <c r="J312" s="1086"/>
      <c r="K312" s="1086"/>
      <c r="L312" s="1103"/>
      <c r="M312" s="173"/>
    </row>
    <row r="313" spans="1:21" ht="30" customHeight="1" x14ac:dyDescent="0.35">
      <c r="A313" s="593" t="s">
        <v>278</v>
      </c>
      <c r="B313" s="433">
        <v>1431</v>
      </c>
      <c r="C313" s="1096" t="s">
        <v>356</v>
      </c>
      <c r="D313" s="1096"/>
      <c r="E313" s="434" t="s">
        <v>280</v>
      </c>
      <c r="F313" s="435" t="s">
        <v>8</v>
      </c>
      <c r="G313" s="543" t="s">
        <v>285</v>
      </c>
      <c r="H313" s="627">
        <v>8607</v>
      </c>
      <c r="I313" s="541" t="s">
        <v>281</v>
      </c>
      <c r="J313" s="1098" t="s">
        <v>2647</v>
      </c>
      <c r="K313" s="1098"/>
      <c r="L313" s="1187"/>
      <c r="M313" s="173"/>
      <c r="N313" s="68"/>
      <c r="O313" s="203"/>
      <c r="P313" s="218"/>
      <c r="Q313" s="68"/>
      <c r="R313" s="217"/>
    </row>
    <row r="314" spans="1:21" s="208" customFormat="1" ht="30" customHeight="1" x14ac:dyDescent="0.35">
      <c r="A314" s="545" t="s">
        <v>288</v>
      </c>
      <c r="B314" s="1051" t="s">
        <v>282</v>
      </c>
      <c r="C314" s="1051"/>
      <c r="D314" s="1051"/>
      <c r="E314" s="530" t="s">
        <v>289</v>
      </c>
      <c r="F314" s="561" t="s">
        <v>290</v>
      </c>
      <c r="G314" s="509"/>
      <c r="H314" s="509"/>
      <c r="I314" s="1052" t="s">
        <v>405</v>
      </c>
      <c r="J314" s="1052"/>
      <c r="K314" s="1012" t="s">
        <v>292</v>
      </c>
      <c r="L314" s="1023"/>
      <c r="M314" s="173"/>
      <c r="N314" s="68"/>
      <c r="P314" s="218"/>
      <c r="Q314" s="68"/>
      <c r="R314" s="217"/>
    </row>
    <row r="315" spans="1:21" ht="30" customHeight="1" x14ac:dyDescent="0.35">
      <c r="A315" s="241" t="s">
        <v>293</v>
      </c>
      <c r="B315" s="1082" t="s">
        <v>2646</v>
      </c>
      <c r="C315" s="1082"/>
      <c r="D315" s="1082"/>
      <c r="E315" s="628">
        <v>18000</v>
      </c>
      <c r="F315" s="629">
        <v>331</v>
      </c>
      <c r="G315" s="589"/>
      <c r="H315" s="571"/>
      <c r="I315" s="1044" t="str">
        <f t="shared" ref="I315" si="10">$I$273</f>
        <v>NA;  GUCs are as of October 2020</v>
      </c>
      <c r="J315" s="1044"/>
      <c r="K315" s="630">
        <f>F315</f>
        <v>331</v>
      </c>
      <c r="L315" s="243" t="s">
        <v>8</v>
      </c>
      <c r="M315" s="173"/>
      <c r="N315" s="63"/>
      <c r="O315" s="203"/>
      <c r="P315" s="218"/>
      <c r="Q315" s="68"/>
      <c r="R315" s="217"/>
    </row>
    <row r="316" spans="1:21" ht="30" customHeight="1" thickBot="1" x14ac:dyDescent="0.4">
      <c r="A316" s="241"/>
      <c r="B316" s="506"/>
      <c r="C316" s="506"/>
      <c r="D316" s="506"/>
      <c r="E316" s="453"/>
      <c r="F316" s="446"/>
      <c r="G316" s="446"/>
      <c r="H316" s="446"/>
      <c r="I316" s="446"/>
      <c r="J316" s="510" t="s">
        <v>2356</v>
      </c>
      <c r="K316" s="453">
        <f>SUM(K315:K315)</f>
        <v>331</v>
      </c>
      <c r="L316" s="243" t="s">
        <v>8</v>
      </c>
      <c r="M316" s="173"/>
      <c r="N316" s="63"/>
      <c r="O316" s="203"/>
      <c r="P316" s="218"/>
      <c r="Q316" s="68"/>
      <c r="R316" s="217"/>
    </row>
    <row r="317" spans="1:21" ht="30" customHeight="1" thickBot="1" x14ac:dyDescent="0.4">
      <c r="A317" s="1086"/>
      <c r="B317" s="1086"/>
      <c r="C317" s="1086"/>
      <c r="D317" s="1086"/>
      <c r="E317" s="1086"/>
      <c r="F317" s="1086"/>
      <c r="G317" s="1086"/>
      <c r="H317" s="1086"/>
      <c r="I317" s="1086"/>
      <c r="J317" s="1086"/>
      <c r="K317" s="1086"/>
      <c r="L317" s="1103"/>
      <c r="M317" s="173"/>
      <c r="N317" s="68"/>
      <c r="O317" s="203"/>
      <c r="P317" s="218"/>
      <c r="Q317" s="68"/>
      <c r="R317" s="217"/>
    </row>
    <row r="318" spans="1:21" ht="30" customHeight="1" x14ac:dyDescent="0.35">
      <c r="A318" s="465" t="s">
        <v>278</v>
      </c>
      <c r="B318" s="539">
        <v>1441</v>
      </c>
      <c r="C318" s="586" t="s">
        <v>357</v>
      </c>
      <c r="D318" s="631"/>
      <c r="E318" s="541" t="s">
        <v>280</v>
      </c>
      <c r="F318" s="542" t="s">
        <v>8</v>
      </c>
      <c r="G318" s="543" t="s">
        <v>285</v>
      </c>
      <c r="H318" s="632">
        <v>5341</v>
      </c>
      <c r="I318" s="541" t="s">
        <v>281</v>
      </c>
      <c r="J318" s="1019" t="s">
        <v>2719</v>
      </c>
      <c r="K318" s="1019"/>
      <c r="L318" s="1020"/>
      <c r="M318" s="173"/>
      <c r="N318" s="68"/>
      <c r="O318" s="203"/>
      <c r="P318" s="218"/>
      <c r="Q318" s="68"/>
      <c r="R318" s="217"/>
    </row>
    <row r="319" spans="1:21" ht="30" customHeight="1" x14ac:dyDescent="0.35">
      <c r="A319" s="588" t="s">
        <v>298</v>
      </c>
      <c r="B319" s="1038" t="s">
        <v>321</v>
      </c>
      <c r="C319" s="1038"/>
      <c r="D319" s="1038"/>
      <c r="E319" s="23" t="s">
        <v>290</v>
      </c>
      <c r="F319" s="23" t="s">
        <v>322</v>
      </c>
      <c r="G319" s="1034" t="s">
        <v>323</v>
      </c>
      <c r="H319" s="1034"/>
      <c r="I319" s="201" t="s">
        <v>299</v>
      </c>
      <c r="J319" s="201"/>
      <c r="K319" s="1012" t="s">
        <v>292</v>
      </c>
      <c r="L319" s="1023"/>
      <c r="M319" s="173"/>
      <c r="N319" s="68"/>
      <c r="O319" s="203"/>
      <c r="P319" s="218"/>
      <c r="Q319" s="68"/>
      <c r="R319" s="217"/>
    </row>
    <row r="320" spans="1:21" ht="30" customHeight="1" x14ac:dyDescent="0.35">
      <c r="A320" s="241" t="s">
        <v>358</v>
      </c>
      <c r="B320" s="1031" t="s">
        <v>359</v>
      </c>
      <c r="C320" s="1031"/>
      <c r="D320" s="1031"/>
      <c r="E320" s="453">
        <v>214</v>
      </c>
      <c r="F320" s="446" t="s">
        <v>8</v>
      </c>
      <c r="G320" s="589"/>
      <c r="H320" s="571"/>
      <c r="I320" s="446">
        <v>1.05</v>
      </c>
      <c r="J320" s="446"/>
      <c r="K320" s="453">
        <f>+E320*I320</f>
        <v>224.70000000000002</v>
      </c>
      <c r="L320" s="243" t="s">
        <v>8</v>
      </c>
      <c r="M320" s="173"/>
      <c r="N320" s="68"/>
      <c r="O320" s="203"/>
      <c r="P320" s="218"/>
      <c r="Q320" s="68"/>
      <c r="R320" s="217"/>
    </row>
    <row r="321" spans="1:18" ht="30" customHeight="1" x14ac:dyDescent="0.35">
      <c r="A321" s="241" t="s">
        <v>360</v>
      </c>
      <c r="B321" s="1031" t="s">
        <v>361</v>
      </c>
      <c r="C321" s="1031"/>
      <c r="D321" s="1031"/>
      <c r="E321" s="453">
        <v>3.71</v>
      </c>
      <c r="F321" s="446" t="s">
        <v>8</v>
      </c>
      <c r="G321" s="589"/>
      <c r="H321" s="571"/>
      <c r="I321" s="446">
        <v>1.05</v>
      </c>
      <c r="J321" s="446"/>
      <c r="K321" s="453">
        <f>+E321*I321</f>
        <v>3.8955000000000002</v>
      </c>
      <c r="L321" s="243" t="s">
        <v>8</v>
      </c>
      <c r="M321" s="173"/>
      <c r="N321" s="68"/>
      <c r="O321" s="203"/>
      <c r="P321" s="218"/>
      <c r="Q321" s="68"/>
      <c r="R321" s="217"/>
    </row>
    <row r="322" spans="1:18" ht="30" customHeight="1" x14ac:dyDescent="0.35">
      <c r="A322" s="241"/>
      <c r="B322" s="1102"/>
      <c r="C322" s="1102"/>
      <c r="D322" s="1102"/>
      <c r="E322" s="453"/>
      <c r="F322" s="446"/>
      <c r="G322" s="446"/>
      <c r="H322" s="446"/>
      <c r="I322" s="446"/>
      <c r="J322" s="446" t="s">
        <v>362</v>
      </c>
      <c r="K322" s="453">
        <f>SUM(K320:K321)</f>
        <v>228.59550000000002</v>
      </c>
      <c r="L322" s="243" t="s">
        <v>8</v>
      </c>
      <c r="M322" s="173"/>
      <c r="N322" s="68"/>
      <c r="O322" s="203"/>
      <c r="P322" s="218"/>
      <c r="Q322" s="68"/>
      <c r="R322" s="217"/>
    </row>
    <row r="323" spans="1:18" ht="30" customHeight="1" x14ac:dyDescent="0.35">
      <c r="A323" s="241"/>
      <c r="B323" s="506"/>
      <c r="C323" s="506"/>
      <c r="D323" s="506"/>
      <c r="E323" s="453"/>
      <c r="F323" s="1029" t="s">
        <v>302</v>
      </c>
      <c r="G323" s="1058" t="s">
        <v>363</v>
      </c>
      <c r="H323" s="1058"/>
      <c r="I323" s="1058"/>
      <c r="J323" s="1058"/>
      <c r="K323" s="573">
        <v>1.1000000000000001</v>
      </c>
      <c r="L323" s="243"/>
      <c r="M323" s="173"/>
      <c r="N323" s="223"/>
      <c r="O323" s="203"/>
      <c r="P323" s="218"/>
      <c r="Q323" s="68"/>
      <c r="R323" s="217"/>
    </row>
    <row r="324" spans="1:18" s="208" customFormat="1" ht="30" customHeight="1" x14ac:dyDescent="0.35">
      <c r="A324" s="241"/>
      <c r="B324" s="506"/>
      <c r="C324" s="506"/>
      <c r="D324" s="506"/>
      <c r="E324" s="453"/>
      <c r="F324" s="1029"/>
      <c r="G324" s="1073" t="s">
        <v>2374</v>
      </c>
      <c r="H324" s="1073"/>
      <c r="I324" s="1073"/>
      <c r="J324" s="1073"/>
      <c r="K324" s="573">
        <v>1.08</v>
      </c>
      <c r="L324" s="243"/>
      <c r="M324" s="173"/>
      <c r="N324" s="68"/>
      <c r="P324" s="218"/>
      <c r="Q324" s="68"/>
      <c r="R324" s="217"/>
    </row>
    <row r="325" spans="1:18" ht="30" customHeight="1" x14ac:dyDescent="0.35">
      <c r="A325" s="241"/>
      <c r="B325" s="446"/>
      <c r="C325" s="458"/>
      <c r="D325" s="458"/>
      <c r="E325" s="458"/>
      <c r="F325" s="458"/>
      <c r="G325" s="458"/>
      <c r="H325" s="458"/>
      <c r="I325" s="458"/>
      <c r="J325" s="446" t="s">
        <v>2356</v>
      </c>
      <c r="K325" s="591">
        <f>+K322*K323/K324</f>
        <v>232.82875000000001</v>
      </c>
      <c r="L325" s="243" t="s">
        <v>8</v>
      </c>
      <c r="M325" s="173"/>
      <c r="N325" s="63"/>
      <c r="O325" s="203"/>
      <c r="P325" s="218"/>
      <c r="Q325" s="68"/>
      <c r="R325" s="217"/>
    </row>
    <row r="326" spans="1:18" ht="30" customHeight="1" thickBot="1" x14ac:dyDescent="0.4">
      <c r="A326" s="241"/>
      <c r="B326" s="446"/>
      <c r="C326" s="458"/>
      <c r="D326" s="458"/>
      <c r="E326" s="458"/>
      <c r="F326" s="458"/>
      <c r="G326" s="592" t="s">
        <v>2358</v>
      </c>
      <c r="H326" s="458"/>
      <c r="I326" s="458"/>
      <c r="J326" s="583">
        <f>VLOOKUP(B318,'Mil Cost Premiums for PUCs'!$A$4:$R$272,18,FALSE)</f>
        <v>1.3319480854780448</v>
      </c>
      <c r="K326" s="591">
        <f>+K325*J326</f>
        <v>310.11580780674632</v>
      </c>
      <c r="L326" s="243" t="s">
        <v>8</v>
      </c>
      <c r="M326" s="173"/>
      <c r="N326" s="63"/>
      <c r="O326" s="203"/>
      <c r="P326" s="218"/>
      <c r="Q326" s="68"/>
      <c r="R326" s="217"/>
    </row>
    <row r="327" spans="1:18" ht="30" customHeight="1" thickBot="1" x14ac:dyDescent="0.4">
      <c r="A327" s="1086"/>
      <c r="B327" s="1086"/>
      <c r="C327" s="1086"/>
      <c r="D327" s="1086"/>
      <c r="E327" s="1086"/>
      <c r="F327" s="1086"/>
      <c r="G327" s="1086"/>
      <c r="H327" s="1086"/>
      <c r="I327" s="1086"/>
      <c r="J327" s="1086"/>
      <c r="K327" s="1086"/>
      <c r="L327" s="1103"/>
      <c r="M327" s="173"/>
      <c r="N327" s="63"/>
      <c r="O327" s="203"/>
      <c r="P327" s="218"/>
      <c r="Q327" s="68"/>
      <c r="R327" s="217"/>
    </row>
    <row r="328" spans="1:18" ht="30" customHeight="1" x14ac:dyDescent="0.35">
      <c r="A328" s="465" t="s">
        <v>278</v>
      </c>
      <c r="B328" s="539">
        <v>1442</v>
      </c>
      <c r="C328" s="1096" t="s">
        <v>364</v>
      </c>
      <c r="D328" s="1096"/>
      <c r="E328" s="541" t="s">
        <v>280</v>
      </c>
      <c r="F328" s="542" t="s">
        <v>8</v>
      </c>
      <c r="G328" s="543" t="s">
        <v>285</v>
      </c>
      <c r="H328" s="632">
        <v>8236</v>
      </c>
      <c r="I328" s="541" t="s">
        <v>281</v>
      </c>
      <c r="J328" s="1019" t="s">
        <v>2719</v>
      </c>
      <c r="K328" s="1019"/>
      <c r="L328" s="1020"/>
      <c r="M328" s="173"/>
      <c r="N328" s="63"/>
      <c r="O328" s="203"/>
      <c r="P328" s="218"/>
      <c r="Q328" s="68"/>
      <c r="R328" s="217"/>
    </row>
    <row r="329" spans="1:18" ht="30" customHeight="1" x14ac:dyDescent="0.35">
      <c r="A329" s="588" t="s">
        <v>298</v>
      </c>
      <c r="B329" s="1038" t="s">
        <v>321</v>
      </c>
      <c r="C329" s="1038"/>
      <c r="D329" s="1038"/>
      <c r="E329" s="23" t="s">
        <v>290</v>
      </c>
      <c r="F329" s="23" t="s">
        <v>322</v>
      </c>
      <c r="G329" s="1034" t="s">
        <v>323</v>
      </c>
      <c r="H329" s="1034"/>
      <c r="I329" s="201" t="s">
        <v>299</v>
      </c>
      <c r="J329" s="201"/>
      <c r="K329" s="1012" t="s">
        <v>292</v>
      </c>
      <c r="L329" s="1023"/>
      <c r="M329" s="173"/>
      <c r="N329" s="149"/>
      <c r="O329" s="203"/>
      <c r="P329" s="218"/>
      <c r="Q329" s="68"/>
      <c r="R329" s="217"/>
    </row>
    <row r="330" spans="1:18" ht="30" customHeight="1" x14ac:dyDescent="0.35">
      <c r="A330" s="241" t="s">
        <v>365</v>
      </c>
      <c r="B330" s="1031" t="s">
        <v>366</v>
      </c>
      <c r="C330" s="1031"/>
      <c r="D330" s="1031"/>
      <c r="E330" s="453">
        <v>242</v>
      </c>
      <c r="F330" s="446" t="s">
        <v>8</v>
      </c>
      <c r="G330" s="589"/>
      <c r="H330" s="571"/>
      <c r="I330" s="446">
        <v>1.05</v>
      </c>
      <c r="J330" s="446"/>
      <c r="K330" s="453">
        <f>+E330*I330</f>
        <v>254.10000000000002</v>
      </c>
      <c r="L330" s="243" t="s">
        <v>8</v>
      </c>
      <c r="M330" s="173"/>
      <c r="N330" s="133"/>
      <c r="O330" s="203"/>
      <c r="P330" s="218"/>
      <c r="Q330" s="68"/>
      <c r="R330" s="217"/>
    </row>
    <row r="331" spans="1:18" ht="30" customHeight="1" x14ac:dyDescent="0.35">
      <c r="A331" s="241" t="s">
        <v>360</v>
      </c>
      <c r="B331" s="1031" t="s">
        <v>367</v>
      </c>
      <c r="C331" s="1031"/>
      <c r="D331" s="1031"/>
      <c r="E331" s="453">
        <v>4.38</v>
      </c>
      <c r="F331" s="446" t="s">
        <v>8</v>
      </c>
      <c r="G331" s="589"/>
      <c r="H331" s="571"/>
      <c r="I331" s="446">
        <v>1.05</v>
      </c>
      <c r="J331" s="446"/>
      <c r="K331" s="453">
        <f>+E331*I331</f>
        <v>4.5990000000000002</v>
      </c>
      <c r="L331" s="243" t="s">
        <v>8</v>
      </c>
      <c r="M331" s="173"/>
      <c r="N331" s="68"/>
      <c r="O331" s="203"/>
      <c r="P331" s="218"/>
      <c r="Q331" s="68"/>
      <c r="R331" s="217"/>
    </row>
    <row r="332" spans="1:18" ht="30" customHeight="1" x14ac:dyDescent="0.35">
      <c r="A332" s="241"/>
      <c r="B332" s="1102"/>
      <c r="C332" s="1102"/>
      <c r="D332" s="1102"/>
      <c r="E332" s="453"/>
      <c r="F332" s="446"/>
      <c r="G332" s="446"/>
      <c r="H332" s="446"/>
      <c r="I332" s="446"/>
      <c r="J332" s="446" t="s">
        <v>335</v>
      </c>
      <c r="K332" s="453">
        <f>SUM(K330:K331)</f>
        <v>258.69900000000001</v>
      </c>
      <c r="L332" s="243" t="s">
        <v>8</v>
      </c>
      <c r="M332" s="173"/>
      <c r="N332" s="68"/>
      <c r="O332" s="203"/>
      <c r="P332" s="218"/>
      <c r="Q332" s="68"/>
      <c r="R332" s="217"/>
    </row>
    <row r="333" spans="1:18" ht="30" customHeight="1" x14ac:dyDescent="0.35">
      <c r="A333" s="241"/>
      <c r="B333" s="506"/>
      <c r="C333" s="506"/>
      <c r="D333" s="506"/>
      <c r="E333" s="453"/>
      <c r="F333" s="1029" t="s">
        <v>302</v>
      </c>
      <c r="G333" s="1058" t="s">
        <v>303</v>
      </c>
      <c r="H333" s="1058"/>
      <c r="I333" s="1058"/>
      <c r="J333" s="1058"/>
      <c r="K333" s="573">
        <v>1.1000000000000001</v>
      </c>
      <c r="L333" s="243"/>
      <c r="M333" s="173"/>
      <c r="N333" s="68"/>
      <c r="O333" s="203"/>
      <c r="P333" s="218"/>
      <c r="Q333" s="68"/>
      <c r="R333" s="217"/>
    </row>
    <row r="334" spans="1:18" ht="30" customHeight="1" x14ac:dyDescent="0.35">
      <c r="A334" s="241"/>
      <c r="B334" s="506"/>
      <c r="C334" s="506"/>
      <c r="D334" s="506"/>
      <c r="E334" s="453"/>
      <c r="F334" s="1029"/>
      <c r="G334" s="1073" t="s">
        <v>2374</v>
      </c>
      <c r="H334" s="1073"/>
      <c r="I334" s="1073"/>
      <c r="J334" s="1073"/>
      <c r="K334" s="573">
        <v>1.08</v>
      </c>
      <c r="L334" s="243"/>
      <c r="M334" s="173"/>
      <c r="N334" s="68"/>
      <c r="O334" s="203"/>
      <c r="P334" s="218"/>
      <c r="Q334" s="68"/>
      <c r="R334" s="217"/>
    </row>
    <row r="335" spans="1:18" ht="30" customHeight="1" x14ac:dyDescent="0.35">
      <c r="A335" s="241"/>
      <c r="B335" s="446"/>
      <c r="C335" s="458"/>
      <c r="D335" s="458"/>
      <c r="E335" s="458"/>
      <c r="F335" s="458"/>
      <c r="G335" s="458"/>
      <c r="H335" s="458"/>
      <c r="I335" s="458"/>
      <c r="J335" s="446" t="s">
        <v>2356</v>
      </c>
      <c r="K335" s="591">
        <f>+K332*K333/K334</f>
        <v>263.48972222222227</v>
      </c>
      <c r="L335" s="243" t="s">
        <v>8</v>
      </c>
      <c r="M335" s="173"/>
      <c r="N335" s="68"/>
      <c r="O335" s="203"/>
      <c r="P335" s="218"/>
      <c r="Q335" s="68"/>
      <c r="R335" s="217"/>
    </row>
    <row r="336" spans="1:18" ht="30" customHeight="1" x14ac:dyDescent="0.35">
      <c r="A336" s="582"/>
      <c r="B336" s="492"/>
      <c r="C336" s="20"/>
      <c r="D336" s="20"/>
      <c r="E336" s="20"/>
      <c r="F336" s="20"/>
      <c r="G336" s="171"/>
      <c r="H336" s="171"/>
      <c r="I336" s="224" t="s">
        <v>2359</v>
      </c>
      <c r="J336" s="583">
        <f>VLOOKUP(B328,'Mil Cost Premiums for PUCs'!$A$4:$R$272,18,FALSE)</f>
        <v>1.3319480854780448</v>
      </c>
      <c r="K336" s="225">
        <f>+K335*J336</f>
        <v>350.95463105703078</v>
      </c>
      <c r="L336" s="243" t="s">
        <v>8</v>
      </c>
      <c r="M336" s="173"/>
      <c r="N336" s="68"/>
      <c r="O336" s="203"/>
      <c r="P336" s="218"/>
      <c r="Q336" s="68"/>
      <c r="R336" s="217"/>
    </row>
    <row r="337" spans="1:18" ht="60" customHeight="1" x14ac:dyDescent="0.35">
      <c r="A337" s="1249" t="s">
        <v>305</v>
      </c>
      <c r="B337" s="1250"/>
      <c r="C337" s="1250"/>
      <c r="D337" s="1250"/>
      <c r="E337" s="1250"/>
      <c r="F337" s="1250"/>
      <c r="G337" s="1250"/>
      <c r="H337" s="1250"/>
      <c r="I337" s="1250"/>
      <c r="J337" s="1250"/>
      <c r="K337" s="1250"/>
      <c r="L337" s="1126"/>
      <c r="M337" s="173"/>
      <c r="N337" s="68"/>
      <c r="O337" s="203"/>
      <c r="P337" s="218"/>
      <c r="Q337" s="68"/>
      <c r="R337" s="217"/>
    </row>
    <row r="338" spans="1:18" ht="30" customHeight="1" x14ac:dyDescent="0.35">
      <c r="A338" s="1144" t="s">
        <v>306</v>
      </c>
      <c r="B338" s="1145"/>
      <c r="C338" s="1145"/>
      <c r="D338" s="1067" t="s">
        <v>368</v>
      </c>
      <c r="E338" s="1067"/>
      <c r="F338" s="1067"/>
      <c r="G338" s="1067"/>
      <c r="H338" s="1067"/>
      <c r="I338" s="1067"/>
      <c r="J338" s="1067"/>
      <c r="K338" s="1067"/>
      <c r="L338" s="1126"/>
      <c r="M338" s="173"/>
      <c r="N338" s="68"/>
      <c r="O338" s="203"/>
      <c r="P338" s="218"/>
      <c r="Q338" s="68"/>
      <c r="R338" s="217"/>
    </row>
    <row r="339" spans="1:18" s="208" customFormat="1" ht="30" customHeight="1" x14ac:dyDescent="0.35">
      <c r="A339" s="1144" t="s">
        <v>307</v>
      </c>
      <c r="B339" s="1145"/>
      <c r="C339" s="1145"/>
      <c r="D339" s="1250" t="s">
        <v>369</v>
      </c>
      <c r="E339" s="1250"/>
      <c r="F339" s="1250"/>
      <c r="G339" s="1250"/>
      <c r="H339" s="1250"/>
      <c r="I339" s="1250"/>
      <c r="J339" s="1250"/>
      <c r="K339" s="1250"/>
      <c r="L339" s="1126"/>
      <c r="M339" s="173"/>
      <c r="N339" s="68"/>
      <c r="P339" s="218"/>
      <c r="Q339" s="68"/>
      <c r="R339" s="217"/>
    </row>
    <row r="340" spans="1:18" ht="30" customHeight="1" x14ac:dyDescent="0.35">
      <c r="A340" s="1144" t="s">
        <v>308</v>
      </c>
      <c r="B340" s="1145"/>
      <c r="C340" s="1145"/>
      <c r="D340" s="1067" t="s">
        <v>2720</v>
      </c>
      <c r="E340" s="1067"/>
      <c r="F340" s="1067"/>
      <c r="G340" s="1067"/>
      <c r="H340" s="1067"/>
      <c r="I340" s="1067"/>
      <c r="J340" s="1067"/>
      <c r="K340" s="1067"/>
      <c r="L340" s="1126"/>
      <c r="M340" s="173"/>
      <c r="N340" s="68"/>
      <c r="O340" s="203"/>
      <c r="P340" s="218"/>
      <c r="Q340" s="68"/>
      <c r="R340" s="217"/>
    </row>
    <row r="341" spans="1:18" ht="30" customHeight="1" x14ac:dyDescent="0.35">
      <c r="A341" s="1144" t="s">
        <v>309</v>
      </c>
      <c r="B341" s="1145"/>
      <c r="C341" s="1145"/>
      <c r="D341" s="1067" t="s">
        <v>370</v>
      </c>
      <c r="E341" s="1067"/>
      <c r="F341" s="1067"/>
      <c r="G341" s="1067"/>
      <c r="H341" s="1067"/>
      <c r="I341" s="1067"/>
      <c r="J341" s="1067"/>
      <c r="K341" s="1067"/>
      <c r="L341" s="1126"/>
      <c r="M341" s="173"/>
      <c r="N341" s="68"/>
      <c r="O341" s="203"/>
      <c r="P341" s="218"/>
      <c r="Q341" s="68"/>
      <c r="R341" s="217"/>
    </row>
    <row r="342" spans="1:18" ht="30" customHeight="1" x14ac:dyDescent="0.35">
      <c r="A342" s="1144" t="s">
        <v>311</v>
      </c>
      <c r="B342" s="1145"/>
      <c r="C342" s="1145"/>
      <c r="D342" s="1067" t="s">
        <v>2721</v>
      </c>
      <c r="E342" s="1067"/>
      <c r="F342" s="1067"/>
      <c r="G342" s="1067"/>
      <c r="H342" s="1067"/>
      <c r="I342" s="1067"/>
      <c r="J342" s="1067"/>
      <c r="K342" s="1067"/>
      <c r="L342" s="1126"/>
      <c r="M342" s="173"/>
      <c r="N342" s="68"/>
      <c r="O342" s="203"/>
      <c r="P342" s="218"/>
      <c r="Q342" s="68"/>
      <c r="R342" s="217"/>
    </row>
    <row r="343" spans="1:18" ht="30" customHeight="1" x14ac:dyDescent="0.35">
      <c r="A343" s="1144" t="s">
        <v>313</v>
      </c>
      <c r="B343" s="1145"/>
      <c r="C343" s="1145"/>
      <c r="D343" s="1129" t="s">
        <v>371</v>
      </c>
      <c r="E343" s="1129"/>
      <c r="F343" s="1129"/>
      <c r="G343" s="1129"/>
      <c r="H343" s="1129"/>
      <c r="I343" s="1129"/>
      <c r="J343" s="1129"/>
      <c r="K343" s="1129"/>
      <c r="L343" s="1130"/>
      <c r="M343" s="173"/>
      <c r="N343" s="68"/>
      <c r="O343" s="203"/>
      <c r="P343" s="218"/>
      <c r="Q343" s="68"/>
      <c r="R343" s="217"/>
    </row>
    <row r="344" spans="1:18" ht="30" customHeight="1" x14ac:dyDescent="0.35">
      <c r="A344" s="1144" t="s">
        <v>315</v>
      </c>
      <c r="B344" s="1145"/>
      <c r="C344" s="1145"/>
      <c r="D344" s="1129" t="s">
        <v>372</v>
      </c>
      <c r="E344" s="1129"/>
      <c r="F344" s="1129"/>
      <c r="G344" s="1129"/>
      <c r="H344" s="1129"/>
      <c r="I344" s="1129"/>
      <c r="J344" s="1129"/>
      <c r="K344" s="1129"/>
      <c r="L344" s="1130"/>
      <c r="M344" s="173"/>
      <c r="N344" s="68"/>
      <c r="O344" s="203"/>
      <c r="P344" s="218"/>
      <c r="Q344" s="68"/>
      <c r="R344" s="217"/>
    </row>
    <row r="345" spans="1:18" ht="75" customHeight="1" thickBot="1" x14ac:dyDescent="0.4">
      <c r="A345" s="1144" t="s">
        <v>316</v>
      </c>
      <c r="B345" s="1145"/>
      <c r="C345" s="1145"/>
      <c r="D345" s="1200" t="s">
        <v>373</v>
      </c>
      <c r="E345" s="1200"/>
      <c r="F345" s="1200"/>
      <c r="G345" s="1200"/>
      <c r="H345" s="1200"/>
      <c r="I345" s="1200"/>
      <c r="J345" s="1200"/>
      <c r="K345" s="1200"/>
      <c r="L345" s="1119"/>
      <c r="M345" s="173"/>
      <c r="N345" s="68"/>
      <c r="O345" s="203"/>
      <c r="P345" s="218"/>
      <c r="Q345" s="68"/>
      <c r="R345" s="217"/>
    </row>
    <row r="346" spans="1:18" ht="30" customHeight="1" thickBot="1" x14ac:dyDescent="0.4">
      <c r="A346" s="1086"/>
      <c r="B346" s="1086"/>
      <c r="C346" s="1086"/>
      <c r="D346" s="1086"/>
      <c r="E346" s="1086"/>
      <c r="F346" s="1086"/>
      <c r="G346" s="1086"/>
      <c r="H346" s="1086"/>
      <c r="I346" s="1086"/>
      <c r="J346" s="1086"/>
      <c r="K346" s="1086"/>
      <c r="L346" s="1103"/>
      <c r="M346" s="173"/>
      <c r="N346" s="68"/>
      <c r="O346" s="203"/>
      <c r="P346" s="218"/>
      <c r="Q346" s="68"/>
      <c r="R346" s="217"/>
    </row>
    <row r="347" spans="1:18" ht="30" customHeight="1" x14ac:dyDescent="0.35">
      <c r="A347" s="465" t="s">
        <v>278</v>
      </c>
      <c r="B347" s="539">
        <v>1443</v>
      </c>
      <c r="C347" s="1096" t="s">
        <v>374</v>
      </c>
      <c r="D347" s="1096"/>
      <c r="E347" s="541" t="s">
        <v>280</v>
      </c>
      <c r="F347" s="542" t="s">
        <v>8</v>
      </c>
      <c r="G347" s="543" t="s">
        <v>285</v>
      </c>
      <c r="H347" s="633">
        <v>8019</v>
      </c>
      <c r="I347" s="541" t="s">
        <v>281</v>
      </c>
      <c r="J347" s="1019" t="s">
        <v>2719</v>
      </c>
      <c r="K347" s="1019"/>
      <c r="L347" s="1020"/>
      <c r="M347" s="173"/>
      <c r="N347" s="68"/>
      <c r="O347" s="203"/>
      <c r="P347" s="216"/>
      <c r="Q347" s="419"/>
      <c r="R347" s="217"/>
    </row>
    <row r="348" spans="1:18" ht="30" customHeight="1" x14ac:dyDescent="0.35">
      <c r="A348" s="588" t="s">
        <v>298</v>
      </c>
      <c r="B348" s="634" t="s">
        <v>321</v>
      </c>
      <c r="C348" s="635"/>
      <c r="D348" s="636"/>
      <c r="E348" s="23" t="s">
        <v>290</v>
      </c>
      <c r="F348" s="23" t="s">
        <v>322</v>
      </c>
      <c r="G348" s="1012" t="s">
        <v>323</v>
      </c>
      <c r="H348" s="1012"/>
      <c r="I348" s="201" t="s">
        <v>299</v>
      </c>
      <c r="J348" s="201"/>
      <c r="K348" s="1012" t="s">
        <v>292</v>
      </c>
      <c r="L348" s="1023"/>
      <c r="M348" s="173"/>
      <c r="N348" s="68"/>
      <c r="O348" s="203"/>
      <c r="P348" s="216"/>
      <c r="Q348" s="419"/>
      <c r="R348" s="217"/>
    </row>
    <row r="349" spans="1:18" s="208" customFormat="1" ht="30" customHeight="1" x14ac:dyDescent="0.35">
      <c r="A349" s="241" t="s">
        <v>375</v>
      </c>
      <c r="B349" s="1031" t="s">
        <v>376</v>
      </c>
      <c r="C349" s="1031"/>
      <c r="D349" s="1031"/>
      <c r="E349" s="453">
        <v>80.5</v>
      </c>
      <c r="F349" s="446" t="s">
        <v>8</v>
      </c>
      <c r="G349" s="589"/>
      <c r="H349" s="571"/>
      <c r="I349" s="454">
        <v>1.05</v>
      </c>
      <c r="J349" s="446"/>
      <c r="K349" s="453">
        <f>+E349*I349</f>
        <v>84.525000000000006</v>
      </c>
      <c r="L349" s="243" t="s">
        <v>8</v>
      </c>
      <c r="M349" s="173"/>
      <c r="N349" s="68"/>
      <c r="P349" s="216"/>
      <c r="Q349" s="419"/>
      <c r="R349" s="217"/>
    </row>
    <row r="350" spans="1:18" ht="30" customHeight="1" x14ac:dyDescent="0.35">
      <c r="A350" s="241" t="s">
        <v>377</v>
      </c>
      <c r="B350" s="1031" t="s">
        <v>2172</v>
      </c>
      <c r="C350" s="1031"/>
      <c r="D350" s="1031"/>
      <c r="E350" s="453">
        <f>(20.3+31.5)/2</f>
        <v>25.9</v>
      </c>
      <c r="F350" s="446" t="s">
        <v>378</v>
      </c>
      <c r="G350" s="589">
        <v>160</v>
      </c>
      <c r="H350" s="571" t="s">
        <v>8</v>
      </c>
      <c r="I350" s="446">
        <v>1.03</v>
      </c>
      <c r="J350" s="446"/>
      <c r="K350" s="453">
        <f>+E350*G350/H347*I350</f>
        <v>0.53227584486843749</v>
      </c>
      <c r="L350" s="243" t="s">
        <v>8</v>
      </c>
      <c r="M350" s="173"/>
      <c r="N350" s="68"/>
      <c r="O350" s="203"/>
      <c r="P350" s="216"/>
      <c r="Q350" s="419"/>
      <c r="R350" s="217"/>
    </row>
    <row r="351" spans="1:18" ht="30" customHeight="1" x14ac:dyDescent="0.35">
      <c r="A351" s="241" t="s">
        <v>377</v>
      </c>
      <c r="B351" s="516" t="s">
        <v>379</v>
      </c>
      <c r="C351" s="570"/>
      <c r="D351" s="571"/>
      <c r="E351" s="453">
        <f>(1710+2420)/2</f>
        <v>2065</v>
      </c>
      <c r="F351" s="446" t="s">
        <v>10</v>
      </c>
      <c r="G351" s="589">
        <v>2</v>
      </c>
      <c r="H351" s="571" t="s">
        <v>10</v>
      </c>
      <c r="I351" s="446">
        <v>1.03</v>
      </c>
      <c r="J351" s="446"/>
      <c r="K351" s="453">
        <f>+((E351*G351)/H347)*I351</f>
        <v>0.53047761566280083</v>
      </c>
      <c r="L351" s="243" t="s">
        <v>8</v>
      </c>
      <c r="M351" s="173"/>
      <c r="N351" s="68"/>
      <c r="O351" s="203"/>
      <c r="P351" s="216"/>
      <c r="Q351" s="419"/>
      <c r="R351" s="217"/>
    </row>
    <row r="352" spans="1:18" ht="30" customHeight="1" x14ac:dyDescent="0.35">
      <c r="A352" s="241" t="s">
        <v>380</v>
      </c>
      <c r="B352" s="1031" t="s">
        <v>381</v>
      </c>
      <c r="C352" s="1031"/>
      <c r="D352" s="1031"/>
      <c r="E352" s="453">
        <f>+(34.5+82)/2</f>
        <v>58.25</v>
      </c>
      <c r="F352" s="446" t="s">
        <v>10</v>
      </c>
      <c r="G352" s="637">
        <f>(E352)/$H$347</f>
        <v>7.2639980047387457E-3</v>
      </c>
      <c r="H352" s="571" t="s">
        <v>382</v>
      </c>
      <c r="I352" s="446">
        <v>1.03</v>
      </c>
      <c r="J352" s="446"/>
      <c r="K352" s="453">
        <f>+G352*I352</f>
        <v>7.4819179448809081E-3</v>
      </c>
      <c r="L352" s="243" t="s">
        <v>8</v>
      </c>
      <c r="M352" s="173"/>
      <c r="N352" s="68"/>
      <c r="O352" s="203"/>
      <c r="P352" s="218"/>
      <c r="Q352" s="68"/>
      <c r="R352" s="217"/>
    </row>
    <row r="353" spans="1:18" ht="30" customHeight="1" x14ac:dyDescent="0.35">
      <c r="A353" s="241" t="s">
        <v>380</v>
      </c>
      <c r="B353" s="516" t="s">
        <v>383</v>
      </c>
      <c r="C353" s="570"/>
      <c r="D353" s="571"/>
      <c r="E353" s="453">
        <f>+(6450+12300)/2</f>
        <v>9375</v>
      </c>
      <c r="F353" s="446" t="s">
        <v>10</v>
      </c>
      <c r="G353" s="637">
        <f>(+E353)/$H$347</f>
        <v>1.1690983913206134</v>
      </c>
      <c r="H353" s="571" t="s">
        <v>382</v>
      </c>
      <c r="I353" s="446">
        <v>1.03</v>
      </c>
      <c r="J353" s="446"/>
      <c r="K353" s="453">
        <f>+G353*I353</f>
        <v>1.2041713430602319</v>
      </c>
      <c r="L353" s="243" t="s">
        <v>8</v>
      </c>
      <c r="M353" s="173"/>
      <c r="N353" s="68"/>
      <c r="O353" s="203"/>
      <c r="P353" s="218"/>
      <c r="Q353" s="68"/>
      <c r="R353" s="217"/>
    </row>
    <row r="354" spans="1:18" ht="30" customHeight="1" x14ac:dyDescent="0.35">
      <c r="A354" s="241" t="s">
        <v>380</v>
      </c>
      <c r="B354" s="1031" t="s">
        <v>384</v>
      </c>
      <c r="C354" s="1031"/>
      <c r="D354" s="1031"/>
      <c r="E354" s="453">
        <f>+(660+1010)/2</f>
        <v>835</v>
      </c>
      <c r="F354" s="446" t="s">
        <v>10</v>
      </c>
      <c r="G354" s="637">
        <f>+(E354)/$H$347</f>
        <v>0.10412769672028931</v>
      </c>
      <c r="H354" s="571" t="s">
        <v>382</v>
      </c>
      <c r="I354" s="446">
        <v>1.03</v>
      </c>
      <c r="J354" s="446"/>
      <c r="K354" s="453">
        <f>+G354*I354</f>
        <v>0.10725152762189799</v>
      </c>
      <c r="L354" s="243" t="s">
        <v>8</v>
      </c>
      <c r="M354" s="173"/>
      <c r="N354" s="68"/>
      <c r="O354" s="203"/>
      <c r="P354" s="218"/>
      <c r="Q354" s="68"/>
      <c r="R354" s="217"/>
    </row>
    <row r="355" spans="1:18" ht="30" customHeight="1" x14ac:dyDescent="0.35">
      <c r="A355" s="241" t="s">
        <v>380</v>
      </c>
      <c r="B355" s="1031" t="s">
        <v>385</v>
      </c>
      <c r="C355" s="1031"/>
      <c r="D355" s="1031"/>
      <c r="E355" s="453">
        <f>+(1160+3475)/2</f>
        <v>2317.5</v>
      </c>
      <c r="F355" s="446" t="s">
        <v>10</v>
      </c>
      <c r="G355" s="637">
        <f>+(E355)/$H$347</f>
        <v>0.28900112233445568</v>
      </c>
      <c r="H355" s="571" t="s">
        <v>382</v>
      </c>
      <c r="I355" s="446">
        <v>1.03</v>
      </c>
      <c r="J355" s="446"/>
      <c r="K355" s="453">
        <f>+G355*I355</f>
        <v>0.29767115600448935</v>
      </c>
      <c r="L355" s="243" t="s">
        <v>8</v>
      </c>
      <c r="M355" s="173"/>
      <c r="N355" s="68"/>
      <c r="O355" s="203"/>
      <c r="P355" s="218"/>
      <c r="Q355" s="68"/>
      <c r="R355" s="217"/>
    </row>
    <row r="356" spans="1:18" ht="30" customHeight="1" x14ac:dyDescent="0.35">
      <c r="A356" s="241" t="s">
        <v>982</v>
      </c>
      <c r="B356" s="1082" t="s">
        <v>2906</v>
      </c>
      <c r="C356" s="1082"/>
      <c r="D356" s="1082"/>
      <c r="E356" s="638">
        <v>42.25</v>
      </c>
      <c r="F356" s="639" t="s">
        <v>8</v>
      </c>
      <c r="G356" s="519">
        <f>144/H347</f>
        <v>1.7957351290684626E-2</v>
      </c>
      <c r="H356" s="508" t="s">
        <v>448</v>
      </c>
      <c r="I356" s="640">
        <v>1.05</v>
      </c>
      <c r="J356" s="446"/>
      <c r="K356" s="641">
        <f>E356*G356*I356</f>
        <v>0.7966329966329968</v>
      </c>
      <c r="L356" s="642" t="s">
        <v>8</v>
      </c>
      <c r="M356" s="173"/>
      <c r="N356" s="68"/>
      <c r="O356" s="203"/>
      <c r="P356" s="218"/>
      <c r="Q356" s="68"/>
      <c r="R356" s="217"/>
    </row>
    <row r="357" spans="1:18" ht="30" customHeight="1" x14ac:dyDescent="0.35">
      <c r="A357" s="241" t="s">
        <v>360</v>
      </c>
      <c r="B357" s="1031" t="s">
        <v>367</v>
      </c>
      <c r="C357" s="1031"/>
      <c r="D357" s="1031"/>
      <c r="E357" s="453">
        <v>4.38</v>
      </c>
      <c r="F357" s="446" t="s">
        <v>8</v>
      </c>
      <c r="G357" s="589"/>
      <c r="H357" s="571"/>
      <c r="I357" s="446">
        <v>1.05</v>
      </c>
      <c r="J357" s="446"/>
      <c r="K357" s="453">
        <f>+E357*I357</f>
        <v>4.5990000000000002</v>
      </c>
      <c r="L357" s="243" t="s">
        <v>8</v>
      </c>
      <c r="M357" s="173"/>
      <c r="N357" s="68"/>
      <c r="O357" s="203"/>
      <c r="P357" s="218"/>
      <c r="Q357" s="68"/>
      <c r="R357" s="217"/>
    </row>
    <row r="358" spans="1:18" ht="30" customHeight="1" x14ac:dyDescent="0.35">
      <c r="A358" s="241"/>
      <c r="B358" s="506"/>
      <c r="C358" s="506"/>
      <c r="D358" s="506"/>
      <c r="E358" s="453"/>
      <c r="F358" s="446"/>
      <c r="G358" s="446"/>
      <c r="H358" s="446"/>
      <c r="I358" s="446"/>
      <c r="J358" s="446" t="s">
        <v>362</v>
      </c>
      <c r="K358" s="453">
        <f>SUM(K349:K357)</f>
        <v>92.59996240179575</v>
      </c>
      <c r="L358" s="243" t="s">
        <v>8</v>
      </c>
      <c r="M358" s="173"/>
      <c r="N358" s="68"/>
      <c r="O358" s="203"/>
      <c r="P358" s="218"/>
      <c r="Q358" s="68"/>
      <c r="R358" s="217"/>
    </row>
    <row r="359" spans="1:18" ht="30" customHeight="1" x14ac:dyDescent="0.35">
      <c r="A359" s="241"/>
      <c r="B359" s="506"/>
      <c r="C359" s="506"/>
      <c r="D359" s="506"/>
      <c r="E359" s="453"/>
      <c r="F359" s="1029" t="s">
        <v>302</v>
      </c>
      <c r="G359" s="1058" t="s">
        <v>303</v>
      </c>
      <c r="H359" s="1058"/>
      <c r="I359" s="1058"/>
      <c r="J359" s="1058"/>
      <c r="K359" s="612">
        <v>1.1000000000000001</v>
      </c>
      <c r="L359" s="243"/>
      <c r="M359" s="173"/>
      <c r="N359" s="68"/>
      <c r="O359" s="203"/>
      <c r="P359" s="218"/>
      <c r="Q359" s="68"/>
      <c r="R359" s="217"/>
    </row>
    <row r="360" spans="1:18" ht="30" customHeight="1" x14ac:dyDescent="0.35">
      <c r="A360" s="241"/>
      <c r="B360" s="506"/>
      <c r="C360" s="506"/>
      <c r="D360" s="506"/>
      <c r="E360" s="453"/>
      <c r="F360" s="1029"/>
      <c r="G360" s="1073" t="s">
        <v>2374</v>
      </c>
      <c r="H360" s="1073"/>
      <c r="I360" s="1073"/>
      <c r="J360" s="1073"/>
      <c r="K360" s="573">
        <v>1.08</v>
      </c>
      <c r="L360" s="243"/>
      <c r="M360" s="173"/>
      <c r="N360" s="68"/>
      <c r="O360" s="203"/>
      <c r="P360" s="218"/>
      <c r="Q360" s="68"/>
      <c r="R360" s="217"/>
    </row>
    <row r="361" spans="1:18" ht="30" customHeight="1" x14ac:dyDescent="0.35">
      <c r="A361" s="241"/>
      <c r="B361" s="446"/>
      <c r="C361" s="458"/>
      <c r="D361" s="458"/>
      <c r="E361" s="458"/>
      <c r="F361" s="458"/>
      <c r="G361" s="458"/>
      <c r="H361" s="458"/>
      <c r="I361" s="458"/>
      <c r="J361" s="446" t="s">
        <v>2356</v>
      </c>
      <c r="K361" s="591">
        <f>+K358*K359/K360</f>
        <v>94.314776520347536</v>
      </c>
      <c r="L361" s="243" t="s">
        <v>8</v>
      </c>
      <c r="M361" s="173"/>
      <c r="N361" s="68"/>
      <c r="O361" s="203"/>
      <c r="P361" s="218"/>
      <c r="Q361" s="68"/>
      <c r="R361" s="217"/>
    </row>
    <row r="362" spans="1:18" ht="30" customHeight="1" x14ac:dyDescent="0.35">
      <c r="A362" s="241"/>
      <c r="B362" s="446"/>
      <c r="C362" s="458"/>
      <c r="D362" s="458"/>
      <c r="E362" s="458"/>
      <c r="F362" s="458"/>
      <c r="G362" s="613" t="s">
        <v>2359</v>
      </c>
      <c r="H362" s="458"/>
      <c r="I362" s="458"/>
      <c r="J362" s="583">
        <f>VLOOKUP(B347,'Mil Cost Premiums for PUCs'!$A$4:$R$272,18,FALSE)</f>
        <v>1.2551763558420395</v>
      </c>
      <c r="K362" s="591">
        <f>+K361*J362</f>
        <v>118.38167749486617</v>
      </c>
      <c r="L362" s="243" t="s">
        <v>8</v>
      </c>
      <c r="M362" s="173"/>
      <c r="N362" s="68"/>
      <c r="O362" s="203"/>
      <c r="P362" s="218"/>
      <c r="Q362" s="68"/>
      <c r="R362" s="217"/>
    </row>
    <row r="363" spans="1:18" ht="60" customHeight="1" x14ac:dyDescent="0.35">
      <c r="A363" s="1251" t="s">
        <v>305</v>
      </c>
      <c r="B363" s="1059"/>
      <c r="C363" s="1059"/>
      <c r="D363" s="1059"/>
      <c r="E363" s="1059"/>
      <c r="F363" s="1059"/>
      <c r="G363" s="1059"/>
      <c r="H363" s="1059"/>
      <c r="I363" s="1059"/>
      <c r="J363" s="1059"/>
      <c r="K363" s="1059"/>
      <c r="L363" s="1199"/>
      <c r="M363" s="173"/>
      <c r="N363" s="68"/>
      <c r="O363" s="203"/>
      <c r="P363" s="218"/>
      <c r="Q363" s="68"/>
      <c r="R363" s="217"/>
    </row>
    <row r="364" spans="1:18" ht="30" customHeight="1" x14ac:dyDescent="0.35">
      <c r="A364" s="1144" t="s">
        <v>306</v>
      </c>
      <c r="B364" s="1145"/>
      <c r="C364" s="1145"/>
      <c r="D364" s="1250" t="s">
        <v>386</v>
      </c>
      <c r="E364" s="1250"/>
      <c r="F364" s="1250"/>
      <c r="G364" s="1250"/>
      <c r="H364" s="1250"/>
      <c r="I364" s="1250"/>
      <c r="J364" s="1250"/>
      <c r="K364" s="1250"/>
      <c r="L364" s="1126"/>
      <c r="M364" s="173"/>
      <c r="N364" s="68"/>
      <c r="O364" s="203"/>
      <c r="P364" s="218"/>
      <c r="Q364" s="68"/>
      <c r="R364" s="217"/>
    </row>
    <row r="365" spans="1:18" ht="30" customHeight="1" x14ac:dyDescent="0.35">
      <c r="A365" s="1144" t="s">
        <v>307</v>
      </c>
      <c r="B365" s="1145"/>
      <c r="C365" s="1145"/>
      <c r="D365" s="1250" t="s">
        <v>387</v>
      </c>
      <c r="E365" s="1250"/>
      <c r="F365" s="1250"/>
      <c r="G365" s="1250"/>
      <c r="H365" s="1250"/>
      <c r="I365" s="1250"/>
      <c r="J365" s="1250"/>
      <c r="K365" s="1250"/>
      <c r="L365" s="1126"/>
      <c r="M365" s="173"/>
      <c r="N365" s="68"/>
      <c r="O365" s="203"/>
      <c r="P365" s="218"/>
      <c r="Q365" s="68"/>
      <c r="R365" s="217"/>
    </row>
    <row r="366" spans="1:18" ht="30" customHeight="1" x14ac:dyDescent="0.35">
      <c r="A366" s="1144" t="s">
        <v>308</v>
      </c>
      <c r="B366" s="1145"/>
      <c r="C366" s="1145"/>
      <c r="D366" s="1067" t="s">
        <v>2722</v>
      </c>
      <c r="E366" s="1067"/>
      <c r="F366" s="1067"/>
      <c r="G366" s="1067"/>
      <c r="H366" s="1067"/>
      <c r="I366" s="1067"/>
      <c r="J366" s="1067"/>
      <c r="K366" s="1067"/>
      <c r="L366" s="1126"/>
      <c r="M366" s="173"/>
      <c r="N366" s="68"/>
      <c r="O366" s="203"/>
      <c r="P366" s="218"/>
      <c r="Q366" s="68"/>
      <c r="R366" s="217"/>
    </row>
    <row r="367" spans="1:18" ht="60" customHeight="1" x14ac:dyDescent="0.35">
      <c r="A367" s="1144" t="s">
        <v>309</v>
      </c>
      <c r="B367" s="1145"/>
      <c r="C367" s="1145"/>
      <c r="D367" s="1067" t="s">
        <v>2306</v>
      </c>
      <c r="E367" s="1067"/>
      <c r="F367" s="1067"/>
      <c r="G367" s="1067"/>
      <c r="H367" s="1067"/>
      <c r="I367" s="1067"/>
      <c r="J367" s="1067"/>
      <c r="K367" s="1067"/>
      <c r="L367" s="1126"/>
      <c r="M367" s="173"/>
      <c r="N367" s="68"/>
      <c r="O367" s="203"/>
      <c r="P367" s="218"/>
      <c r="Q367" s="68"/>
      <c r="R367" s="217"/>
    </row>
    <row r="368" spans="1:18" ht="60" customHeight="1" x14ac:dyDescent="0.35">
      <c r="A368" s="1144" t="s">
        <v>311</v>
      </c>
      <c r="B368" s="1145"/>
      <c r="C368" s="1145"/>
      <c r="D368" s="1067" t="s">
        <v>2723</v>
      </c>
      <c r="E368" s="1067"/>
      <c r="F368" s="1067"/>
      <c r="G368" s="1067"/>
      <c r="H368" s="1067"/>
      <c r="I368" s="1067"/>
      <c r="J368" s="1067"/>
      <c r="K368" s="1067"/>
      <c r="L368" s="1126"/>
      <c r="M368" s="173"/>
      <c r="N368" s="68"/>
      <c r="O368" s="203"/>
      <c r="P368" s="218"/>
      <c r="Q368" s="68"/>
      <c r="R368" s="217"/>
    </row>
    <row r="369" spans="1:18" s="208" customFormat="1" ht="30" customHeight="1" x14ac:dyDescent="0.35">
      <c r="A369" s="1144" t="s">
        <v>313</v>
      </c>
      <c r="B369" s="1145"/>
      <c r="C369" s="1145"/>
      <c r="D369" s="1067" t="s">
        <v>388</v>
      </c>
      <c r="E369" s="1067"/>
      <c r="F369" s="1067"/>
      <c r="G369" s="1067"/>
      <c r="H369" s="1067"/>
      <c r="I369" s="1067"/>
      <c r="J369" s="1067"/>
      <c r="K369" s="1067"/>
      <c r="L369" s="1126"/>
      <c r="M369" s="173"/>
      <c r="N369" s="68"/>
      <c r="P369" s="218"/>
      <c r="Q369" s="68"/>
      <c r="R369" s="217"/>
    </row>
    <row r="370" spans="1:18" ht="30" customHeight="1" x14ac:dyDescent="0.35">
      <c r="A370" s="1144" t="s">
        <v>315</v>
      </c>
      <c r="B370" s="1145"/>
      <c r="C370" s="1145"/>
      <c r="D370" s="1067" t="s">
        <v>389</v>
      </c>
      <c r="E370" s="1067"/>
      <c r="F370" s="1067"/>
      <c r="G370" s="1067"/>
      <c r="H370" s="1067"/>
      <c r="I370" s="1067"/>
      <c r="J370" s="1067"/>
      <c r="K370" s="1067"/>
      <c r="L370" s="1126"/>
      <c r="M370" s="173"/>
      <c r="N370" s="68"/>
      <c r="O370" s="203"/>
      <c r="P370" s="218"/>
      <c r="Q370" s="68"/>
      <c r="R370" s="217"/>
    </row>
    <row r="371" spans="1:18" ht="75" customHeight="1" x14ac:dyDescent="0.35">
      <c r="A371" s="1144" t="s">
        <v>316</v>
      </c>
      <c r="B371" s="1145"/>
      <c r="C371" s="1145"/>
      <c r="D371" s="1200" t="s">
        <v>373</v>
      </c>
      <c r="E371" s="1200"/>
      <c r="F371" s="1200"/>
      <c r="G371" s="1200"/>
      <c r="H371" s="1200"/>
      <c r="I371" s="1200"/>
      <c r="J371" s="1200"/>
      <c r="K371" s="1200"/>
      <c r="L371" s="1119"/>
      <c r="M371" s="173"/>
      <c r="N371" s="68"/>
      <c r="O371" s="203"/>
      <c r="P371" s="218"/>
      <c r="Q371" s="68"/>
      <c r="R371" s="217"/>
    </row>
    <row r="372" spans="1:18" ht="75" customHeight="1" thickBot="1" x14ac:dyDescent="0.4">
      <c r="A372" s="1074" t="s">
        <v>318</v>
      </c>
      <c r="B372" s="1215"/>
      <c r="C372" s="1215"/>
      <c r="D372" s="1067" t="s">
        <v>2913</v>
      </c>
      <c r="E372" s="1067"/>
      <c r="F372" s="1067"/>
      <c r="G372" s="1067"/>
      <c r="H372" s="1067"/>
      <c r="I372" s="1067"/>
      <c r="J372" s="1067"/>
      <c r="K372" s="1067"/>
      <c r="L372" s="1126"/>
      <c r="M372" s="173"/>
      <c r="N372" s="68"/>
      <c r="O372" s="203"/>
      <c r="P372" s="218"/>
      <c r="Q372" s="68"/>
      <c r="R372" s="217"/>
    </row>
    <row r="373" spans="1:18" ht="30" customHeight="1" thickBot="1" x14ac:dyDescent="0.4">
      <c r="A373" s="1086"/>
      <c r="B373" s="1086"/>
      <c r="C373" s="1086"/>
      <c r="D373" s="1086"/>
      <c r="E373" s="1086"/>
      <c r="F373" s="1086"/>
      <c r="G373" s="1086"/>
      <c r="H373" s="1086"/>
      <c r="I373" s="1086"/>
      <c r="J373" s="1086"/>
      <c r="K373" s="1086"/>
      <c r="L373" s="1103"/>
      <c r="M373" s="173"/>
      <c r="N373" s="68"/>
      <c r="O373" s="203"/>
      <c r="P373" s="218"/>
      <c r="Q373" s="68"/>
      <c r="R373" s="217"/>
    </row>
    <row r="374" spans="1:18" ht="30" customHeight="1" x14ac:dyDescent="0.35">
      <c r="A374" s="465" t="s">
        <v>278</v>
      </c>
      <c r="B374" s="539">
        <v>1444</v>
      </c>
      <c r="C374" s="1060" t="s">
        <v>390</v>
      </c>
      <c r="D374" s="1060"/>
      <c r="E374" s="541" t="s">
        <v>280</v>
      </c>
      <c r="F374" s="542" t="s">
        <v>8</v>
      </c>
      <c r="G374" s="543" t="s">
        <v>285</v>
      </c>
      <c r="H374" s="569">
        <v>5667</v>
      </c>
      <c r="I374" s="541" t="s">
        <v>281</v>
      </c>
      <c r="J374" s="1098" t="s">
        <v>2648</v>
      </c>
      <c r="K374" s="1098"/>
      <c r="L374" s="1187"/>
      <c r="M374" s="173"/>
      <c r="N374" s="68"/>
      <c r="O374" s="203"/>
      <c r="P374" s="218"/>
      <c r="Q374" s="68"/>
      <c r="R374" s="217"/>
    </row>
    <row r="375" spans="1:18" ht="30" customHeight="1" x14ac:dyDescent="0.35">
      <c r="A375" s="545" t="s">
        <v>288</v>
      </c>
      <c r="B375" s="1051" t="s">
        <v>282</v>
      </c>
      <c r="C375" s="1051"/>
      <c r="D375" s="1051"/>
      <c r="E375" s="530" t="s">
        <v>289</v>
      </c>
      <c r="F375" s="561" t="s">
        <v>290</v>
      </c>
      <c r="G375" s="509"/>
      <c r="H375" s="509"/>
      <c r="I375" s="1052" t="s">
        <v>405</v>
      </c>
      <c r="J375" s="1052"/>
      <c r="K375" s="1012" t="s">
        <v>292</v>
      </c>
      <c r="L375" s="1023"/>
      <c r="M375" s="173"/>
      <c r="N375" s="68"/>
      <c r="O375" s="203"/>
      <c r="P375" s="218"/>
      <c r="Q375" s="68"/>
      <c r="R375" s="217"/>
    </row>
    <row r="376" spans="1:18" ht="30" customHeight="1" x14ac:dyDescent="0.35">
      <c r="A376" s="562" t="s">
        <v>293</v>
      </c>
      <c r="B376" s="1057" t="s">
        <v>2649</v>
      </c>
      <c r="C376" s="1057"/>
      <c r="D376" s="1057"/>
      <c r="E376" s="563">
        <v>18000</v>
      </c>
      <c r="F376" s="444">
        <v>331</v>
      </c>
      <c r="G376" s="442"/>
      <c r="H376" s="17"/>
      <c r="I376" s="1044" t="s">
        <v>2638</v>
      </c>
      <c r="J376" s="1044"/>
      <c r="K376" s="444">
        <f>+F376</f>
        <v>331</v>
      </c>
      <c r="L376" s="564" t="s">
        <v>8</v>
      </c>
      <c r="M376" s="173"/>
      <c r="N376" s="68"/>
      <c r="O376" s="203"/>
      <c r="P376" s="218"/>
      <c r="Q376" s="68"/>
      <c r="R376" s="217"/>
    </row>
    <row r="377" spans="1:18" ht="30" customHeight="1" thickBot="1" x14ac:dyDescent="0.4">
      <c r="A377" s="241"/>
      <c r="B377" s="1059"/>
      <c r="C377" s="1059"/>
      <c r="D377" s="1059"/>
      <c r="E377" s="171"/>
      <c r="F377" s="566"/>
      <c r="G377" s="566"/>
      <c r="H377" s="567"/>
      <c r="I377" s="458"/>
      <c r="J377" s="613" t="s">
        <v>2356</v>
      </c>
      <c r="K377" s="585">
        <f>+K376</f>
        <v>331</v>
      </c>
      <c r="L377" s="243" t="s">
        <v>8</v>
      </c>
      <c r="M377" s="173"/>
      <c r="N377" s="68"/>
      <c r="O377" s="203"/>
      <c r="P377" s="218"/>
      <c r="Q377" s="68"/>
      <c r="R377" s="217"/>
    </row>
    <row r="378" spans="1:18" ht="30" customHeight="1" thickBot="1" x14ac:dyDescent="0.4">
      <c r="A378" s="1086"/>
      <c r="B378" s="1086"/>
      <c r="C378" s="1086"/>
      <c r="D378" s="1086"/>
      <c r="E378" s="1086"/>
      <c r="F378" s="1086"/>
      <c r="G378" s="1086"/>
      <c r="H378" s="1086"/>
      <c r="I378" s="1086"/>
      <c r="J378" s="1086"/>
      <c r="K378" s="1086"/>
      <c r="L378" s="1103"/>
      <c r="M378" s="173"/>
      <c r="N378" s="68"/>
      <c r="O378" s="203"/>
      <c r="P378" s="218"/>
      <c r="Q378" s="68"/>
      <c r="R378" s="217"/>
    </row>
    <row r="379" spans="1:18" ht="30" customHeight="1" x14ac:dyDescent="0.35">
      <c r="A379" s="465" t="s">
        <v>278</v>
      </c>
      <c r="B379" s="539">
        <v>1445</v>
      </c>
      <c r="C379" s="1060" t="s">
        <v>391</v>
      </c>
      <c r="D379" s="1060"/>
      <c r="E379" s="541" t="s">
        <v>280</v>
      </c>
      <c r="F379" s="542" t="s">
        <v>8</v>
      </c>
      <c r="G379" s="543" t="s">
        <v>285</v>
      </c>
      <c r="H379" s="569">
        <v>3152</v>
      </c>
      <c r="I379" s="541" t="s">
        <v>281</v>
      </c>
      <c r="J379" s="1098" t="s">
        <v>2180</v>
      </c>
      <c r="K379" s="1098"/>
      <c r="L379" s="1187"/>
      <c r="M379" s="363"/>
      <c r="N379" s="68"/>
      <c r="O379" s="203"/>
      <c r="P379" s="218"/>
      <c r="Q379" s="68"/>
      <c r="R379" s="217"/>
    </row>
    <row r="380" spans="1:18" ht="30" customHeight="1" x14ac:dyDescent="0.35">
      <c r="A380" s="545" t="s">
        <v>288</v>
      </c>
      <c r="B380" s="1051" t="s">
        <v>282</v>
      </c>
      <c r="C380" s="1051"/>
      <c r="D380" s="1051"/>
      <c r="E380" s="530" t="s">
        <v>289</v>
      </c>
      <c r="F380" s="561" t="s">
        <v>290</v>
      </c>
      <c r="G380" s="509"/>
      <c r="H380" s="509"/>
      <c r="I380" s="1052" t="s">
        <v>405</v>
      </c>
      <c r="J380" s="1052"/>
      <c r="K380" s="1012" t="s">
        <v>292</v>
      </c>
      <c r="L380" s="1023"/>
      <c r="M380" s="173"/>
      <c r="N380" s="68"/>
      <c r="O380" s="203"/>
      <c r="P380" s="218"/>
      <c r="Q380" s="68"/>
      <c r="R380" s="217"/>
    </row>
    <row r="381" spans="1:18" ht="30" customHeight="1" x14ac:dyDescent="0.35">
      <c r="A381" s="241">
        <v>14126</v>
      </c>
      <c r="B381" s="1031" t="s">
        <v>392</v>
      </c>
      <c r="C381" s="1031"/>
      <c r="D381" s="1031"/>
      <c r="E381" s="563">
        <v>2770</v>
      </c>
      <c r="F381" s="441">
        <v>482</v>
      </c>
      <c r="G381" s="442"/>
      <c r="H381" s="17"/>
      <c r="I381" s="1044">
        <f>+'2021 MILCON Inflation Table'!F18</f>
        <v>0.9813542688910698</v>
      </c>
      <c r="J381" s="1044"/>
      <c r="K381" s="463">
        <f>+F381*I381</f>
        <v>473.01275760549566</v>
      </c>
      <c r="L381" s="564" t="s">
        <v>8</v>
      </c>
      <c r="M381" s="173"/>
      <c r="N381" s="68"/>
      <c r="O381" s="203"/>
      <c r="P381" s="218"/>
      <c r="Q381" s="68"/>
      <c r="R381" s="217"/>
    </row>
    <row r="382" spans="1:18" ht="30" customHeight="1" thickBot="1" x14ac:dyDescent="0.4">
      <c r="A382" s="241"/>
      <c r="B382" s="1059"/>
      <c r="C382" s="1059"/>
      <c r="D382" s="1059"/>
      <c r="E382" s="624"/>
      <c r="F382" s="625"/>
      <c r="G382" s="625"/>
      <c r="H382" s="626"/>
      <c r="I382" s="458"/>
      <c r="J382" s="613" t="s">
        <v>2356</v>
      </c>
      <c r="K382" s="459">
        <f>+K381</f>
        <v>473.01275760549566</v>
      </c>
      <c r="L382" s="243" t="s">
        <v>8</v>
      </c>
      <c r="M382" s="173"/>
      <c r="N382" s="68"/>
      <c r="O382" s="203"/>
      <c r="P382" s="218"/>
      <c r="Q382" s="68"/>
      <c r="R382" s="217"/>
    </row>
    <row r="383" spans="1:18" ht="30" customHeight="1" thickBot="1" x14ac:dyDescent="0.4">
      <c r="A383" s="1086"/>
      <c r="B383" s="1086"/>
      <c r="C383" s="1086"/>
      <c r="D383" s="1086"/>
      <c r="E383" s="1086"/>
      <c r="F383" s="1086"/>
      <c r="G383" s="1086"/>
      <c r="H383" s="1086"/>
      <c r="I383" s="1086"/>
      <c r="J383" s="1086"/>
      <c r="K383" s="1086"/>
      <c r="L383" s="1103"/>
      <c r="M383" s="173"/>
      <c r="N383" s="68"/>
      <c r="O383" s="203"/>
      <c r="P383" s="218"/>
      <c r="Q383" s="68"/>
      <c r="R383" s="217"/>
    </row>
    <row r="384" spans="1:18" ht="30" customHeight="1" x14ac:dyDescent="0.35">
      <c r="A384" s="465" t="s">
        <v>278</v>
      </c>
      <c r="B384" s="539">
        <v>1446</v>
      </c>
      <c r="C384" s="1096" t="s">
        <v>393</v>
      </c>
      <c r="D384" s="1096"/>
      <c r="E384" s="541" t="s">
        <v>280</v>
      </c>
      <c r="F384" s="542" t="s">
        <v>8</v>
      </c>
      <c r="G384" s="543" t="s">
        <v>285</v>
      </c>
      <c r="H384" s="632">
        <v>11713</v>
      </c>
      <c r="I384" s="541" t="s">
        <v>281</v>
      </c>
      <c r="J384" s="1019" t="s">
        <v>2724</v>
      </c>
      <c r="K384" s="1019"/>
      <c r="L384" s="1020"/>
      <c r="M384" s="173"/>
      <c r="N384" s="68"/>
      <c r="O384" s="203"/>
      <c r="P384" s="218"/>
      <c r="Q384" s="68"/>
      <c r="R384" s="217"/>
    </row>
    <row r="385" spans="1:21" ht="30" customHeight="1" x14ac:dyDescent="0.35">
      <c r="A385" s="588" t="s">
        <v>298</v>
      </c>
      <c r="B385" s="1038" t="s">
        <v>321</v>
      </c>
      <c r="C385" s="1038"/>
      <c r="D385" s="1038"/>
      <c r="E385" s="23" t="s">
        <v>290</v>
      </c>
      <c r="F385" s="23" t="s">
        <v>322</v>
      </c>
      <c r="G385" s="1034" t="s">
        <v>323</v>
      </c>
      <c r="H385" s="1034"/>
      <c r="I385" s="201" t="s">
        <v>299</v>
      </c>
      <c r="J385" s="201"/>
      <c r="K385" s="1012" t="s">
        <v>292</v>
      </c>
      <c r="L385" s="1023"/>
      <c r="M385" s="173"/>
      <c r="N385" s="68"/>
      <c r="O385" s="203"/>
      <c r="P385" s="218"/>
      <c r="Q385" s="68"/>
      <c r="R385" s="217"/>
    </row>
    <row r="386" spans="1:21" ht="30" customHeight="1" x14ac:dyDescent="0.35">
      <c r="A386" s="241" t="s">
        <v>394</v>
      </c>
      <c r="B386" s="1031" t="s">
        <v>395</v>
      </c>
      <c r="C386" s="1031"/>
      <c r="D386" s="1031"/>
      <c r="E386" s="453">
        <v>175</v>
      </c>
      <c r="F386" s="446" t="s">
        <v>8</v>
      </c>
      <c r="G386" s="589"/>
      <c r="H386" s="571"/>
      <c r="I386" s="446">
        <v>1.03</v>
      </c>
      <c r="J386" s="446"/>
      <c r="K386" s="453">
        <f>+E386*I386</f>
        <v>180.25</v>
      </c>
      <c r="L386" s="243" t="s">
        <v>8</v>
      </c>
      <c r="M386" s="173"/>
      <c r="N386" s="68"/>
      <c r="O386" s="203"/>
      <c r="P386" s="218"/>
      <c r="Q386" s="68"/>
      <c r="R386" s="217"/>
    </row>
    <row r="387" spans="1:21" ht="30" customHeight="1" x14ac:dyDescent="0.35">
      <c r="A387" s="241" t="s">
        <v>396</v>
      </c>
      <c r="B387" s="1031" t="s">
        <v>2379</v>
      </c>
      <c r="C387" s="1031"/>
      <c r="D387" s="1031"/>
      <c r="E387" s="453">
        <v>58000</v>
      </c>
      <c r="F387" s="446" t="s">
        <v>10</v>
      </c>
      <c r="G387" s="643">
        <f>E387/H384</f>
        <v>4.9517629983778706</v>
      </c>
      <c r="H387" s="571" t="s">
        <v>8</v>
      </c>
      <c r="I387" s="446">
        <v>1.03</v>
      </c>
      <c r="J387" s="446"/>
      <c r="K387" s="453">
        <f>G387*I387</f>
        <v>5.1003158883292068</v>
      </c>
      <c r="L387" s="243" t="s">
        <v>8</v>
      </c>
      <c r="M387" s="173"/>
      <c r="N387" s="68"/>
      <c r="O387" s="203"/>
      <c r="P387" s="218"/>
      <c r="Q387" s="68"/>
      <c r="R387" s="217"/>
    </row>
    <row r="388" spans="1:21" ht="30" customHeight="1" x14ac:dyDescent="0.35">
      <c r="A388" s="241" t="s">
        <v>397</v>
      </c>
      <c r="B388" s="1031" t="s">
        <v>398</v>
      </c>
      <c r="C388" s="1031"/>
      <c r="D388" s="1031"/>
      <c r="E388" s="453">
        <v>3.73</v>
      </c>
      <c r="F388" s="446" t="s">
        <v>8</v>
      </c>
      <c r="G388" s="589"/>
      <c r="H388" s="571"/>
      <c r="I388" s="446">
        <v>1.03</v>
      </c>
      <c r="J388" s="446"/>
      <c r="K388" s="453">
        <f>+E388*I388</f>
        <v>3.8418999999999999</v>
      </c>
      <c r="L388" s="243" t="s">
        <v>8</v>
      </c>
      <c r="M388" s="173"/>
      <c r="N388" s="68"/>
      <c r="O388" s="203"/>
      <c r="P388" s="218"/>
      <c r="Q388" s="68"/>
      <c r="R388" s="217"/>
    </row>
    <row r="389" spans="1:21" ht="30" customHeight="1" x14ac:dyDescent="0.35">
      <c r="A389" s="241"/>
      <c r="B389" s="1102"/>
      <c r="C389" s="1102"/>
      <c r="D389" s="1102"/>
      <c r="E389" s="453"/>
      <c r="F389" s="446"/>
      <c r="G389" s="446"/>
      <c r="H389" s="446"/>
      <c r="I389" s="446"/>
      <c r="J389" s="446" t="s">
        <v>362</v>
      </c>
      <c r="K389" s="453">
        <f>SUM(K386:K388)</f>
        <v>189.19221588832923</v>
      </c>
      <c r="L389" s="243" t="s">
        <v>8</v>
      </c>
      <c r="M389" s="173"/>
      <c r="N389" s="68"/>
      <c r="O389" s="203"/>
      <c r="P389" s="218"/>
      <c r="Q389" s="68"/>
      <c r="R389" s="217"/>
    </row>
    <row r="390" spans="1:21" ht="30" customHeight="1" x14ac:dyDescent="0.35">
      <c r="A390" s="241"/>
      <c r="B390" s="506"/>
      <c r="C390" s="506"/>
      <c r="D390" s="506"/>
      <c r="E390" s="453"/>
      <c r="F390" s="1029" t="s">
        <v>302</v>
      </c>
      <c r="G390" s="1058" t="s">
        <v>303</v>
      </c>
      <c r="H390" s="1058"/>
      <c r="I390" s="1058"/>
      <c r="J390" s="1058"/>
      <c r="K390" s="612">
        <v>1.1000000000000001</v>
      </c>
      <c r="L390" s="243"/>
      <c r="M390" s="173"/>
      <c r="N390" s="68"/>
      <c r="O390" s="203"/>
      <c r="P390" s="218"/>
      <c r="Q390" s="68"/>
      <c r="R390" s="217"/>
    </row>
    <row r="391" spans="1:21" ht="30" customHeight="1" x14ac:dyDescent="0.35">
      <c r="A391" s="241"/>
      <c r="B391" s="506"/>
      <c r="C391" s="506"/>
      <c r="D391" s="506"/>
      <c r="E391" s="453"/>
      <c r="F391" s="1029"/>
      <c r="G391" s="1073" t="s">
        <v>2374</v>
      </c>
      <c r="H391" s="1073"/>
      <c r="I391" s="1073"/>
      <c r="J391" s="1073"/>
      <c r="K391" s="573">
        <v>1.08</v>
      </c>
      <c r="L391" s="243"/>
      <c r="M391" s="173"/>
      <c r="N391" s="68"/>
      <c r="O391" s="203"/>
      <c r="P391" s="218"/>
      <c r="Q391" s="68"/>
      <c r="R391" s="217"/>
    </row>
    <row r="392" spans="1:21" ht="30" customHeight="1" x14ac:dyDescent="0.35">
      <c r="A392" s="241"/>
      <c r="B392" s="446"/>
      <c r="C392" s="458"/>
      <c r="D392" s="458"/>
      <c r="E392" s="458"/>
      <c r="F392" s="458"/>
      <c r="G392" s="458"/>
      <c r="H392" s="458"/>
      <c r="I392" s="458"/>
      <c r="J392" s="446" t="s">
        <v>2356</v>
      </c>
      <c r="K392" s="591">
        <f>+K389*K390/K391</f>
        <v>192.69577544181681</v>
      </c>
      <c r="L392" s="243" t="s">
        <v>8</v>
      </c>
      <c r="M392" s="293"/>
      <c r="N392" s="220"/>
      <c r="O392" s="203"/>
      <c r="P392" s="218"/>
      <c r="Q392" s="68"/>
      <c r="R392" s="217"/>
    </row>
    <row r="393" spans="1:21" ht="30" customHeight="1" x14ac:dyDescent="0.35">
      <c r="A393" s="241"/>
      <c r="B393" s="446"/>
      <c r="C393" s="458"/>
      <c r="D393" s="458"/>
      <c r="E393" s="458"/>
      <c r="F393" s="458"/>
      <c r="G393" s="613" t="s">
        <v>2359</v>
      </c>
      <c r="H393" s="458"/>
      <c r="I393" s="458"/>
      <c r="J393" s="583">
        <f>VLOOKUP(B384,'Mil Cost Premiums for PUCs'!$A$4:$R$272,18,FALSE)</f>
        <v>1.3279641928993471</v>
      </c>
      <c r="K393" s="591">
        <f>+K392*J393</f>
        <v>255.89308990970608</v>
      </c>
      <c r="L393" s="243" t="s">
        <v>8</v>
      </c>
      <c r="M393" s="363"/>
      <c r="N393" s="68"/>
      <c r="O393" s="203"/>
      <c r="P393" s="218"/>
      <c r="Q393" s="68"/>
      <c r="R393" s="217"/>
    </row>
    <row r="394" spans="1:21" ht="60" customHeight="1" x14ac:dyDescent="0.35">
      <c r="A394" s="1064" t="s">
        <v>305</v>
      </c>
      <c r="B394" s="1067"/>
      <c r="C394" s="1067"/>
      <c r="D394" s="1067"/>
      <c r="E394" s="1067"/>
      <c r="F394" s="1067"/>
      <c r="G394" s="1067"/>
      <c r="H394" s="1067"/>
      <c r="I394" s="1067"/>
      <c r="J394" s="1067"/>
      <c r="K394" s="1067"/>
      <c r="L394" s="1126"/>
      <c r="M394" s="173"/>
      <c r="P394" s="171"/>
      <c r="Q394" s="171"/>
      <c r="R394" s="171"/>
      <c r="S394" s="51"/>
      <c r="T394" s="51"/>
      <c r="U394" s="171"/>
    </row>
    <row r="395" spans="1:21" s="208" customFormat="1" ht="30" customHeight="1" x14ac:dyDescent="0.35">
      <c r="A395" s="1144" t="s">
        <v>306</v>
      </c>
      <c r="B395" s="1145"/>
      <c r="C395" s="1145"/>
      <c r="D395" s="1129" t="s">
        <v>399</v>
      </c>
      <c r="E395" s="1129"/>
      <c r="F395" s="1129"/>
      <c r="G395" s="1129"/>
      <c r="H395" s="1129"/>
      <c r="I395" s="1129"/>
      <c r="J395" s="1129"/>
      <c r="K395" s="1129"/>
      <c r="L395" s="1130"/>
      <c r="M395" s="173"/>
      <c r="O395" s="205"/>
      <c r="P395" s="75"/>
      <c r="Q395" s="75"/>
      <c r="R395" s="75"/>
      <c r="S395" s="213"/>
      <c r="T395" s="213"/>
      <c r="U395" s="75"/>
    </row>
    <row r="396" spans="1:21" s="27" customFormat="1" ht="30" customHeight="1" x14ac:dyDescent="0.35">
      <c r="A396" s="1144" t="s">
        <v>307</v>
      </c>
      <c r="B396" s="1145"/>
      <c r="C396" s="1145"/>
      <c r="D396" s="1067" t="s">
        <v>400</v>
      </c>
      <c r="E396" s="1067"/>
      <c r="F396" s="1067"/>
      <c r="G396" s="1067"/>
      <c r="H396" s="1067"/>
      <c r="I396" s="1067"/>
      <c r="J396" s="1067"/>
      <c r="K396" s="1067"/>
      <c r="L396" s="1126"/>
      <c r="M396" s="173"/>
      <c r="N396" s="214"/>
      <c r="O396" s="207"/>
    </row>
    <row r="397" spans="1:21" ht="30" customHeight="1" x14ac:dyDescent="0.35">
      <c r="A397" s="1144" t="s">
        <v>308</v>
      </c>
      <c r="B397" s="1145"/>
      <c r="C397" s="1145"/>
      <c r="D397" s="1067" t="s">
        <v>2725</v>
      </c>
      <c r="E397" s="1067"/>
      <c r="F397" s="1067"/>
      <c r="G397" s="1067"/>
      <c r="H397" s="1067"/>
      <c r="I397" s="1067"/>
      <c r="J397" s="1067"/>
      <c r="K397" s="1067"/>
      <c r="L397" s="1126"/>
      <c r="M397" s="173"/>
    </row>
    <row r="398" spans="1:21" ht="30" customHeight="1" x14ac:dyDescent="0.35">
      <c r="A398" s="1144" t="s">
        <v>309</v>
      </c>
      <c r="B398" s="1145"/>
      <c r="C398" s="1145"/>
      <c r="D398" s="1067" t="s">
        <v>401</v>
      </c>
      <c r="E398" s="1067"/>
      <c r="F398" s="1067"/>
      <c r="G398" s="1067"/>
      <c r="H398" s="1067"/>
      <c r="I398" s="1067"/>
      <c r="J398" s="1067"/>
      <c r="K398" s="1067"/>
      <c r="L398" s="1126"/>
      <c r="M398" s="173"/>
    </row>
    <row r="399" spans="1:21" ht="30" customHeight="1" x14ac:dyDescent="0.35">
      <c r="A399" s="1144" t="s">
        <v>311</v>
      </c>
      <c r="B399" s="1145"/>
      <c r="C399" s="1145"/>
      <c r="D399" s="1067" t="s">
        <v>2726</v>
      </c>
      <c r="E399" s="1067"/>
      <c r="F399" s="1067"/>
      <c r="G399" s="1067"/>
      <c r="H399" s="1067"/>
      <c r="I399" s="1067"/>
      <c r="J399" s="1067"/>
      <c r="K399" s="1067"/>
      <c r="L399" s="1126"/>
      <c r="M399" s="173"/>
      <c r="P399" s="171"/>
      <c r="Q399" s="171"/>
      <c r="R399" s="171"/>
      <c r="S399" s="51"/>
      <c r="T399" s="51"/>
      <c r="U399" s="171"/>
    </row>
    <row r="400" spans="1:21" s="208" customFormat="1" ht="30" customHeight="1" x14ac:dyDescent="0.35">
      <c r="A400" s="1144" t="s">
        <v>313</v>
      </c>
      <c r="B400" s="1145"/>
      <c r="C400" s="1145"/>
      <c r="D400" s="1129" t="s">
        <v>402</v>
      </c>
      <c r="E400" s="1129"/>
      <c r="F400" s="1129"/>
      <c r="G400" s="1129"/>
      <c r="H400" s="1129"/>
      <c r="I400" s="1129"/>
      <c r="J400" s="1129"/>
      <c r="K400" s="1129"/>
      <c r="L400" s="1130"/>
      <c r="M400" s="173"/>
      <c r="O400" s="205"/>
      <c r="P400" s="75"/>
      <c r="Q400" s="75"/>
      <c r="R400" s="75"/>
      <c r="S400" s="213"/>
      <c r="T400" s="213"/>
      <c r="U400" s="75"/>
    </row>
    <row r="401" spans="1:18" s="27" customFormat="1" ht="30" customHeight="1" x14ac:dyDescent="0.35">
      <c r="A401" s="1144" t="s">
        <v>315</v>
      </c>
      <c r="B401" s="1145"/>
      <c r="C401" s="1145"/>
      <c r="D401" s="1129" t="s">
        <v>403</v>
      </c>
      <c r="E401" s="1129"/>
      <c r="F401" s="1129"/>
      <c r="G401" s="1129"/>
      <c r="H401" s="1129"/>
      <c r="I401" s="1129"/>
      <c r="J401" s="1129"/>
      <c r="K401" s="1129"/>
      <c r="L401" s="1130"/>
      <c r="M401" s="173"/>
      <c r="N401" s="214"/>
      <c r="O401" s="207"/>
    </row>
    <row r="402" spans="1:18" ht="75" customHeight="1" thickBot="1" x14ac:dyDescent="0.4">
      <c r="A402" s="1216" t="s">
        <v>316</v>
      </c>
      <c r="B402" s="1217"/>
      <c r="C402" s="1217"/>
      <c r="D402" s="1218" t="s">
        <v>373</v>
      </c>
      <c r="E402" s="1218"/>
      <c r="F402" s="1218"/>
      <c r="G402" s="1218"/>
      <c r="H402" s="1218"/>
      <c r="I402" s="1218"/>
      <c r="J402" s="1218"/>
      <c r="K402" s="1218"/>
      <c r="L402" s="1219"/>
      <c r="M402" s="173"/>
    </row>
    <row r="403" spans="1:18" ht="30" customHeight="1" thickBot="1" x14ac:dyDescent="0.4">
      <c r="A403" s="1188"/>
      <c r="B403" s="1188"/>
      <c r="C403" s="1188"/>
      <c r="D403" s="1188"/>
      <c r="E403" s="1188"/>
      <c r="F403" s="1188"/>
      <c r="G403" s="1188"/>
      <c r="H403" s="1188"/>
      <c r="I403" s="1188"/>
      <c r="J403" s="1188"/>
      <c r="K403" s="1188"/>
      <c r="L403" s="1189"/>
      <c r="M403" s="173"/>
    </row>
    <row r="404" spans="1:18" ht="30" customHeight="1" x14ac:dyDescent="0.35">
      <c r="A404" s="467" t="s">
        <v>278</v>
      </c>
      <c r="B404" s="501">
        <v>1451</v>
      </c>
      <c r="C404" s="1146" t="s">
        <v>2728</v>
      </c>
      <c r="D404" s="1146"/>
      <c r="E404" s="390" t="s">
        <v>2732</v>
      </c>
      <c r="F404" s="391" t="s">
        <v>10</v>
      </c>
      <c r="G404" s="397" t="s">
        <v>285</v>
      </c>
      <c r="H404" s="528">
        <v>1</v>
      </c>
      <c r="I404" s="396" t="s">
        <v>281</v>
      </c>
      <c r="J404" s="1147" t="s">
        <v>2898</v>
      </c>
      <c r="K404" s="1147"/>
      <c r="L404" s="1148"/>
      <c r="M404" s="364"/>
      <c r="N404" s="68"/>
      <c r="O404" s="203"/>
      <c r="P404" s="218"/>
      <c r="Q404" s="68"/>
      <c r="R404" s="217"/>
    </row>
    <row r="405" spans="1:18" s="208" customFormat="1" ht="30" customHeight="1" x14ac:dyDescent="0.35">
      <c r="A405" s="545"/>
      <c r="B405" s="1021" t="s">
        <v>2921</v>
      </c>
      <c r="C405" s="1021"/>
      <c r="D405" s="1021"/>
      <c r="E405" s="509" t="s">
        <v>290</v>
      </c>
      <c r="F405" s="509" t="s">
        <v>322</v>
      </c>
      <c r="G405" s="1034" t="s">
        <v>323</v>
      </c>
      <c r="H405" s="1034"/>
      <c r="I405" s="509" t="s">
        <v>327</v>
      </c>
      <c r="J405" s="509" t="s">
        <v>419</v>
      </c>
      <c r="K405" s="1012" t="s">
        <v>2356</v>
      </c>
      <c r="L405" s="1023"/>
      <c r="M405" s="173"/>
      <c r="N405" s="68"/>
      <c r="P405" s="218"/>
      <c r="Q405" s="68"/>
      <c r="R405" s="217"/>
    </row>
    <row r="406" spans="1:18" ht="30" customHeight="1" thickBot="1" x14ac:dyDescent="0.4">
      <c r="A406" s="546"/>
      <c r="B406" s="1014">
        <v>6679472.0499999998</v>
      </c>
      <c r="C406" s="1014"/>
      <c r="D406" s="1014"/>
      <c r="E406" s="547"/>
      <c r="F406" s="548"/>
      <c r="G406" s="1015"/>
      <c r="H406" s="1015"/>
      <c r="I406" s="549"/>
      <c r="J406" s="550">
        <v>1.0202</v>
      </c>
      <c r="K406" s="551">
        <f>B406*J406</f>
        <v>6814397.3854099996</v>
      </c>
      <c r="L406" s="552" t="s">
        <v>10</v>
      </c>
      <c r="M406" s="173"/>
      <c r="N406" s="68"/>
      <c r="O406" s="203"/>
      <c r="P406" s="218"/>
      <c r="Q406" s="68"/>
      <c r="R406" s="217"/>
    </row>
    <row r="407" spans="1:18" ht="30" customHeight="1" thickBot="1" x14ac:dyDescent="0.4">
      <c r="A407" s="1190"/>
      <c r="B407" s="1190"/>
      <c r="C407" s="1190"/>
      <c r="D407" s="1190"/>
      <c r="E407" s="1190"/>
      <c r="F407" s="1190"/>
      <c r="G407" s="1190"/>
      <c r="H407" s="1190"/>
      <c r="I407" s="1190"/>
      <c r="J407" s="1190"/>
      <c r="K407" s="1190"/>
      <c r="L407" s="1191"/>
      <c r="M407" s="173"/>
      <c r="N407" s="68"/>
      <c r="O407" s="203"/>
      <c r="P407" s="218"/>
      <c r="Q407" s="68"/>
      <c r="R407" s="217"/>
    </row>
    <row r="408" spans="1:18" ht="30" customHeight="1" x14ac:dyDescent="0.35">
      <c r="A408" s="466" t="s">
        <v>278</v>
      </c>
      <c r="B408" s="501">
        <v>1452</v>
      </c>
      <c r="C408" s="1146" t="s">
        <v>2729</v>
      </c>
      <c r="D408" s="1146"/>
      <c r="E408" s="390" t="s">
        <v>2732</v>
      </c>
      <c r="F408" s="391" t="s">
        <v>8</v>
      </c>
      <c r="G408" s="397" t="s">
        <v>285</v>
      </c>
      <c r="H408" s="399">
        <v>3812</v>
      </c>
      <c r="I408" s="541" t="s">
        <v>281</v>
      </c>
      <c r="J408" s="1147" t="s">
        <v>2893</v>
      </c>
      <c r="K408" s="1147"/>
      <c r="L408" s="1148"/>
      <c r="M408" s="364"/>
      <c r="N408" s="68"/>
      <c r="O408" s="203"/>
      <c r="P408" s="218"/>
      <c r="Q408" s="68"/>
      <c r="R408" s="217"/>
    </row>
    <row r="409" spans="1:18" ht="30" customHeight="1" x14ac:dyDescent="0.35">
      <c r="A409" s="545"/>
      <c r="B409" s="1021" t="s">
        <v>2921</v>
      </c>
      <c r="C409" s="1021"/>
      <c r="D409" s="1021"/>
      <c r="E409" s="509" t="s">
        <v>290</v>
      </c>
      <c r="F409" s="509" t="s">
        <v>322</v>
      </c>
      <c r="G409" s="1034" t="s">
        <v>323</v>
      </c>
      <c r="H409" s="1034"/>
      <c r="I409" s="509" t="s">
        <v>327</v>
      </c>
      <c r="J409" s="509" t="s">
        <v>419</v>
      </c>
      <c r="K409" s="1012" t="s">
        <v>2356</v>
      </c>
      <c r="L409" s="1023"/>
      <c r="M409" s="173"/>
      <c r="N409" s="68"/>
      <c r="O409" s="203"/>
      <c r="P409" s="218"/>
      <c r="Q409" s="68"/>
      <c r="R409" s="217"/>
    </row>
    <row r="410" spans="1:18" ht="30" customHeight="1" thickBot="1" x14ac:dyDescent="0.4">
      <c r="A410" s="546"/>
      <c r="B410" s="1014">
        <v>539.42999999999995</v>
      </c>
      <c r="C410" s="1014"/>
      <c r="D410" s="1014"/>
      <c r="E410" s="547"/>
      <c r="F410" s="548"/>
      <c r="G410" s="1015"/>
      <c r="H410" s="1015"/>
      <c r="I410" s="549"/>
      <c r="J410" s="550">
        <v>1.0202</v>
      </c>
      <c r="K410" s="551">
        <f>B410*J410</f>
        <v>550.32648599999993</v>
      </c>
      <c r="L410" s="552" t="s">
        <v>8</v>
      </c>
      <c r="M410" s="173"/>
      <c r="N410" s="68"/>
      <c r="O410" s="203"/>
      <c r="P410" s="218"/>
      <c r="Q410" s="68"/>
      <c r="R410" s="217"/>
    </row>
    <row r="411" spans="1:18" ht="30" customHeight="1" thickBot="1" x14ac:dyDescent="0.4">
      <c r="A411" s="1190"/>
      <c r="B411" s="1190"/>
      <c r="C411" s="1190"/>
      <c r="D411" s="1190"/>
      <c r="E411" s="1190"/>
      <c r="F411" s="1190"/>
      <c r="G411" s="1190"/>
      <c r="H411" s="1190"/>
      <c r="I411" s="1190"/>
      <c r="J411" s="1190"/>
      <c r="K411" s="1190"/>
      <c r="L411" s="1191"/>
      <c r="M411" s="173"/>
      <c r="N411" s="68"/>
      <c r="O411" s="203"/>
      <c r="P411" s="218"/>
      <c r="Q411" s="68"/>
      <c r="R411" s="217"/>
    </row>
    <row r="412" spans="1:18" ht="30" customHeight="1" x14ac:dyDescent="0.35">
      <c r="A412" s="466" t="s">
        <v>278</v>
      </c>
      <c r="B412" s="501">
        <v>1453</v>
      </c>
      <c r="C412" s="1146" t="s">
        <v>2730</v>
      </c>
      <c r="D412" s="1146"/>
      <c r="E412" s="390" t="s">
        <v>2732</v>
      </c>
      <c r="F412" s="391" t="s">
        <v>10</v>
      </c>
      <c r="G412" s="397" t="s">
        <v>285</v>
      </c>
      <c r="H412" s="399">
        <v>1</v>
      </c>
      <c r="I412" s="541" t="s">
        <v>281</v>
      </c>
      <c r="J412" s="1147" t="s">
        <v>2894</v>
      </c>
      <c r="K412" s="1147"/>
      <c r="L412" s="1148"/>
      <c r="M412" s="364"/>
      <c r="N412" s="68"/>
      <c r="O412" s="203"/>
      <c r="P412" s="218"/>
      <c r="Q412" s="68"/>
      <c r="R412" s="217"/>
    </row>
    <row r="413" spans="1:18" ht="30" customHeight="1" x14ac:dyDescent="0.35">
      <c r="A413" s="545"/>
      <c r="B413" s="1021" t="s">
        <v>2921</v>
      </c>
      <c r="C413" s="1021"/>
      <c r="D413" s="1021"/>
      <c r="E413" s="509" t="s">
        <v>290</v>
      </c>
      <c r="F413" s="509" t="s">
        <v>322</v>
      </c>
      <c r="G413" s="1034" t="s">
        <v>323</v>
      </c>
      <c r="H413" s="1034"/>
      <c r="I413" s="509" t="s">
        <v>327</v>
      </c>
      <c r="J413" s="509" t="s">
        <v>419</v>
      </c>
      <c r="K413" s="1012" t="s">
        <v>2356</v>
      </c>
      <c r="L413" s="1023"/>
      <c r="M413" s="173"/>
      <c r="N413" s="68"/>
      <c r="O413" s="203"/>
      <c r="P413" s="218"/>
      <c r="Q413" s="68"/>
      <c r="R413" s="217"/>
    </row>
    <row r="414" spans="1:18" ht="30" customHeight="1" thickBot="1" x14ac:dyDescent="0.4">
      <c r="A414" s="546"/>
      <c r="B414" s="1014">
        <v>121317.32</v>
      </c>
      <c r="C414" s="1014"/>
      <c r="D414" s="1014"/>
      <c r="E414" s="547"/>
      <c r="F414" s="548"/>
      <c r="G414" s="1015"/>
      <c r="H414" s="1015"/>
      <c r="I414" s="549"/>
      <c r="J414" s="550">
        <v>1.0202</v>
      </c>
      <c r="K414" s="551">
        <f>B414*J414</f>
        <v>123767.92986400001</v>
      </c>
      <c r="L414" s="552" t="s">
        <v>10</v>
      </c>
      <c r="M414" s="173"/>
      <c r="N414" s="136"/>
      <c r="O414" s="136"/>
      <c r="P414" s="218"/>
      <c r="Q414" s="68"/>
      <c r="R414" s="217"/>
    </row>
    <row r="415" spans="1:18" ht="30" customHeight="1" thickBot="1" x14ac:dyDescent="0.4">
      <c r="A415" s="1190"/>
      <c r="B415" s="1190"/>
      <c r="C415" s="1190"/>
      <c r="D415" s="1190"/>
      <c r="E415" s="1190"/>
      <c r="F415" s="1190"/>
      <c r="G415" s="1190"/>
      <c r="H415" s="1190"/>
      <c r="I415" s="1190"/>
      <c r="J415" s="1190"/>
      <c r="K415" s="1190"/>
      <c r="L415" s="1191"/>
      <c r="M415" s="173"/>
      <c r="N415" s="136"/>
      <c r="O415" s="136"/>
      <c r="P415" s="218"/>
      <c r="Q415" s="68"/>
      <c r="R415" s="217"/>
    </row>
    <row r="416" spans="1:18" ht="30" customHeight="1" x14ac:dyDescent="0.35">
      <c r="A416" s="467" t="s">
        <v>278</v>
      </c>
      <c r="B416" s="501">
        <v>1454</v>
      </c>
      <c r="C416" s="1146" t="s">
        <v>2787</v>
      </c>
      <c r="D416" s="1146"/>
      <c r="E416" s="390" t="s">
        <v>2732</v>
      </c>
      <c r="F416" s="391" t="s">
        <v>6</v>
      </c>
      <c r="G416" s="397" t="s">
        <v>285</v>
      </c>
      <c r="H416" s="400">
        <v>259</v>
      </c>
      <c r="I416" s="541" t="s">
        <v>281</v>
      </c>
      <c r="J416" s="1147" t="s">
        <v>2895</v>
      </c>
      <c r="K416" s="1147"/>
      <c r="L416" s="1148"/>
      <c r="M416" s="364"/>
      <c r="N416" s="136"/>
      <c r="O416" s="136"/>
      <c r="P416" s="218"/>
      <c r="Q416" s="68"/>
      <c r="R416" s="217"/>
    </row>
    <row r="417" spans="1:18" ht="30" customHeight="1" x14ac:dyDescent="0.35">
      <c r="A417" s="545"/>
      <c r="B417" s="1021" t="s">
        <v>2921</v>
      </c>
      <c r="C417" s="1021"/>
      <c r="D417" s="1021"/>
      <c r="E417" s="509" t="s">
        <v>290</v>
      </c>
      <c r="F417" s="509" t="s">
        <v>322</v>
      </c>
      <c r="G417" s="1034" t="s">
        <v>323</v>
      </c>
      <c r="H417" s="1034"/>
      <c r="I417" s="509" t="s">
        <v>327</v>
      </c>
      <c r="J417" s="509" t="s">
        <v>419</v>
      </c>
      <c r="K417" s="1012" t="s">
        <v>2356</v>
      </c>
      <c r="L417" s="1023"/>
      <c r="M417" s="173"/>
      <c r="N417" s="136"/>
      <c r="O417" s="136"/>
      <c r="P417" s="218"/>
      <c r="Q417" s="68"/>
      <c r="R417" s="217"/>
    </row>
    <row r="418" spans="1:18" ht="30" customHeight="1" thickBot="1" x14ac:dyDescent="0.4">
      <c r="A418" s="546"/>
      <c r="B418" s="1014">
        <v>1008.13</v>
      </c>
      <c r="C418" s="1014"/>
      <c r="D418" s="1014"/>
      <c r="E418" s="547"/>
      <c r="F418" s="548"/>
      <c r="G418" s="1015"/>
      <c r="H418" s="1015"/>
      <c r="I418" s="549"/>
      <c r="J418" s="550">
        <v>1.0202</v>
      </c>
      <c r="K418" s="551">
        <f>B418*J418</f>
        <v>1028.494226</v>
      </c>
      <c r="L418" s="552" t="s">
        <v>6</v>
      </c>
      <c r="M418" s="173"/>
      <c r="N418" s="136"/>
      <c r="O418" s="136"/>
      <c r="P418" s="218"/>
      <c r="Q418" s="68"/>
      <c r="R418" s="217"/>
    </row>
    <row r="419" spans="1:18" ht="30" customHeight="1" thickBot="1" x14ac:dyDescent="0.4">
      <c r="A419" s="1190"/>
      <c r="B419" s="1190"/>
      <c r="C419" s="1190"/>
      <c r="D419" s="1190"/>
      <c r="E419" s="1190"/>
      <c r="F419" s="1190"/>
      <c r="G419" s="1190"/>
      <c r="H419" s="1190"/>
      <c r="I419" s="1190"/>
      <c r="J419" s="1190"/>
      <c r="K419" s="1190"/>
      <c r="L419" s="1191"/>
      <c r="M419" s="173"/>
      <c r="N419" s="136"/>
      <c r="O419" s="136"/>
      <c r="P419" s="218"/>
      <c r="Q419" s="68"/>
      <c r="R419" s="217"/>
    </row>
    <row r="420" spans="1:18" ht="30" customHeight="1" x14ac:dyDescent="0.35">
      <c r="A420" s="432" t="s">
        <v>278</v>
      </c>
      <c r="B420" s="517">
        <v>1456</v>
      </c>
      <c r="C420" s="1141" t="s">
        <v>2731</v>
      </c>
      <c r="D420" s="1141"/>
      <c r="E420" s="392" t="s">
        <v>2732</v>
      </c>
      <c r="F420" s="393" t="s">
        <v>10</v>
      </c>
      <c r="G420" s="52" t="s">
        <v>285</v>
      </c>
      <c r="H420" s="400">
        <v>1</v>
      </c>
      <c r="I420" s="541" t="s">
        <v>281</v>
      </c>
      <c r="J420" s="1149" t="s">
        <v>2896</v>
      </c>
      <c r="K420" s="1149"/>
      <c r="L420" s="1150"/>
      <c r="M420" s="364"/>
      <c r="N420" s="136"/>
      <c r="O420" s="136"/>
      <c r="P420" s="218"/>
      <c r="Q420" s="68"/>
      <c r="R420" s="217"/>
    </row>
    <row r="421" spans="1:18" ht="30" customHeight="1" x14ac:dyDescent="0.35">
      <c r="A421" s="545"/>
      <c r="B421" s="1021" t="s">
        <v>2921</v>
      </c>
      <c r="C421" s="1021"/>
      <c r="D421" s="1021"/>
      <c r="E421" s="509" t="s">
        <v>290</v>
      </c>
      <c r="F421" s="509" t="s">
        <v>322</v>
      </c>
      <c r="G421" s="1034" t="s">
        <v>323</v>
      </c>
      <c r="H421" s="1034"/>
      <c r="I421" s="509" t="s">
        <v>327</v>
      </c>
      <c r="J421" s="509" t="s">
        <v>419</v>
      </c>
      <c r="K421" s="1012" t="s">
        <v>2356</v>
      </c>
      <c r="L421" s="1023"/>
      <c r="M421" s="173"/>
      <c r="N421" s="136"/>
      <c r="O421" s="136"/>
      <c r="P421" s="218"/>
      <c r="Q421" s="68"/>
      <c r="R421" s="217"/>
    </row>
    <row r="422" spans="1:18" ht="30" customHeight="1" thickBot="1" x14ac:dyDescent="0.4">
      <c r="A422" s="546"/>
      <c r="B422" s="1014">
        <v>883515.72</v>
      </c>
      <c r="C422" s="1014"/>
      <c r="D422" s="1014"/>
      <c r="E422" s="547"/>
      <c r="F422" s="548"/>
      <c r="G422" s="1015"/>
      <c r="H422" s="1015"/>
      <c r="I422" s="549"/>
      <c r="J422" s="550">
        <v>1.0202</v>
      </c>
      <c r="K422" s="551">
        <f>B422*J422</f>
        <v>901362.73754399992</v>
      </c>
      <c r="L422" s="552" t="s">
        <v>10</v>
      </c>
      <c r="M422" s="173"/>
      <c r="N422" s="136"/>
      <c r="O422" s="136"/>
      <c r="P422" s="218"/>
      <c r="Q422" s="68"/>
      <c r="R422" s="217"/>
    </row>
    <row r="423" spans="1:18" ht="30" customHeight="1" thickBot="1" x14ac:dyDescent="0.4">
      <c r="A423" s="1139"/>
      <c r="B423" s="1139"/>
      <c r="C423" s="1139"/>
      <c r="D423" s="1139"/>
      <c r="E423" s="1139"/>
      <c r="F423" s="1139"/>
      <c r="G423" s="1139"/>
      <c r="H423" s="1139"/>
      <c r="I423" s="1139"/>
      <c r="J423" s="1139"/>
      <c r="K423" s="1139"/>
      <c r="L423" s="1140"/>
      <c r="M423" s="173"/>
      <c r="N423" s="136"/>
      <c r="O423" s="136"/>
      <c r="P423" s="218"/>
      <c r="Q423" s="68"/>
      <c r="R423" s="217"/>
    </row>
    <row r="424" spans="1:18" ht="30" customHeight="1" x14ac:dyDescent="0.35">
      <c r="A424" s="432" t="s">
        <v>0</v>
      </c>
      <c r="B424" s="517">
        <v>1457</v>
      </c>
      <c r="C424" s="1141" t="s">
        <v>2733</v>
      </c>
      <c r="D424" s="1141"/>
      <c r="E424" s="392" t="s">
        <v>2732</v>
      </c>
      <c r="F424" s="393" t="s">
        <v>8</v>
      </c>
      <c r="G424" s="52" t="s">
        <v>285</v>
      </c>
      <c r="H424" s="400">
        <v>4857</v>
      </c>
      <c r="I424" s="541" t="s">
        <v>281</v>
      </c>
      <c r="J424" s="1399" t="s">
        <v>2897</v>
      </c>
      <c r="K424" s="1399"/>
      <c r="L424" s="1400"/>
      <c r="M424" s="364"/>
      <c r="N424" s="136"/>
      <c r="O424" s="136"/>
      <c r="P424" s="218"/>
      <c r="Q424" s="68"/>
      <c r="R424" s="217"/>
    </row>
    <row r="425" spans="1:18" ht="30" customHeight="1" x14ac:dyDescent="0.35">
      <c r="A425" s="545"/>
      <c r="B425" s="1021" t="s">
        <v>2921</v>
      </c>
      <c r="C425" s="1021"/>
      <c r="D425" s="1021"/>
      <c r="E425" s="509" t="s">
        <v>290</v>
      </c>
      <c r="F425" s="509" t="s">
        <v>322</v>
      </c>
      <c r="G425" s="1034" t="s">
        <v>323</v>
      </c>
      <c r="H425" s="1034"/>
      <c r="I425" s="509" t="s">
        <v>327</v>
      </c>
      <c r="J425" s="509" t="s">
        <v>419</v>
      </c>
      <c r="K425" s="1012" t="s">
        <v>2356</v>
      </c>
      <c r="L425" s="1023"/>
      <c r="M425" s="173"/>
      <c r="N425" s="136"/>
      <c r="O425" s="136"/>
      <c r="P425" s="218"/>
      <c r="Q425" s="68"/>
      <c r="R425" s="217"/>
    </row>
    <row r="426" spans="1:18" ht="30" customHeight="1" thickBot="1" x14ac:dyDescent="0.4">
      <c r="A426" s="546"/>
      <c r="B426" s="1014">
        <v>539.42999999999995</v>
      </c>
      <c r="C426" s="1014"/>
      <c r="D426" s="1014"/>
      <c r="E426" s="547"/>
      <c r="F426" s="548"/>
      <c r="G426" s="1015"/>
      <c r="H426" s="1015"/>
      <c r="I426" s="549"/>
      <c r="J426" s="550">
        <v>1.0202</v>
      </c>
      <c r="K426" s="551">
        <f>B426*J426</f>
        <v>550.32648599999993</v>
      </c>
      <c r="L426" s="552" t="s">
        <v>8</v>
      </c>
      <c r="M426" s="173"/>
      <c r="N426" s="136"/>
      <c r="O426" s="136"/>
      <c r="P426" s="218"/>
      <c r="Q426" s="68"/>
      <c r="R426" s="217"/>
    </row>
    <row r="427" spans="1:18" ht="30" customHeight="1" thickBot="1" x14ac:dyDescent="0.4">
      <c r="A427" s="1086"/>
      <c r="B427" s="1086"/>
      <c r="C427" s="1086"/>
      <c r="D427" s="1086"/>
      <c r="E427" s="1086"/>
      <c r="F427" s="1086"/>
      <c r="G427" s="1086"/>
      <c r="H427" s="1086"/>
      <c r="I427" s="1086"/>
      <c r="J427" s="1086"/>
      <c r="K427" s="1086"/>
      <c r="L427" s="1103"/>
      <c r="M427" s="173"/>
      <c r="N427" s="136"/>
      <c r="O427" s="136"/>
      <c r="P427" s="218"/>
      <c r="Q427" s="68"/>
      <c r="R427" s="217"/>
    </row>
    <row r="428" spans="1:18" ht="30" customHeight="1" x14ac:dyDescent="0.35">
      <c r="A428" s="465" t="s">
        <v>278</v>
      </c>
      <c r="B428" s="539">
        <v>1458</v>
      </c>
      <c r="C428" s="1060" t="s">
        <v>404</v>
      </c>
      <c r="D428" s="1060"/>
      <c r="E428" s="541" t="s">
        <v>280</v>
      </c>
      <c r="F428" s="542" t="s">
        <v>10</v>
      </c>
      <c r="G428" s="560" t="s">
        <v>279</v>
      </c>
      <c r="H428" s="569">
        <v>1</v>
      </c>
      <c r="I428" s="541" t="s">
        <v>281</v>
      </c>
      <c r="J428" s="1019" t="s">
        <v>2727</v>
      </c>
      <c r="K428" s="1019"/>
      <c r="L428" s="1020"/>
      <c r="M428" s="363"/>
      <c r="N428" s="136"/>
      <c r="O428" s="136"/>
      <c r="P428" s="218"/>
      <c r="Q428" s="68"/>
      <c r="R428" s="217"/>
    </row>
    <row r="429" spans="1:18" ht="30" customHeight="1" x14ac:dyDescent="0.35">
      <c r="A429" s="545" t="s">
        <v>288</v>
      </c>
      <c r="B429" s="1051" t="s">
        <v>282</v>
      </c>
      <c r="C429" s="1051"/>
      <c r="D429" s="1051"/>
      <c r="E429" s="530" t="s">
        <v>289</v>
      </c>
      <c r="F429" s="561" t="s">
        <v>290</v>
      </c>
      <c r="G429" s="509"/>
      <c r="H429" s="509"/>
      <c r="I429" s="1052" t="s">
        <v>405</v>
      </c>
      <c r="J429" s="1052"/>
      <c r="K429" s="1012" t="s">
        <v>292</v>
      </c>
      <c r="L429" s="1023"/>
      <c r="M429" s="173"/>
      <c r="N429" s="136"/>
      <c r="O429" s="136"/>
      <c r="P429" s="218"/>
      <c r="Q429" s="68"/>
      <c r="R429" s="217"/>
    </row>
    <row r="430" spans="1:18" ht="30" customHeight="1" x14ac:dyDescent="0.35">
      <c r="A430" s="241">
        <v>88040</v>
      </c>
      <c r="B430" s="1134" t="s">
        <v>2891</v>
      </c>
      <c r="C430" s="1134"/>
      <c r="D430" s="1134"/>
      <c r="E430" s="644">
        <v>1</v>
      </c>
      <c r="F430" s="645">
        <v>149170</v>
      </c>
      <c r="G430" s="623"/>
      <c r="H430" s="28"/>
      <c r="I430" s="1015">
        <f>+'2021 MILCON Inflation Table'!$F$20</f>
        <v>0.9432470865927236</v>
      </c>
      <c r="J430" s="1015"/>
      <c r="K430" s="451">
        <f t="shared" ref="K430:K437" si="11">+F430*I430</f>
        <v>140704.16790703658</v>
      </c>
      <c r="L430" s="243" t="s">
        <v>10</v>
      </c>
      <c r="M430" s="173"/>
      <c r="N430" s="136"/>
      <c r="O430" s="136"/>
      <c r="P430" s="218"/>
      <c r="Q430" s="68"/>
      <c r="R430" s="217"/>
    </row>
    <row r="431" spans="1:18" ht="30" customHeight="1" x14ac:dyDescent="0.35">
      <c r="A431" s="241">
        <v>88040</v>
      </c>
      <c r="B431" s="1134" t="s">
        <v>407</v>
      </c>
      <c r="C431" s="1134"/>
      <c r="D431" s="1134"/>
      <c r="E431" s="644">
        <v>1</v>
      </c>
      <c r="F431" s="645">
        <v>272550</v>
      </c>
      <c r="G431" s="623"/>
      <c r="H431" s="28"/>
      <c r="I431" s="1015">
        <f>+'2021 MILCON Inflation Table'!$F$20</f>
        <v>0.9432470865927236</v>
      </c>
      <c r="J431" s="1015"/>
      <c r="K431" s="451">
        <f t="shared" si="11"/>
        <v>257081.99345084681</v>
      </c>
      <c r="L431" s="243" t="s">
        <v>10</v>
      </c>
      <c r="M431" s="173"/>
      <c r="N431" s="136"/>
      <c r="O431" s="136"/>
      <c r="P431" s="218"/>
      <c r="Q431" s="68"/>
      <c r="R431" s="217"/>
    </row>
    <row r="432" spans="1:18" ht="30" customHeight="1" x14ac:dyDescent="0.35">
      <c r="A432" s="241">
        <v>88040</v>
      </c>
      <c r="B432" s="1134" t="s">
        <v>408</v>
      </c>
      <c r="C432" s="1134"/>
      <c r="D432" s="1134"/>
      <c r="E432" s="644">
        <v>1</v>
      </c>
      <c r="F432" s="645">
        <v>272550</v>
      </c>
      <c r="G432" s="623"/>
      <c r="H432" s="28"/>
      <c r="I432" s="1015">
        <f>+'2021 MILCON Inflation Table'!$F$20</f>
        <v>0.9432470865927236</v>
      </c>
      <c r="J432" s="1015"/>
      <c r="K432" s="451">
        <f t="shared" si="11"/>
        <v>257081.99345084681</v>
      </c>
      <c r="L432" s="243" t="s">
        <v>10</v>
      </c>
      <c r="M432" s="173"/>
      <c r="N432" s="136"/>
      <c r="O432" s="136"/>
      <c r="P432" s="218"/>
      <c r="Q432" s="68"/>
      <c r="R432" s="217"/>
    </row>
    <row r="433" spans="1:21" ht="30" customHeight="1" x14ac:dyDescent="0.35">
      <c r="A433" s="241">
        <v>88040</v>
      </c>
      <c r="B433" s="1134" t="s">
        <v>409</v>
      </c>
      <c r="C433" s="1134"/>
      <c r="D433" s="1134"/>
      <c r="E433" s="644">
        <v>1</v>
      </c>
      <c r="F433" s="645">
        <v>53700</v>
      </c>
      <c r="G433" s="623"/>
      <c r="H433" s="28"/>
      <c r="I433" s="1015">
        <f>+'2021 MILCON Inflation Table'!$F$20</f>
        <v>0.9432470865927236</v>
      </c>
      <c r="J433" s="1015"/>
      <c r="K433" s="451">
        <f t="shared" si="11"/>
        <v>50652.368550029256</v>
      </c>
      <c r="L433" s="243" t="s">
        <v>10</v>
      </c>
      <c r="M433" s="173"/>
      <c r="N433" s="136"/>
      <c r="O433" s="136"/>
      <c r="P433" s="218"/>
      <c r="Q433" s="68"/>
      <c r="R433" s="217"/>
    </row>
    <row r="434" spans="1:21" ht="30" customHeight="1" x14ac:dyDescent="0.35">
      <c r="A434" s="241">
        <v>88040</v>
      </c>
      <c r="B434" s="1134" t="s">
        <v>410</v>
      </c>
      <c r="C434" s="1134"/>
      <c r="D434" s="1134"/>
      <c r="E434" s="644">
        <v>1</v>
      </c>
      <c r="F434" s="645">
        <v>61390</v>
      </c>
      <c r="G434" s="623"/>
      <c r="H434" s="28"/>
      <c r="I434" s="1015">
        <f>+'2021 MILCON Inflation Table'!$F$20</f>
        <v>0.9432470865927236</v>
      </c>
      <c r="J434" s="1015"/>
      <c r="K434" s="451">
        <f t="shared" si="11"/>
        <v>57905.938645927301</v>
      </c>
      <c r="L434" s="243" t="s">
        <v>10</v>
      </c>
      <c r="M434" s="173"/>
      <c r="N434" s="68"/>
      <c r="O434" s="203"/>
      <c r="P434" s="218"/>
      <c r="Q434" s="68"/>
      <c r="R434" s="217"/>
    </row>
    <row r="435" spans="1:21" ht="30" customHeight="1" x14ac:dyDescent="0.35">
      <c r="A435" s="241">
        <v>88040</v>
      </c>
      <c r="B435" s="1134" t="s">
        <v>411</v>
      </c>
      <c r="C435" s="1134"/>
      <c r="D435" s="1134"/>
      <c r="E435" s="644">
        <v>1</v>
      </c>
      <c r="F435" s="645">
        <v>65410</v>
      </c>
      <c r="G435" s="623"/>
      <c r="H435" s="28"/>
      <c r="I435" s="1015">
        <f>+'2021 MILCON Inflation Table'!$F$20</f>
        <v>0.9432470865927236</v>
      </c>
      <c r="J435" s="1015"/>
      <c r="K435" s="451">
        <f t="shared" si="11"/>
        <v>61697.79193403005</v>
      </c>
      <c r="L435" s="243" t="s">
        <v>10</v>
      </c>
      <c r="M435" s="173"/>
      <c r="N435" s="68"/>
      <c r="O435" s="203"/>
      <c r="P435" s="218"/>
      <c r="Q435" s="68"/>
      <c r="R435" s="217"/>
    </row>
    <row r="436" spans="1:21" ht="30" customHeight="1" x14ac:dyDescent="0.35">
      <c r="A436" s="241">
        <v>88040</v>
      </c>
      <c r="B436" s="1134" t="s">
        <v>412</v>
      </c>
      <c r="C436" s="1134"/>
      <c r="D436" s="1134"/>
      <c r="E436" s="644">
        <v>1</v>
      </c>
      <c r="F436" s="645">
        <v>72860</v>
      </c>
      <c r="G436" s="623"/>
      <c r="H436" s="28"/>
      <c r="I436" s="1015">
        <f>+'2021 MILCON Inflation Table'!$F$20</f>
        <v>0.9432470865927236</v>
      </c>
      <c r="J436" s="1015"/>
      <c r="K436" s="451">
        <f t="shared" si="11"/>
        <v>68724.982729145835</v>
      </c>
      <c r="L436" s="243" t="s">
        <v>10</v>
      </c>
      <c r="M436" s="173"/>
      <c r="N436" s="68"/>
      <c r="O436" s="203"/>
      <c r="P436" s="218"/>
      <c r="Q436" s="68"/>
      <c r="R436" s="217"/>
    </row>
    <row r="437" spans="1:21" ht="30" customHeight="1" x14ac:dyDescent="0.35">
      <c r="A437" s="241">
        <v>88040</v>
      </c>
      <c r="B437" s="1059" t="s">
        <v>413</v>
      </c>
      <c r="C437" s="1059"/>
      <c r="D437" s="1059"/>
      <c r="E437" s="644">
        <v>1</v>
      </c>
      <c r="F437" s="645">
        <v>57270</v>
      </c>
      <c r="G437" s="623"/>
      <c r="H437" s="28"/>
      <c r="I437" s="1015">
        <f>+'2021 MILCON Inflation Table'!$F$20</f>
        <v>0.9432470865927236</v>
      </c>
      <c r="J437" s="1015"/>
      <c r="K437" s="451">
        <f t="shared" si="11"/>
        <v>54019.760649165284</v>
      </c>
      <c r="L437" s="243" t="s">
        <v>10</v>
      </c>
      <c r="M437" s="173"/>
      <c r="P437" s="171"/>
      <c r="Q437" s="171"/>
      <c r="R437" s="171"/>
      <c r="S437" s="51"/>
      <c r="T437" s="51"/>
      <c r="U437" s="171"/>
    </row>
    <row r="438" spans="1:21" s="208" customFormat="1" ht="30" customHeight="1" thickBot="1" x14ac:dyDescent="0.4">
      <c r="A438" s="241"/>
      <c r="B438" s="1059"/>
      <c r="C438" s="1059"/>
      <c r="D438" s="1059"/>
      <c r="E438" s="624"/>
      <c r="F438" s="625"/>
      <c r="G438" s="625"/>
      <c r="H438" s="626" t="s">
        <v>304</v>
      </c>
      <c r="I438" s="646"/>
      <c r="J438" s="647" t="s">
        <v>2356</v>
      </c>
      <c r="K438" s="451">
        <f>AVERAGE(K430:K437)</f>
        <v>118483.62466462847</v>
      </c>
      <c r="L438" s="243" t="s">
        <v>10</v>
      </c>
      <c r="M438" s="173"/>
      <c r="O438" s="205"/>
      <c r="P438" s="75"/>
      <c r="Q438" s="75"/>
      <c r="R438" s="75"/>
      <c r="S438" s="213"/>
      <c r="T438" s="213"/>
      <c r="U438" s="75"/>
    </row>
    <row r="439" spans="1:21" s="27" customFormat="1" ht="30" customHeight="1" thickBot="1" x14ac:dyDescent="0.4">
      <c r="A439" s="1086"/>
      <c r="B439" s="1086"/>
      <c r="C439" s="1086"/>
      <c r="D439" s="1086"/>
      <c r="E439" s="1086"/>
      <c r="F439" s="1086"/>
      <c r="G439" s="1086"/>
      <c r="H439" s="1086"/>
      <c r="I439" s="1086"/>
      <c r="J439" s="1086"/>
      <c r="K439" s="1086"/>
      <c r="L439" s="1103"/>
      <c r="M439" s="173"/>
      <c r="N439" s="214"/>
      <c r="O439" s="207"/>
    </row>
    <row r="440" spans="1:21" s="27" customFormat="1" ht="30" customHeight="1" x14ac:dyDescent="0.35">
      <c r="A440" s="465" t="s">
        <v>278</v>
      </c>
      <c r="B440" s="539">
        <v>1459</v>
      </c>
      <c r="C440" s="1060" t="s">
        <v>414</v>
      </c>
      <c r="D440" s="1060"/>
      <c r="E440" s="541" t="s">
        <v>280</v>
      </c>
      <c r="F440" s="542" t="s">
        <v>8</v>
      </c>
      <c r="G440" s="543" t="s">
        <v>285</v>
      </c>
      <c r="H440" s="555">
        <v>2186</v>
      </c>
      <c r="I440" s="541" t="s">
        <v>281</v>
      </c>
      <c r="J440" s="1019" t="s">
        <v>415</v>
      </c>
      <c r="K440" s="1019"/>
      <c r="L440" s="1020"/>
      <c r="M440" s="363"/>
      <c r="N440" s="214"/>
      <c r="O440" s="207"/>
    </row>
    <row r="441" spans="1:21" s="27" customFormat="1" ht="30" customHeight="1" x14ac:dyDescent="0.35">
      <c r="A441" s="545" t="s">
        <v>288</v>
      </c>
      <c r="B441" s="1051" t="s">
        <v>282</v>
      </c>
      <c r="C441" s="1051"/>
      <c r="D441" s="1051"/>
      <c r="E441" s="530" t="s">
        <v>289</v>
      </c>
      <c r="F441" s="561" t="s">
        <v>290</v>
      </c>
      <c r="G441" s="509"/>
      <c r="H441" s="509"/>
      <c r="I441" s="1052" t="s">
        <v>405</v>
      </c>
      <c r="J441" s="1052"/>
      <c r="K441" s="1012" t="s">
        <v>292</v>
      </c>
      <c r="L441" s="1023"/>
      <c r="M441" s="173"/>
      <c r="N441" s="214"/>
      <c r="O441" s="207"/>
    </row>
    <row r="442" spans="1:21" s="27" customFormat="1" ht="30" customHeight="1" x14ac:dyDescent="0.35">
      <c r="A442" s="241">
        <v>14179</v>
      </c>
      <c r="B442" s="1031" t="s">
        <v>416</v>
      </c>
      <c r="C442" s="1031"/>
      <c r="D442" s="1031"/>
      <c r="E442" s="648">
        <v>2600</v>
      </c>
      <c r="F442" s="448">
        <v>131</v>
      </c>
      <c r="G442" s="455"/>
      <c r="H442" s="30"/>
      <c r="I442" s="1015">
        <f>+'2021 MILCON Inflation Table'!F16</f>
        <v>1.0201832129291724</v>
      </c>
      <c r="J442" s="1015"/>
      <c r="K442" s="451">
        <f>+F442*I442</f>
        <v>133.64400089372157</v>
      </c>
      <c r="L442" s="243" t="s">
        <v>8</v>
      </c>
      <c r="M442" s="173"/>
      <c r="N442" s="214"/>
      <c r="O442" s="207"/>
    </row>
    <row r="443" spans="1:21" s="27" customFormat="1" ht="30" customHeight="1" thickBot="1" x14ac:dyDescent="0.4">
      <c r="A443" s="241"/>
      <c r="B443" s="1059"/>
      <c r="C443" s="1059"/>
      <c r="D443" s="1059"/>
      <c r="E443" s="624"/>
      <c r="F443" s="625"/>
      <c r="G443" s="625"/>
      <c r="H443" s="626"/>
      <c r="I443" s="458"/>
      <c r="J443" s="510" t="s">
        <v>2356</v>
      </c>
      <c r="K443" s="459">
        <f>+K442</f>
        <v>133.64400089372157</v>
      </c>
      <c r="L443" s="243" t="s">
        <v>8</v>
      </c>
      <c r="M443" s="363"/>
      <c r="N443" s="214"/>
      <c r="O443" s="207"/>
    </row>
    <row r="444" spans="1:21" s="27" customFormat="1" ht="30" customHeight="1" thickBot="1" x14ac:dyDescent="0.4">
      <c r="A444" s="1086"/>
      <c r="B444" s="1086"/>
      <c r="C444" s="1086"/>
      <c r="D444" s="1086"/>
      <c r="E444" s="1086"/>
      <c r="F444" s="1086"/>
      <c r="G444" s="1086"/>
      <c r="H444" s="1086"/>
      <c r="I444" s="1086"/>
      <c r="J444" s="1086"/>
      <c r="K444" s="1086"/>
      <c r="L444" s="1103"/>
      <c r="M444" s="173"/>
      <c r="N444" s="214"/>
      <c r="O444" s="207"/>
    </row>
    <row r="445" spans="1:21" s="27" customFormat="1" ht="30" customHeight="1" x14ac:dyDescent="0.35">
      <c r="A445" s="465" t="s">
        <v>278</v>
      </c>
      <c r="B445" s="539">
        <v>1461</v>
      </c>
      <c r="C445" s="1017" t="s">
        <v>2512</v>
      </c>
      <c r="D445" s="1017"/>
      <c r="E445" s="541" t="s">
        <v>280</v>
      </c>
      <c r="F445" s="542" t="s">
        <v>10</v>
      </c>
      <c r="G445" s="553" t="s">
        <v>279</v>
      </c>
      <c r="H445" s="555">
        <v>4</v>
      </c>
      <c r="I445" s="541" t="s">
        <v>281</v>
      </c>
      <c r="J445" s="1019" t="s">
        <v>2892</v>
      </c>
      <c r="K445" s="1019"/>
      <c r="L445" s="1020"/>
      <c r="M445" s="364"/>
      <c r="N445" s="214"/>
      <c r="O445" s="207"/>
    </row>
    <row r="446" spans="1:21" s="27" customFormat="1" ht="30" customHeight="1" x14ac:dyDescent="0.35">
      <c r="A446" s="545"/>
      <c r="B446" s="1021" t="s">
        <v>2921</v>
      </c>
      <c r="C446" s="1021"/>
      <c r="D446" s="1021"/>
      <c r="E446" s="509" t="s">
        <v>290</v>
      </c>
      <c r="F446" s="509" t="s">
        <v>322</v>
      </c>
      <c r="G446" s="1034" t="s">
        <v>323</v>
      </c>
      <c r="H446" s="1034"/>
      <c r="I446" s="509" t="s">
        <v>327</v>
      </c>
      <c r="J446" s="509" t="s">
        <v>419</v>
      </c>
      <c r="K446" s="1012" t="s">
        <v>2356</v>
      </c>
      <c r="L446" s="1023"/>
      <c r="M446" s="173"/>
      <c r="N446" s="214"/>
      <c r="O446" s="207"/>
    </row>
    <row r="447" spans="1:21" s="27" customFormat="1" ht="30" customHeight="1" thickBot="1" x14ac:dyDescent="0.4">
      <c r="A447" s="546"/>
      <c r="B447" s="1014">
        <v>1088610.83</v>
      </c>
      <c r="C447" s="1014"/>
      <c r="D447" s="1014"/>
      <c r="E447" s="547"/>
      <c r="F447" s="548" t="s">
        <v>10</v>
      </c>
      <c r="G447" s="1015"/>
      <c r="H447" s="1015"/>
      <c r="I447" s="549"/>
      <c r="J447" s="550">
        <v>1.0202</v>
      </c>
      <c r="K447" s="551">
        <f>B447*J447</f>
        <v>1110600.7687660002</v>
      </c>
      <c r="L447" s="552" t="s">
        <v>8</v>
      </c>
      <c r="M447" s="173"/>
      <c r="N447" s="214"/>
      <c r="O447" s="207"/>
    </row>
    <row r="448" spans="1:21" s="27" customFormat="1" ht="30" customHeight="1" thickBot="1" x14ac:dyDescent="0.4">
      <c r="A448" s="1086"/>
      <c r="B448" s="1086"/>
      <c r="C448" s="1086"/>
      <c r="D448" s="1086"/>
      <c r="E448" s="1086"/>
      <c r="F448" s="1086"/>
      <c r="G448" s="1086"/>
      <c r="H448" s="1086"/>
      <c r="I448" s="1086"/>
      <c r="J448" s="1086"/>
      <c r="K448" s="1086"/>
      <c r="L448" s="1103"/>
      <c r="M448" s="173"/>
      <c r="N448" s="214"/>
      <c r="O448" s="207"/>
    </row>
    <row r="449" spans="1:21" s="27" customFormat="1" ht="30" customHeight="1" x14ac:dyDescent="0.35">
      <c r="A449" s="465" t="s">
        <v>278</v>
      </c>
      <c r="B449" s="539">
        <v>1463</v>
      </c>
      <c r="C449" s="1060" t="s">
        <v>2889</v>
      </c>
      <c r="D449" s="1060"/>
      <c r="E449" s="541" t="s">
        <v>280</v>
      </c>
      <c r="F449" s="542" t="s">
        <v>10</v>
      </c>
      <c r="G449" s="543" t="s">
        <v>285</v>
      </c>
      <c r="H449" s="544">
        <v>1.2</v>
      </c>
      <c r="I449" s="541" t="s">
        <v>281</v>
      </c>
      <c r="J449" s="1019" t="s">
        <v>2890</v>
      </c>
      <c r="K449" s="1019"/>
      <c r="L449" s="1020"/>
      <c r="M449" s="364"/>
      <c r="O449" s="207"/>
      <c r="P449" s="199"/>
    </row>
    <row r="450" spans="1:21" s="27" customFormat="1" ht="30" customHeight="1" x14ac:dyDescent="0.35">
      <c r="A450" s="545"/>
      <c r="B450" s="1021" t="s">
        <v>2921</v>
      </c>
      <c r="C450" s="1021"/>
      <c r="D450" s="1021"/>
      <c r="E450" s="509" t="s">
        <v>290</v>
      </c>
      <c r="F450" s="509" t="s">
        <v>322</v>
      </c>
      <c r="G450" s="1034" t="s">
        <v>323</v>
      </c>
      <c r="H450" s="1034"/>
      <c r="I450" s="509" t="s">
        <v>327</v>
      </c>
      <c r="J450" s="509" t="s">
        <v>419</v>
      </c>
      <c r="K450" s="1012" t="s">
        <v>2356</v>
      </c>
      <c r="L450" s="1023"/>
      <c r="M450" s="173"/>
      <c r="N450" s="214"/>
      <c r="O450" s="207"/>
    </row>
    <row r="451" spans="1:21" s="27" customFormat="1" ht="30" customHeight="1" thickBot="1" x14ac:dyDescent="0.4">
      <c r="A451" s="649"/>
      <c r="B451" s="1024">
        <v>621422.79</v>
      </c>
      <c r="C451" s="1024"/>
      <c r="D451" s="1024"/>
      <c r="E451" s="523"/>
      <c r="F451" s="524"/>
      <c r="G451" s="1255"/>
      <c r="H451" s="1255"/>
      <c r="I451" s="525"/>
      <c r="J451" s="526">
        <v>1.0202</v>
      </c>
      <c r="K451" s="527">
        <f>B451*J451</f>
        <v>633975.53035800008</v>
      </c>
      <c r="L451" s="650" t="s">
        <v>8</v>
      </c>
      <c r="M451" s="173"/>
      <c r="N451" s="214"/>
      <c r="O451" s="207"/>
    </row>
    <row r="452" spans="1:21" s="27" customFormat="1" ht="30" customHeight="1" thickBot="1" x14ac:dyDescent="0.4">
      <c r="A452" s="1139"/>
      <c r="B452" s="1388"/>
      <c r="C452" s="1388"/>
      <c r="D452" s="1388"/>
      <c r="E452" s="1388"/>
      <c r="F452" s="1388"/>
      <c r="G452" s="1388"/>
      <c r="H452" s="1388"/>
      <c r="I452" s="1388"/>
      <c r="J452" s="1388"/>
      <c r="K452" s="1388"/>
      <c r="L452" s="1389"/>
      <c r="M452" s="362"/>
      <c r="N452" s="214"/>
      <c r="O452" s="207"/>
    </row>
    <row r="453" spans="1:21" s="27" customFormat="1" ht="30" customHeight="1" x14ac:dyDescent="0.35">
      <c r="A453" s="467" t="s">
        <v>278</v>
      </c>
      <c r="B453" s="502">
        <v>1464</v>
      </c>
      <c r="C453" s="1049" t="s">
        <v>2583</v>
      </c>
      <c r="D453" s="1049"/>
      <c r="E453" s="396" t="s">
        <v>280</v>
      </c>
      <c r="F453" s="67" t="s">
        <v>10</v>
      </c>
      <c r="G453" s="150" t="s">
        <v>285</v>
      </c>
      <c r="H453" s="151">
        <v>3</v>
      </c>
      <c r="I453" s="396" t="s">
        <v>281</v>
      </c>
      <c r="J453" s="1185" t="s">
        <v>2892</v>
      </c>
      <c r="K453" s="1185"/>
      <c r="L453" s="1186"/>
      <c r="M453" s="364"/>
      <c r="N453" s="214"/>
      <c r="O453" s="207"/>
    </row>
    <row r="454" spans="1:21" ht="30" customHeight="1" x14ac:dyDescent="0.35">
      <c r="A454" s="545"/>
      <c r="B454" s="1021" t="s">
        <v>2921</v>
      </c>
      <c r="C454" s="1021"/>
      <c r="D454" s="1021"/>
      <c r="E454" s="509" t="s">
        <v>290</v>
      </c>
      <c r="F454" s="509" t="s">
        <v>322</v>
      </c>
      <c r="G454" s="1034" t="s">
        <v>323</v>
      </c>
      <c r="H454" s="1034"/>
      <c r="I454" s="509" t="s">
        <v>327</v>
      </c>
      <c r="J454" s="509" t="s">
        <v>419</v>
      </c>
      <c r="K454" s="1012" t="s">
        <v>2356</v>
      </c>
      <c r="L454" s="1023"/>
      <c r="M454" s="173"/>
      <c r="N454" s="57"/>
    </row>
    <row r="455" spans="1:21" ht="30" customHeight="1" thickBot="1" x14ac:dyDescent="0.4">
      <c r="A455" s="546"/>
      <c r="B455" s="1014">
        <v>2663840.44</v>
      </c>
      <c r="C455" s="1014"/>
      <c r="D455" s="1014"/>
      <c r="E455" s="547"/>
      <c r="F455" s="548"/>
      <c r="G455" s="1015"/>
      <c r="H455" s="1015"/>
      <c r="I455" s="549"/>
      <c r="J455" s="550">
        <v>1.0202</v>
      </c>
      <c r="K455" s="551">
        <f>B455*J455</f>
        <v>2717650.0168880001</v>
      </c>
      <c r="L455" s="552" t="s">
        <v>8</v>
      </c>
      <c r="M455" s="173"/>
    </row>
    <row r="456" spans="1:21" ht="30" customHeight="1" thickBot="1" x14ac:dyDescent="0.4">
      <c r="A456" s="1086"/>
      <c r="B456" s="1086"/>
      <c r="C456" s="1086"/>
      <c r="D456" s="1086"/>
      <c r="E456" s="1086"/>
      <c r="F456" s="1086"/>
      <c r="G456" s="1086"/>
      <c r="H456" s="1086"/>
      <c r="I456" s="1086"/>
      <c r="J456" s="1086"/>
      <c r="K456" s="1086"/>
      <c r="L456" s="1103"/>
      <c r="M456" s="173"/>
      <c r="P456" s="171"/>
      <c r="Q456" s="171"/>
      <c r="R456" s="171"/>
      <c r="S456" s="51"/>
      <c r="T456" s="51"/>
      <c r="U456" s="171"/>
    </row>
    <row r="457" spans="1:21" s="208" customFormat="1" ht="30" customHeight="1" x14ac:dyDescent="0.35">
      <c r="A457" s="465" t="s">
        <v>278</v>
      </c>
      <c r="B457" s="539">
        <v>1465</v>
      </c>
      <c r="C457" s="1017" t="s">
        <v>2788</v>
      </c>
      <c r="D457" s="1017"/>
      <c r="E457" s="541" t="s">
        <v>280</v>
      </c>
      <c r="F457" s="542" t="s">
        <v>8</v>
      </c>
      <c r="G457" s="543" t="s">
        <v>285</v>
      </c>
      <c r="H457" s="555">
        <v>7715</v>
      </c>
      <c r="I457" s="541" t="s">
        <v>281</v>
      </c>
      <c r="J457" s="1019" t="s">
        <v>2899</v>
      </c>
      <c r="K457" s="1019"/>
      <c r="L457" s="1020"/>
      <c r="M457" s="364"/>
      <c r="O457" s="205"/>
      <c r="P457" s="75"/>
      <c r="Q457" s="75"/>
      <c r="R457" s="75"/>
      <c r="S457" s="213"/>
      <c r="T457" s="213"/>
      <c r="U457" s="75"/>
    </row>
    <row r="458" spans="1:21" ht="30" customHeight="1" x14ac:dyDescent="0.35">
      <c r="A458" s="545"/>
      <c r="B458" s="1021" t="s">
        <v>2921</v>
      </c>
      <c r="C458" s="1021"/>
      <c r="D458" s="1021"/>
      <c r="E458" s="509" t="s">
        <v>290</v>
      </c>
      <c r="F458" s="509" t="s">
        <v>322</v>
      </c>
      <c r="G458" s="1034" t="s">
        <v>323</v>
      </c>
      <c r="H458" s="1034"/>
      <c r="I458" s="509" t="s">
        <v>327</v>
      </c>
      <c r="J458" s="509" t="s">
        <v>419</v>
      </c>
      <c r="K458" s="1012" t="s">
        <v>2356</v>
      </c>
      <c r="L458" s="1023"/>
      <c r="M458" s="173"/>
      <c r="N458" s="68"/>
      <c r="O458" s="203"/>
      <c r="P458" s="218"/>
      <c r="Q458" s="68"/>
      <c r="R458" s="217"/>
    </row>
    <row r="459" spans="1:21" ht="30" customHeight="1" thickBot="1" x14ac:dyDescent="0.4">
      <c r="A459" s="649"/>
      <c r="B459" s="1024">
        <v>456.77</v>
      </c>
      <c r="C459" s="1024"/>
      <c r="D459" s="1024"/>
      <c r="E459" s="523"/>
      <c r="F459" s="524"/>
      <c r="G459" s="1255"/>
      <c r="H459" s="1255"/>
      <c r="I459" s="525"/>
      <c r="J459" s="526">
        <v>1.0202</v>
      </c>
      <c r="K459" s="527">
        <f>B459*J459</f>
        <v>465.99675399999995</v>
      </c>
      <c r="L459" s="650" t="s">
        <v>8</v>
      </c>
      <c r="M459" s="173"/>
      <c r="P459" s="171"/>
      <c r="Q459" s="171"/>
      <c r="R459" s="171"/>
      <c r="S459" s="51"/>
      <c r="T459" s="51"/>
      <c r="U459" s="171"/>
    </row>
    <row r="460" spans="1:21" ht="30" customHeight="1" thickBot="1" x14ac:dyDescent="0.4">
      <c r="A460" s="1256"/>
      <c r="B460" s="1257"/>
      <c r="C460" s="1257"/>
      <c r="D460" s="1257"/>
      <c r="E460" s="1257"/>
      <c r="F460" s="1257"/>
      <c r="G460" s="1257"/>
      <c r="H460" s="1257"/>
      <c r="I460" s="1257"/>
      <c r="J460" s="1257"/>
      <c r="K460" s="1257"/>
      <c r="L460" s="1258"/>
      <c r="M460" s="173"/>
    </row>
    <row r="461" spans="1:21" ht="30" customHeight="1" x14ac:dyDescent="0.35">
      <c r="A461" s="467" t="s">
        <v>278</v>
      </c>
      <c r="B461" s="502">
        <v>1466</v>
      </c>
      <c r="C461" s="1049" t="s">
        <v>417</v>
      </c>
      <c r="D461" s="1049"/>
      <c r="E461" s="396" t="s">
        <v>280</v>
      </c>
      <c r="F461" s="67" t="s">
        <v>8</v>
      </c>
      <c r="G461" s="397" t="s">
        <v>285</v>
      </c>
      <c r="H461" s="151">
        <v>14215</v>
      </c>
      <c r="I461" s="396" t="s">
        <v>281</v>
      </c>
      <c r="J461" s="1185" t="s">
        <v>418</v>
      </c>
      <c r="K461" s="1185"/>
      <c r="L461" s="1186"/>
      <c r="M461" s="363"/>
      <c r="P461" s="171"/>
      <c r="Q461" s="171"/>
      <c r="R461" s="171"/>
      <c r="S461" s="51"/>
      <c r="T461" s="51"/>
      <c r="U461" s="171"/>
    </row>
    <row r="462" spans="1:21" s="208" customFormat="1" ht="30" customHeight="1" x14ac:dyDescent="0.35">
      <c r="A462" s="545"/>
      <c r="B462" s="1051" t="s">
        <v>282</v>
      </c>
      <c r="C462" s="1051"/>
      <c r="D462" s="1051"/>
      <c r="E462" s="509" t="s">
        <v>290</v>
      </c>
      <c r="F462" s="509" t="s">
        <v>322</v>
      </c>
      <c r="G462" s="1034" t="s">
        <v>323</v>
      </c>
      <c r="H462" s="1034"/>
      <c r="I462" s="509" t="s">
        <v>327</v>
      </c>
      <c r="J462" s="509" t="s">
        <v>419</v>
      </c>
      <c r="K462" s="1012" t="s">
        <v>292</v>
      </c>
      <c r="L462" s="1023"/>
      <c r="M462" s="173"/>
      <c r="O462" s="205"/>
      <c r="P462" s="75"/>
      <c r="Q462" s="75"/>
      <c r="R462" s="75"/>
      <c r="S462" s="213"/>
      <c r="T462" s="213"/>
      <c r="U462" s="75"/>
    </row>
    <row r="463" spans="1:21" ht="30" customHeight="1" x14ac:dyDescent="0.35">
      <c r="A463" s="546" t="s">
        <v>420</v>
      </c>
      <c r="B463" s="1059" t="s">
        <v>421</v>
      </c>
      <c r="C463" s="1059"/>
      <c r="D463" s="1059"/>
      <c r="E463" s="547">
        <v>6943</v>
      </c>
      <c r="F463" s="548" t="s">
        <v>422</v>
      </c>
      <c r="G463" s="1015">
        <f>1/10.76391</f>
        <v>9.2903043596611279E-2</v>
      </c>
      <c r="H463" s="1015"/>
      <c r="I463" s="549">
        <v>2.35</v>
      </c>
      <c r="J463" s="550">
        <f>+'2021 MILCON Inflation Table'!F13</f>
        <v>1.1643998639918394</v>
      </c>
      <c r="K463" s="551">
        <f>E463*G463/I463*J463</f>
        <v>319.60340029469796</v>
      </c>
      <c r="L463" s="552" t="s">
        <v>8</v>
      </c>
      <c r="M463" s="173"/>
      <c r="N463" s="220"/>
      <c r="P463" s="171"/>
      <c r="Q463" s="171"/>
      <c r="R463" s="171"/>
      <c r="S463" s="51"/>
      <c r="T463" s="51"/>
      <c r="U463" s="171"/>
    </row>
    <row r="464" spans="1:21" ht="30" customHeight="1" x14ac:dyDescent="0.35">
      <c r="A464" s="241"/>
      <c r="B464" s="1082" t="s">
        <v>423</v>
      </c>
      <c r="C464" s="1082"/>
      <c r="D464" s="1082"/>
      <c r="E464" s="605"/>
      <c r="F464" s="605"/>
      <c r="G464" s="605"/>
      <c r="H464" s="605"/>
      <c r="I464" s="606"/>
      <c r="J464" s="510" t="s">
        <v>2356</v>
      </c>
      <c r="K464" s="451">
        <f>+K463</f>
        <v>319.60340029469796</v>
      </c>
      <c r="L464" s="243" t="s">
        <v>8</v>
      </c>
      <c r="M464" s="363"/>
      <c r="N464" s="13"/>
      <c r="P464" s="171"/>
      <c r="Q464" s="171"/>
      <c r="R464" s="171"/>
      <c r="S464" s="51"/>
      <c r="T464" s="51"/>
      <c r="U464" s="171"/>
    </row>
    <row r="465" spans="1:21" ht="30" customHeight="1" thickBot="1" x14ac:dyDescent="0.4">
      <c r="A465" s="1162" t="s">
        <v>2840</v>
      </c>
      <c r="B465" s="1068"/>
      <c r="C465" s="1068"/>
      <c r="D465" s="1068"/>
      <c r="E465" s="1068"/>
      <c r="F465" s="1068"/>
      <c r="G465" s="1068"/>
      <c r="H465" s="1068"/>
      <c r="I465" s="1068"/>
      <c r="J465" s="651"/>
      <c r="K465" s="651"/>
      <c r="L465" s="652"/>
      <c r="M465" s="173"/>
      <c r="N465" s="13"/>
    </row>
    <row r="466" spans="1:21" ht="30" customHeight="1" thickBot="1" x14ac:dyDescent="0.4">
      <c r="A466" s="1086"/>
      <c r="B466" s="1086"/>
      <c r="C466" s="1086"/>
      <c r="D466" s="1086"/>
      <c r="E466" s="1086"/>
      <c r="F466" s="1086"/>
      <c r="G466" s="1086"/>
      <c r="H466" s="1086"/>
      <c r="I466" s="1086"/>
      <c r="J466" s="1086"/>
      <c r="K466" s="1086"/>
      <c r="L466" s="1103"/>
      <c r="M466" s="173"/>
      <c r="N466" s="13"/>
    </row>
    <row r="467" spans="1:21" ht="30" customHeight="1" x14ac:dyDescent="0.35">
      <c r="A467" s="465" t="s">
        <v>278</v>
      </c>
      <c r="B467" s="539">
        <v>1467</v>
      </c>
      <c r="C467" s="1060" t="s">
        <v>424</v>
      </c>
      <c r="D467" s="1060"/>
      <c r="E467" s="541" t="s">
        <v>280</v>
      </c>
      <c r="F467" s="542" t="s">
        <v>10</v>
      </c>
      <c r="G467" s="543" t="s">
        <v>285</v>
      </c>
      <c r="H467" s="555">
        <v>2</v>
      </c>
      <c r="I467" s="541" t="s">
        <v>281</v>
      </c>
      <c r="J467" s="1019" t="s">
        <v>2168</v>
      </c>
      <c r="K467" s="1019"/>
      <c r="L467" s="1020"/>
      <c r="M467" s="363"/>
      <c r="N467" s="13"/>
      <c r="P467" s="171"/>
      <c r="Q467" s="171"/>
      <c r="R467" s="171"/>
      <c r="S467" s="51"/>
      <c r="T467" s="51"/>
      <c r="U467" s="171"/>
    </row>
    <row r="468" spans="1:21" s="208" customFormat="1" ht="30" customHeight="1" x14ac:dyDescent="0.35">
      <c r="A468" s="545" t="s">
        <v>288</v>
      </c>
      <c r="B468" s="1051" t="s">
        <v>282</v>
      </c>
      <c r="C468" s="1051"/>
      <c r="D468" s="1051"/>
      <c r="E468" s="509" t="s">
        <v>290</v>
      </c>
      <c r="F468" s="509" t="s">
        <v>322</v>
      </c>
      <c r="G468" s="1034" t="s">
        <v>323</v>
      </c>
      <c r="H468" s="1034"/>
      <c r="I468" s="1052" t="s">
        <v>425</v>
      </c>
      <c r="J468" s="1052"/>
      <c r="K468" s="595" t="s">
        <v>426</v>
      </c>
      <c r="L468" s="116"/>
      <c r="M468" s="173"/>
      <c r="O468" s="205"/>
      <c r="P468" s="75"/>
      <c r="Q468" s="75"/>
      <c r="R468" s="75"/>
      <c r="S468" s="213"/>
      <c r="T468" s="213"/>
      <c r="U468" s="75"/>
    </row>
    <row r="469" spans="1:21" s="208" customFormat="1" ht="30" customHeight="1" x14ac:dyDescent="0.35">
      <c r="A469" s="575">
        <v>14915</v>
      </c>
      <c r="B469" s="1059" t="s">
        <v>427</v>
      </c>
      <c r="C469" s="1059"/>
      <c r="D469" s="1059"/>
      <c r="E469" s="653">
        <f>+K4737</f>
        <v>27243.470624999998</v>
      </c>
      <c r="F469" s="548" t="s">
        <v>10</v>
      </c>
      <c r="G469" s="654"/>
      <c r="H469" s="655"/>
      <c r="I469" s="1015">
        <f>42/45</f>
        <v>0.93333333333333335</v>
      </c>
      <c r="J469" s="1015"/>
      <c r="K469" s="547">
        <f>+E469*I469</f>
        <v>25427.239249999999</v>
      </c>
      <c r="L469" s="243" t="s">
        <v>10</v>
      </c>
      <c r="M469" s="173"/>
      <c r="O469" s="205"/>
      <c r="P469" s="75"/>
      <c r="Q469" s="75"/>
      <c r="R469" s="75"/>
      <c r="S469" s="213"/>
      <c r="T469" s="213"/>
      <c r="U469" s="75"/>
    </row>
    <row r="470" spans="1:21" ht="30" customHeight="1" x14ac:dyDescent="0.35">
      <c r="A470" s="241">
        <v>14985</v>
      </c>
      <c r="B470" s="1059" t="s">
        <v>429</v>
      </c>
      <c r="C470" s="1059"/>
      <c r="D470" s="1059"/>
      <c r="E470" s="448">
        <f>+K223</f>
        <v>10314.737583333334</v>
      </c>
      <c r="F470" s="446" t="s">
        <v>10</v>
      </c>
      <c r="G470" s="639"/>
      <c r="H470" s="656"/>
      <c r="I470" s="1062">
        <f>3/45</f>
        <v>6.6666666666666666E-2</v>
      </c>
      <c r="J470" s="1062"/>
      <c r="K470" s="451">
        <f>+E470*I470</f>
        <v>687.64917222222221</v>
      </c>
      <c r="L470" s="243" t="s">
        <v>10</v>
      </c>
      <c r="M470" s="173"/>
      <c r="N470" s="220"/>
      <c r="P470" s="171"/>
      <c r="Q470" s="171"/>
      <c r="R470" s="171"/>
      <c r="S470" s="51"/>
      <c r="T470" s="51"/>
      <c r="U470" s="171"/>
    </row>
    <row r="471" spans="1:21" s="208" customFormat="1" ht="30" customHeight="1" x14ac:dyDescent="0.35">
      <c r="A471" s="562"/>
      <c r="B471" s="508"/>
      <c r="C471" s="508"/>
      <c r="D471" s="508"/>
      <c r="E471" s="591"/>
      <c r="F471" s="434"/>
      <c r="G471" s="541"/>
      <c r="H471" s="657"/>
      <c r="I471" s="658"/>
      <c r="J471" s="659" t="s">
        <v>430</v>
      </c>
      <c r="K471" s="459">
        <f>SUM(K469:K470)</f>
        <v>26114.888422222222</v>
      </c>
      <c r="L471" s="243" t="s">
        <v>10</v>
      </c>
      <c r="M471" s="173"/>
    </row>
    <row r="472" spans="1:21" s="208" customFormat="1" ht="30" customHeight="1" x14ac:dyDescent="0.35">
      <c r="A472" s="562"/>
      <c r="B472" s="508"/>
      <c r="C472" s="508"/>
      <c r="D472" s="508"/>
      <c r="E472" s="458"/>
      <c r="F472" s="434"/>
      <c r="G472" s="1260" t="s">
        <v>2307</v>
      </c>
      <c r="H472" s="1260"/>
      <c r="I472" s="1260"/>
      <c r="J472" s="660" t="s">
        <v>2356</v>
      </c>
      <c r="K472" s="661">
        <f>+K471</f>
        <v>26114.888422222222</v>
      </c>
      <c r="L472" s="243" t="s">
        <v>10</v>
      </c>
      <c r="M472" s="173"/>
    </row>
    <row r="473" spans="1:21" ht="105" customHeight="1" thickBot="1" x14ac:dyDescent="0.4">
      <c r="A473" s="1192" t="s">
        <v>3055</v>
      </c>
      <c r="B473" s="1193"/>
      <c r="C473" s="1193"/>
      <c r="D473" s="1193"/>
      <c r="E473" s="1193"/>
      <c r="F473" s="1193"/>
      <c r="G473" s="1193"/>
      <c r="H473" s="1193"/>
      <c r="I473" s="1193"/>
      <c r="J473" s="1193"/>
      <c r="K473" s="1193"/>
      <c r="L473" s="1194"/>
      <c r="M473" s="173"/>
      <c r="O473" s="203"/>
    </row>
    <row r="474" spans="1:21" ht="30" customHeight="1" thickBot="1" x14ac:dyDescent="0.4">
      <c r="A474" s="1253"/>
      <c r="B474" s="1253"/>
      <c r="C474" s="1253"/>
      <c r="D474" s="1253"/>
      <c r="E474" s="1253"/>
      <c r="F474" s="1253"/>
      <c r="G474" s="1253"/>
      <c r="H474" s="1253"/>
      <c r="I474" s="1253"/>
      <c r="J474" s="1253"/>
      <c r="K474" s="1253"/>
      <c r="L474" s="1254"/>
      <c r="M474" s="173"/>
      <c r="O474" s="203"/>
    </row>
    <row r="475" spans="1:21" ht="30" customHeight="1" thickBot="1" x14ac:dyDescent="0.4">
      <c r="A475" s="465" t="s">
        <v>278</v>
      </c>
      <c r="B475" s="539">
        <v>1481</v>
      </c>
      <c r="C475" s="1252" t="s">
        <v>2642</v>
      </c>
      <c r="D475" s="1252"/>
      <c r="E475" s="541" t="s">
        <v>280</v>
      </c>
      <c r="F475" s="542" t="s">
        <v>10</v>
      </c>
      <c r="G475" s="560" t="s">
        <v>432</v>
      </c>
      <c r="H475" s="662" t="s">
        <v>433</v>
      </c>
      <c r="I475" s="541" t="s">
        <v>281</v>
      </c>
      <c r="J475" s="1195" t="s">
        <v>2914</v>
      </c>
      <c r="K475" s="1195"/>
      <c r="L475" s="1196"/>
      <c r="M475" s="364"/>
      <c r="O475" s="203"/>
    </row>
    <row r="476" spans="1:21" ht="30" customHeight="1" x14ac:dyDescent="0.35">
      <c r="A476" s="545"/>
      <c r="B476" s="1021" t="s">
        <v>2921</v>
      </c>
      <c r="C476" s="1021"/>
      <c r="D476" s="1021"/>
      <c r="E476" s="509" t="s">
        <v>290</v>
      </c>
      <c r="F476" s="509" t="s">
        <v>322</v>
      </c>
      <c r="G476" s="1034" t="s">
        <v>323</v>
      </c>
      <c r="H476" s="1034"/>
      <c r="I476" s="509" t="s">
        <v>327</v>
      </c>
      <c r="J476" s="509" t="s">
        <v>419</v>
      </c>
      <c r="K476" s="1012" t="s">
        <v>2356</v>
      </c>
      <c r="L476" s="1023"/>
      <c r="M476" s="173"/>
      <c r="O476" s="203"/>
    </row>
    <row r="477" spans="1:21" ht="30" customHeight="1" thickBot="1" x14ac:dyDescent="0.4">
      <c r="A477" s="546"/>
      <c r="B477" s="1014">
        <v>183141.08</v>
      </c>
      <c r="C477" s="1014"/>
      <c r="D477" s="1014"/>
      <c r="E477" s="547"/>
      <c r="F477" s="548"/>
      <c r="G477" s="1015"/>
      <c r="H477" s="1015"/>
      <c r="I477" s="549"/>
      <c r="J477" s="550">
        <v>1.0202</v>
      </c>
      <c r="K477" s="551">
        <f>B477*J477</f>
        <v>186840.52981599999</v>
      </c>
      <c r="L477" s="552" t="s">
        <v>8</v>
      </c>
      <c r="M477" s="173"/>
      <c r="O477" s="203"/>
    </row>
    <row r="478" spans="1:21" ht="30" customHeight="1" thickBot="1" x14ac:dyDescent="0.4">
      <c r="A478" s="1086"/>
      <c r="B478" s="1086"/>
      <c r="C478" s="1086"/>
      <c r="D478" s="1086"/>
      <c r="E478" s="1086"/>
      <c r="F478" s="1086"/>
      <c r="G478" s="1086"/>
      <c r="H478" s="1086"/>
      <c r="I478" s="1086"/>
      <c r="J478" s="1086"/>
      <c r="K478" s="1086"/>
      <c r="L478" s="1103"/>
      <c r="M478" s="173"/>
      <c r="N478" s="171"/>
      <c r="O478" s="203"/>
    </row>
    <row r="479" spans="1:21" ht="30" customHeight="1" x14ac:dyDescent="0.35">
      <c r="A479" s="465" t="s">
        <v>278</v>
      </c>
      <c r="B479" s="539">
        <v>1491</v>
      </c>
      <c r="C479" s="1252" t="s">
        <v>2641</v>
      </c>
      <c r="D479" s="1252"/>
      <c r="E479" s="541" t="s">
        <v>280</v>
      </c>
      <c r="F479" s="542" t="s">
        <v>10</v>
      </c>
      <c r="G479" s="560" t="s">
        <v>432</v>
      </c>
      <c r="H479" s="662" t="s">
        <v>433</v>
      </c>
      <c r="I479" s="541" t="s">
        <v>281</v>
      </c>
      <c r="J479" s="1019" t="s">
        <v>2719</v>
      </c>
      <c r="K479" s="1019"/>
      <c r="L479" s="1020"/>
      <c r="M479" s="173"/>
      <c r="N479" s="171"/>
      <c r="O479" s="203"/>
    </row>
    <row r="480" spans="1:21" ht="30" customHeight="1" x14ac:dyDescent="0.35">
      <c r="A480" s="588" t="s">
        <v>298</v>
      </c>
      <c r="B480" s="1038" t="s">
        <v>321</v>
      </c>
      <c r="C480" s="1038"/>
      <c r="D480" s="1038"/>
      <c r="E480" s="23" t="s">
        <v>290</v>
      </c>
      <c r="F480" s="23" t="s">
        <v>322</v>
      </c>
      <c r="G480" s="1034" t="s">
        <v>323</v>
      </c>
      <c r="H480" s="1034"/>
      <c r="I480" s="201" t="s">
        <v>299</v>
      </c>
      <c r="J480" s="201"/>
      <c r="K480" s="1012" t="s">
        <v>292</v>
      </c>
      <c r="L480" s="1023"/>
      <c r="M480" s="173"/>
      <c r="O480" s="203"/>
    </row>
    <row r="481" spans="1:21" ht="30" customHeight="1" x14ac:dyDescent="0.35">
      <c r="A481" s="241" t="s">
        <v>434</v>
      </c>
      <c r="B481" s="1082" t="s">
        <v>2887</v>
      </c>
      <c r="C481" s="1082"/>
      <c r="D481" s="1082"/>
      <c r="E481" s="453">
        <f>164-2.51</f>
        <v>161.49</v>
      </c>
      <c r="F481" s="446" t="s">
        <v>8</v>
      </c>
      <c r="G481" s="663">
        <v>5000</v>
      </c>
      <c r="H481" s="571" t="s">
        <v>325</v>
      </c>
      <c r="I481" s="446">
        <v>1.01</v>
      </c>
      <c r="J481" s="446"/>
      <c r="K481" s="453">
        <f>+E481*G481*I481</f>
        <v>815524.5</v>
      </c>
      <c r="L481" s="243" t="s">
        <v>10</v>
      </c>
      <c r="M481" s="173"/>
      <c r="N481" s="426"/>
      <c r="O481" s="203"/>
    </row>
    <row r="482" spans="1:21" ht="30" customHeight="1" x14ac:dyDescent="0.35">
      <c r="A482" s="241" t="s">
        <v>436</v>
      </c>
      <c r="B482" s="1031" t="s">
        <v>2888</v>
      </c>
      <c r="C482" s="1031"/>
      <c r="D482" s="1031"/>
      <c r="E482" s="453">
        <v>93000</v>
      </c>
      <c r="F482" s="446" t="s">
        <v>10</v>
      </c>
      <c r="G482" s="589"/>
      <c r="H482" s="571"/>
      <c r="I482" s="446">
        <v>1.02</v>
      </c>
      <c r="J482" s="446"/>
      <c r="K482" s="453">
        <f>+E482*I482</f>
        <v>94860</v>
      </c>
      <c r="L482" s="243" t="s">
        <v>10</v>
      </c>
      <c r="M482" s="173"/>
      <c r="O482" s="203"/>
    </row>
    <row r="483" spans="1:21" ht="30" customHeight="1" x14ac:dyDescent="0.35">
      <c r="A483" s="241" t="s">
        <v>436</v>
      </c>
      <c r="B483" s="1082" t="s">
        <v>437</v>
      </c>
      <c r="C483" s="1082"/>
      <c r="D483" s="1082"/>
      <c r="E483" s="453">
        <f>(23.75+47.75)/2</f>
        <v>35.75</v>
      </c>
      <c r="F483" s="446" t="s">
        <v>6</v>
      </c>
      <c r="G483" s="589">
        <v>100</v>
      </c>
      <c r="H483" s="571" t="s">
        <v>428</v>
      </c>
      <c r="I483" s="446">
        <v>1.02</v>
      </c>
      <c r="J483" s="446"/>
      <c r="K483" s="453">
        <f>E483*G483*I483</f>
        <v>3646.5</v>
      </c>
      <c r="L483" s="243"/>
      <c r="M483" s="173"/>
      <c r="O483" s="203"/>
    </row>
    <row r="484" spans="1:21" ht="30" customHeight="1" x14ac:dyDescent="0.35">
      <c r="A484" s="241" t="s">
        <v>360</v>
      </c>
      <c r="B484" s="1031" t="s">
        <v>438</v>
      </c>
      <c r="C484" s="1031"/>
      <c r="D484" s="1031"/>
      <c r="E484" s="453">
        <v>4.9000000000000004</v>
      </c>
      <c r="F484" s="446" t="s">
        <v>8</v>
      </c>
      <c r="G484" s="664">
        <v>5000</v>
      </c>
      <c r="H484" s="571" t="s">
        <v>325</v>
      </c>
      <c r="I484" s="446">
        <v>1.01</v>
      </c>
      <c r="J484" s="446"/>
      <c r="K484" s="453">
        <f>+E484*G484*I484</f>
        <v>24745</v>
      </c>
      <c r="L484" s="243" t="s">
        <v>10</v>
      </c>
      <c r="M484" s="173"/>
      <c r="N484" s="419"/>
      <c r="O484" s="171"/>
      <c r="P484" s="216"/>
      <c r="Q484" s="419"/>
      <c r="R484" s="219"/>
    </row>
    <row r="485" spans="1:21" ht="30" customHeight="1" x14ac:dyDescent="0.35">
      <c r="A485" s="241"/>
      <c r="B485" s="171"/>
      <c r="C485" s="171"/>
      <c r="D485" s="171"/>
      <c r="E485" s="453"/>
      <c r="F485" s="446"/>
      <c r="G485" s="446"/>
      <c r="H485" s="446"/>
      <c r="I485" s="446"/>
      <c r="J485" s="446" t="s">
        <v>362</v>
      </c>
      <c r="K485" s="453">
        <f>SUM(K481:K484)</f>
        <v>938776</v>
      </c>
      <c r="L485" s="243" t="s">
        <v>10</v>
      </c>
      <c r="M485" s="173"/>
      <c r="N485" s="419"/>
      <c r="O485" s="171"/>
      <c r="P485" s="216"/>
      <c r="Q485" s="419"/>
      <c r="R485" s="219"/>
    </row>
    <row r="486" spans="1:21" ht="30" customHeight="1" x14ac:dyDescent="0.35">
      <c r="A486" s="241"/>
      <c r="B486" s="1171"/>
      <c r="C486" s="1171"/>
      <c r="D486" s="1171"/>
      <c r="E486" s="453"/>
      <c r="F486" s="1029" t="s">
        <v>302</v>
      </c>
      <c r="G486" s="1058" t="s">
        <v>303</v>
      </c>
      <c r="H486" s="1058"/>
      <c r="I486" s="1058"/>
      <c r="J486" s="1058"/>
      <c r="K486" s="612">
        <v>1.08</v>
      </c>
      <c r="L486" s="243"/>
      <c r="M486" s="173"/>
      <c r="N486" s="63"/>
      <c r="O486" s="171"/>
      <c r="P486" s="216"/>
      <c r="Q486" s="419"/>
      <c r="R486" s="219"/>
    </row>
    <row r="487" spans="1:21" ht="30" customHeight="1" x14ac:dyDescent="0.35">
      <c r="A487" s="241"/>
      <c r="B487" s="1259" t="s">
        <v>2886</v>
      </c>
      <c r="C487" s="1259"/>
      <c r="D487" s="1259"/>
      <c r="E487" s="453"/>
      <c r="F487" s="1029"/>
      <c r="G487" s="1073" t="s">
        <v>2374</v>
      </c>
      <c r="H487" s="1073"/>
      <c r="I487" s="1073"/>
      <c r="J487" s="1073"/>
      <c r="K487" s="573">
        <v>1.08</v>
      </c>
      <c r="L487" s="243"/>
      <c r="M487" s="173"/>
      <c r="N487" s="13"/>
      <c r="O487" s="171"/>
      <c r="P487" s="216"/>
      <c r="Q487" s="419"/>
      <c r="R487" s="219"/>
    </row>
    <row r="488" spans="1:21" ht="30" customHeight="1" x14ac:dyDescent="0.35">
      <c r="A488" s="241"/>
      <c r="B488" s="446"/>
      <c r="C488" s="458"/>
      <c r="D488" s="458"/>
      <c r="E488" s="458"/>
      <c r="F488" s="458"/>
      <c r="G488" s="458"/>
      <c r="H488" s="458"/>
      <c r="I488" s="458"/>
      <c r="J488" s="458" t="s">
        <v>2356</v>
      </c>
      <c r="K488" s="591">
        <f>+K485*K486/K487</f>
        <v>938776</v>
      </c>
      <c r="L488" s="243" t="s">
        <v>10</v>
      </c>
      <c r="M488" s="173"/>
      <c r="N488" s="13"/>
      <c r="O488" s="171"/>
      <c r="P488" s="216"/>
      <c r="Q488" s="419"/>
      <c r="R488" s="219"/>
    </row>
    <row r="489" spans="1:21" ht="30" customHeight="1" thickBot="1" x14ac:dyDescent="0.4">
      <c r="A489" s="241"/>
      <c r="B489" s="446"/>
      <c r="C489" s="458"/>
      <c r="D489" s="458"/>
      <c r="E489" s="458"/>
      <c r="F489" s="458"/>
      <c r="G489" s="592" t="s">
        <v>2358</v>
      </c>
      <c r="H489" s="458"/>
      <c r="I489" s="458"/>
      <c r="J489" s="583">
        <f>VLOOKUP(B479,'Mil Cost Premiums for PUCs'!$A$4:$R$272,18,FALSE)</f>
        <v>1.2281354183505979</v>
      </c>
      <c r="K489" s="591">
        <f>+K488*J489</f>
        <v>1152944.0554975008</v>
      </c>
      <c r="L489" s="243" t="s">
        <v>10</v>
      </c>
      <c r="M489" s="173"/>
      <c r="N489" s="13"/>
      <c r="O489" s="171"/>
      <c r="P489" s="216"/>
      <c r="Q489" s="419"/>
      <c r="R489" s="219"/>
    </row>
    <row r="490" spans="1:21" ht="30" customHeight="1" thickBot="1" x14ac:dyDescent="0.4">
      <c r="A490" s="1086"/>
      <c r="B490" s="1086"/>
      <c r="C490" s="1086"/>
      <c r="D490" s="1086"/>
      <c r="E490" s="1086"/>
      <c r="F490" s="1086"/>
      <c r="G490" s="1086"/>
      <c r="H490" s="1086"/>
      <c r="I490" s="1086"/>
      <c r="J490" s="1086"/>
      <c r="K490" s="1086"/>
      <c r="L490" s="1103"/>
      <c r="M490" s="173"/>
      <c r="N490" s="13"/>
      <c r="O490" s="171"/>
      <c r="P490" s="216"/>
      <c r="Q490" s="419"/>
      <c r="R490" s="219"/>
    </row>
    <row r="491" spans="1:21" ht="30" customHeight="1" x14ac:dyDescent="0.35">
      <c r="A491" s="465" t="s">
        <v>278</v>
      </c>
      <c r="B491" s="539">
        <v>1493</v>
      </c>
      <c r="C491" s="1017" t="s">
        <v>441</v>
      </c>
      <c r="D491" s="1017"/>
      <c r="E491" s="541" t="s">
        <v>280</v>
      </c>
      <c r="F491" s="542" t="s">
        <v>10</v>
      </c>
      <c r="G491" s="560" t="s">
        <v>279</v>
      </c>
      <c r="H491" s="587">
        <v>1</v>
      </c>
      <c r="I491" s="541" t="s">
        <v>281</v>
      </c>
      <c r="J491" s="1019" t="s">
        <v>2719</v>
      </c>
      <c r="K491" s="1019"/>
      <c r="L491" s="1020"/>
      <c r="M491" s="173"/>
      <c r="N491" s="13"/>
      <c r="O491" s="171"/>
      <c r="P491" s="216"/>
      <c r="Q491" s="419"/>
      <c r="R491" s="219"/>
    </row>
    <row r="492" spans="1:21" ht="30" customHeight="1" x14ac:dyDescent="0.35">
      <c r="A492" s="588" t="s">
        <v>298</v>
      </c>
      <c r="B492" s="1038" t="s">
        <v>321</v>
      </c>
      <c r="C492" s="1038"/>
      <c r="D492" s="1038"/>
      <c r="E492" s="23" t="s">
        <v>290</v>
      </c>
      <c r="F492" s="23" t="s">
        <v>322</v>
      </c>
      <c r="G492" s="1034" t="s">
        <v>323</v>
      </c>
      <c r="H492" s="1034"/>
      <c r="I492" s="201" t="s">
        <v>299</v>
      </c>
      <c r="J492" s="201"/>
      <c r="K492" s="1012" t="s">
        <v>292</v>
      </c>
      <c r="L492" s="1023"/>
      <c r="M492" s="173"/>
      <c r="P492" s="171"/>
      <c r="Q492" s="171"/>
      <c r="R492" s="171"/>
      <c r="S492" s="51"/>
      <c r="T492" s="51"/>
      <c r="U492" s="171"/>
    </row>
    <row r="493" spans="1:21" s="27" customFormat="1" ht="30" customHeight="1" x14ac:dyDescent="0.35">
      <c r="A493" s="241" t="s">
        <v>446</v>
      </c>
      <c r="B493" s="1082" t="s">
        <v>447</v>
      </c>
      <c r="C493" s="1082"/>
      <c r="D493" s="1082"/>
      <c r="E493" s="453">
        <v>21.55</v>
      </c>
      <c r="F493" s="446" t="s">
        <v>8</v>
      </c>
      <c r="G493" s="663">
        <v>1250</v>
      </c>
      <c r="H493" s="571" t="s">
        <v>448</v>
      </c>
      <c r="I493" s="665">
        <v>1.03</v>
      </c>
      <c r="J493" s="446"/>
      <c r="K493" s="453">
        <f>+E493*I493*G493*4</f>
        <v>110982.5</v>
      </c>
      <c r="L493" s="243" t="s">
        <v>10</v>
      </c>
      <c r="M493" s="173"/>
      <c r="O493" s="207"/>
    </row>
    <row r="494" spans="1:21" s="208" customFormat="1" ht="30" customHeight="1" x14ac:dyDescent="0.35">
      <c r="A494" s="241" t="s">
        <v>442</v>
      </c>
      <c r="B494" s="1031" t="s">
        <v>443</v>
      </c>
      <c r="C494" s="1031"/>
      <c r="D494" s="1031"/>
      <c r="E494" s="453">
        <f>+(151+180)/2</f>
        <v>165.5</v>
      </c>
      <c r="F494" s="446" t="s">
        <v>6</v>
      </c>
      <c r="G494" s="663">
        <v>1000</v>
      </c>
      <c r="H494" s="571" t="s">
        <v>444</v>
      </c>
      <c r="I494" s="446">
        <v>1.02</v>
      </c>
      <c r="J494" s="446"/>
      <c r="K494" s="453">
        <f>+E494*I494*G494</f>
        <v>168810</v>
      </c>
      <c r="L494" s="243" t="s">
        <v>10</v>
      </c>
      <c r="M494" s="173"/>
      <c r="O494" s="205"/>
      <c r="P494" s="75"/>
      <c r="Q494" s="75"/>
      <c r="R494" s="75"/>
      <c r="S494" s="213"/>
      <c r="T494" s="213"/>
      <c r="U494" s="75"/>
    </row>
    <row r="495" spans="1:21" s="27" customFormat="1" ht="30" customHeight="1" x14ac:dyDescent="0.35">
      <c r="A495" s="241" t="s">
        <v>442</v>
      </c>
      <c r="B495" s="1031" t="s">
        <v>445</v>
      </c>
      <c r="C495" s="1031"/>
      <c r="D495" s="1031"/>
      <c r="E495" s="453">
        <f>+(47500+58250)/2</f>
        <v>52875</v>
      </c>
      <c r="F495" s="446" t="s">
        <v>10</v>
      </c>
      <c r="G495" s="663">
        <v>2</v>
      </c>
      <c r="H495" s="571" t="s">
        <v>284</v>
      </c>
      <c r="I495" s="446">
        <v>1.02</v>
      </c>
      <c r="J495" s="446"/>
      <c r="K495" s="453">
        <f>+E495*I495*G495</f>
        <v>107865</v>
      </c>
      <c r="L495" s="243" t="s">
        <v>10</v>
      </c>
      <c r="M495" s="173"/>
      <c r="O495" s="207"/>
    </row>
    <row r="496" spans="1:21" s="27" customFormat="1" ht="30" customHeight="1" x14ac:dyDescent="0.35">
      <c r="A496" s="241" t="s">
        <v>449</v>
      </c>
      <c r="B496" s="1082" t="s">
        <v>450</v>
      </c>
      <c r="C496" s="1082"/>
      <c r="D496" s="1082"/>
      <c r="E496" s="453">
        <v>19</v>
      </c>
      <c r="F496" s="446" t="s">
        <v>6</v>
      </c>
      <c r="G496" s="663">
        <v>6000</v>
      </c>
      <c r="H496" s="571" t="s">
        <v>448</v>
      </c>
      <c r="I496" s="446">
        <v>1.05</v>
      </c>
      <c r="J496" s="446"/>
      <c r="K496" s="453">
        <f>+E496*I496*G496</f>
        <v>119700</v>
      </c>
      <c r="L496" s="243" t="s">
        <v>10</v>
      </c>
      <c r="M496" s="363"/>
      <c r="O496" s="207"/>
    </row>
    <row r="497" spans="1:21" ht="30" customHeight="1" x14ac:dyDescent="0.35">
      <c r="A497" s="241" t="s">
        <v>451</v>
      </c>
      <c r="B497" s="1067" t="s">
        <v>2173</v>
      </c>
      <c r="C497" s="1067"/>
      <c r="D497" s="1067"/>
      <c r="E497" s="453">
        <f>(5.17+7.26)/2</f>
        <v>6.2149999999999999</v>
      </c>
      <c r="F497" s="446" t="s">
        <v>283</v>
      </c>
      <c r="G497" s="663">
        <v>3216</v>
      </c>
      <c r="H497" s="571" t="s">
        <v>208</v>
      </c>
      <c r="I497" s="446">
        <v>1.05</v>
      </c>
      <c r="J497" s="446"/>
      <c r="K497" s="453">
        <f>E497*I497*G497/9</f>
        <v>2331.8680000000004</v>
      </c>
      <c r="L497" s="243" t="s">
        <v>10</v>
      </c>
      <c r="M497" s="173"/>
    </row>
    <row r="498" spans="1:21" ht="30" customHeight="1" x14ac:dyDescent="0.35">
      <c r="A498" s="241"/>
      <c r="B498" s="138"/>
      <c r="C498" s="139"/>
      <c r="D498" s="140"/>
      <c r="E498" s="453"/>
      <c r="F498" s="446"/>
      <c r="G498" s="1082"/>
      <c r="H498" s="1082"/>
      <c r="I498" s="446"/>
      <c r="J498" s="446" t="s">
        <v>362</v>
      </c>
      <c r="K498" s="453">
        <f>SUM(K494:K497)</f>
        <v>398706.86800000002</v>
      </c>
      <c r="L498" s="243" t="s">
        <v>10</v>
      </c>
      <c r="M498" s="173"/>
    </row>
    <row r="499" spans="1:21" ht="30" customHeight="1" x14ac:dyDescent="0.35">
      <c r="A499" s="241"/>
      <c r="B499" s="1082"/>
      <c r="C499" s="1082"/>
      <c r="D499" s="1082"/>
      <c r="E499" s="453"/>
      <c r="F499" s="1029" t="s">
        <v>302</v>
      </c>
      <c r="G499" s="1058" t="s">
        <v>303</v>
      </c>
      <c r="H499" s="1058"/>
      <c r="I499" s="1058"/>
      <c r="J499" s="1058"/>
      <c r="K499" s="573">
        <v>1.04</v>
      </c>
      <c r="L499" s="243"/>
      <c r="M499" s="173"/>
      <c r="N499" s="68"/>
      <c r="O499" s="203"/>
      <c r="P499" s="218"/>
      <c r="Q499" s="68"/>
      <c r="R499" s="217"/>
    </row>
    <row r="500" spans="1:21" s="208" customFormat="1" ht="30" customHeight="1" x14ac:dyDescent="0.35">
      <c r="A500" s="241"/>
      <c r="B500" s="506"/>
      <c r="C500" s="506"/>
      <c r="D500" s="506"/>
      <c r="E500" s="453"/>
      <c r="F500" s="1029"/>
      <c r="G500" s="1073" t="s">
        <v>2374</v>
      </c>
      <c r="H500" s="1073"/>
      <c r="I500" s="1073"/>
      <c r="J500" s="1073"/>
      <c r="K500" s="573">
        <v>1.08</v>
      </c>
      <c r="L500" s="243"/>
      <c r="M500" s="173"/>
      <c r="N500" s="68"/>
      <c r="P500" s="218"/>
      <c r="Q500" s="68"/>
      <c r="R500" s="217"/>
    </row>
    <row r="501" spans="1:21" ht="30" customHeight="1" x14ac:dyDescent="0.35">
      <c r="A501" s="241"/>
      <c r="B501" s="446"/>
      <c r="C501" s="458"/>
      <c r="D501" s="458"/>
      <c r="E501" s="458"/>
      <c r="F501" s="458"/>
      <c r="G501" s="458"/>
      <c r="H501" s="458"/>
      <c r="I501" s="458"/>
      <c r="J501" s="446" t="s">
        <v>2356</v>
      </c>
      <c r="K501" s="591">
        <f>+K498*K499/K500</f>
        <v>383939.94696296292</v>
      </c>
      <c r="L501" s="243" t="s">
        <v>10</v>
      </c>
      <c r="M501" s="173"/>
      <c r="O501" s="203"/>
      <c r="P501" s="218"/>
      <c r="Q501" s="68"/>
      <c r="R501" s="217"/>
    </row>
    <row r="502" spans="1:21" ht="30" customHeight="1" thickBot="1" x14ac:dyDescent="0.4">
      <c r="A502" s="241"/>
      <c r="B502" s="446"/>
      <c r="C502" s="458"/>
      <c r="D502" s="458"/>
      <c r="E502" s="458"/>
      <c r="F502" s="458"/>
      <c r="G502" s="592" t="s">
        <v>2358</v>
      </c>
      <c r="H502" s="458"/>
      <c r="I502" s="458"/>
      <c r="J502" s="583">
        <f>VLOOKUP(B491,'Mil Cost Premiums for PUCs'!$A$4:$R$272,18,FALSE)</f>
        <v>1.1199953840399997</v>
      </c>
      <c r="K502" s="591">
        <f>+K501*J502</f>
        <v>430010.96834708075</v>
      </c>
      <c r="L502" s="243" t="s">
        <v>10</v>
      </c>
      <c r="M502" s="173"/>
      <c r="O502" s="203"/>
      <c r="P502" s="218"/>
      <c r="Q502" s="68"/>
      <c r="R502" s="217"/>
    </row>
    <row r="503" spans="1:21" ht="30" customHeight="1" thickBot="1" x14ac:dyDescent="0.4">
      <c r="A503" s="1086"/>
      <c r="B503" s="1086"/>
      <c r="C503" s="1086"/>
      <c r="D503" s="1086"/>
      <c r="E503" s="1086"/>
      <c r="F503" s="1086"/>
      <c r="G503" s="1086"/>
      <c r="H503" s="1086"/>
      <c r="I503" s="1086"/>
      <c r="J503" s="1086"/>
      <c r="K503" s="1086"/>
      <c r="L503" s="1103"/>
      <c r="M503" s="173"/>
      <c r="O503" s="203"/>
      <c r="P503" s="218"/>
      <c r="Q503" s="68"/>
      <c r="R503" s="217"/>
    </row>
    <row r="504" spans="1:21" ht="30" customHeight="1" x14ac:dyDescent="0.35">
      <c r="A504" s="465" t="s">
        <v>278</v>
      </c>
      <c r="B504" s="539">
        <v>1494</v>
      </c>
      <c r="C504" s="1060" t="s">
        <v>452</v>
      </c>
      <c r="D504" s="1060"/>
      <c r="E504" s="541" t="s">
        <v>280</v>
      </c>
      <c r="F504" s="542" t="s">
        <v>10</v>
      </c>
      <c r="G504" s="560" t="s">
        <v>279</v>
      </c>
      <c r="H504" s="587">
        <v>1</v>
      </c>
      <c r="I504" s="541" t="s">
        <v>281</v>
      </c>
      <c r="J504" s="1019" t="s">
        <v>2749</v>
      </c>
      <c r="K504" s="1019"/>
      <c r="L504" s="1020"/>
      <c r="M504" s="363"/>
      <c r="O504" s="203"/>
      <c r="P504" s="218"/>
      <c r="Q504" s="68"/>
      <c r="R504" s="217"/>
    </row>
    <row r="505" spans="1:21" ht="30" customHeight="1" x14ac:dyDescent="0.35">
      <c r="A505" s="545" t="s">
        <v>288</v>
      </c>
      <c r="B505" s="1051" t="s">
        <v>282</v>
      </c>
      <c r="C505" s="1051"/>
      <c r="D505" s="1051"/>
      <c r="E505" s="561" t="s">
        <v>290</v>
      </c>
      <c r="F505" s="666" t="s">
        <v>2</v>
      </c>
      <c r="G505" s="1094" t="s">
        <v>323</v>
      </c>
      <c r="H505" s="1094"/>
      <c r="I505" s="1052" t="s">
        <v>291</v>
      </c>
      <c r="J505" s="1052"/>
      <c r="K505" s="1012" t="s">
        <v>292</v>
      </c>
      <c r="L505" s="1023"/>
      <c r="M505" s="364"/>
      <c r="O505" s="203"/>
      <c r="P505" s="218"/>
      <c r="Q505" s="68"/>
      <c r="R505" s="217"/>
    </row>
    <row r="506" spans="1:21" ht="30" customHeight="1" x14ac:dyDescent="0.35">
      <c r="A506" s="241">
        <v>93410</v>
      </c>
      <c r="B506" s="1082" t="s">
        <v>439</v>
      </c>
      <c r="C506" s="1082"/>
      <c r="D506" s="1082"/>
      <c r="E506" s="453">
        <v>8.5</v>
      </c>
      <c r="F506" s="446" t="s">
        <v>283</v>
      </c>
      <c r="G506" s="462">
        <v>3</v>
      </c>
      <c r="H506" s="462" t="s">
        <v>440</v>
      </c>
      <c r="I506" s="1044">
        <f t="shared" ref="I506" si="12">$I$508</f>
        <v>0.9432470865927236</v>
      </c>
      <c r="J506" s="1044"/>
      <c r="K506" s="463">
        <f>+E506/G506*I506</f>
        <v>2.6725334120127169</v>
      </c>
      <c r="L506" s="564" t="s">
        <v>3</v>
      </c>
      <c r="M506" s="173"/>
      <c r="O506" s="203"/>
      <c r="P506" s="218"/>
      <c r="Q506" s="68"/>
      <c r="R506" s="217"/>
    </row>
    <row r="507" spans="1:21" ht="30" customHeight="1" x14ac:dyDescent="0.35">
      <c r="A507" s="241">
        <v>85110</v>
      </c>
      <c r="B507" s="1059" t="s">
        <v>453</v>
      </c>
      <c r="C507" s="1059"/>
      <c r="D507" s="1059"/>
      <c r="E507" s="453">
        <v>13.2</v>
      </c>
      <c r="F507" s="446" t="s">
        <v>3</v>
      </c>
      <c r="G507" s="442"/>
      <c r="H507" s="442"/>
      <c r="I507" s="1044">
        <f t="shared" ref="I507" si="13">$I$508</f>
        <v>0.9432470865927236</v>
      </c>
      <c r="J507" s="1044"/>
      <c r="K507" s="463">
        <f>+E507*I507</f>
        <v>12.450861543023951</v>
      </c>
      <c r="L507" s="564" t="s">
        <v>3</v>
      </c>
      <c r="M507" s="173"/>
      <c r="N507" s="419"/>
      <c r="O507" s="171"/>
      <c r="P507" s="216"/>
      <c r="Q507" s="419"/>
      <c r="R507" s="219"/>
    </row>
    <row r="508" spans="1:21" ht="30" customHeight="1" x14ac:dyDescent="0.35">
      <c r="A508" s="241">
        <v>85110</v>
      </c>
      <c r="B508" s="1082" t="s">
        <v>454</v>
      </c>
      <c r="C508" s="1082"/>
      <c r="D508" s="1082"/>
      <c r="E508" s="453">
        <v>19.2</v>
      </c>
      <c r="F508" s="446" t="s">
        <v>3</v>
      </c>
      <c r="G508" s="442"/>
      <c r="H508" s="442"/>
      <c r="I508" s="1044">
        <f>+'2021 MILCON Inflation Table'!$F$20</f>
        <v>0.9432470865927236</v>
      </c>
      <c r="J508" s="1044"/>
      <c r="K508" s="463">
        <f>+E508*I508</f>
        <v>18.110344062580293</v>
      </c>
      <c r="L508" s="564" t="s">
        <v>3</v>
      </c>
      <c r="M508" s="173"/>
      <c r="N508" s="419"/>
      <c r="O508" s="171"/>
      <c r="P508" s="216"/>
      <c r="Q508" s="419"/>
      <c r="R508" s="219"/>
    </row>
    <row r="509" spans="1:21" ht="30" customHeight="1" x14ac:dyDescent="0.35">
      <c r="A509" s="241"/>
      <c r="B509" s="136"/>
      <c r="C509" s="570"/>
      <c r="D509" s="570"/>
      <c r="E509" s="667"/>
      <c r="F509" s="668"/>
      <c r="G509" s="623"/>
      <c r="H509" s="669"/>
      <c r="I509" s="670"/>
      <c r="J509" s="670" t="s">
        <v>335</v>
      </c>
      <c r="K509" s="463">
        <f>SUM(K506:K508)</f>
        <v>33.233739017616962</v>
      </c>
      <c r="L509" s="564" t="s">
        <v>3</v>
      </c>
      <c r="M509" s="173"/>
      <c r="N509" s="68"/>
      <c r="O509" s="203"/>
      <c r="P509" s="218"/>
      <c r="Q509" s="68"/>
      <c r="R509" s="217"/>
    </row>
    <row r="510" spans="1:21" ht="30" customHeight="1" x14ac:dyDescent="0.35">
      <c r="A510" s="241"/>
      <c r="B510" s="1059" t="s">
        <v>2885</v>
      </c>
      <c r="C510" s="1059"/>
      <c r="D510" s="1059"/>
      <c r="E510" s="671">
        <f>(100*69)/9</f>
        <v>766.66666666666663</v>
      </c>
      <c r="F510" s="446" t="s">
        <v>3</v>
      </c>
      <c r="G510" s="623"/>
      <c r="H510" s="669"/>
      <c r="I510" s="507"/>
      <c r="J510" s="507"/>
      <c r="K510" s="463">
        <f>+K509*E510</f>
        <v>25479.199913506338</v>
      </c>
      <c r="L510" s="564" t="s">
        <v>10</v>
      </c>
      <c r="M510" s="173"/>
      <c r="N510" s="226"/>
      <c r="O510" s="203"/>
      <c r="P510" s="218"/>
      <c r="Q510" s="68"/>
      <c r="R510" s="217"/>
    </row>
    <row r="511" spans="1:21" ht="30" customHeight="1" thickBot="1" x14ac:dyDescent="0.4">
      <c r="A511" s="241"/>
      <c r="B511" s="672" t="s">
        <v>455</v>
      </c>
      <c r="C511" s="673"/>
      <c r="D511" s="673"/>
      <c r="E511" s="673"/>
      <c r="F511" s="674"/>
      <c r="G511" s="674"/>
      <c r="H511" s="675"/>
      <c r="I511" s="458"/>
      <c r="J511" s="510" t="s">
        <v>2356</v>
      </c>
      <c r="K511" s="459">
        <f>+K510</f>
        <v>25479.199913506338</v>
      </c>
      <c r="L511" s="564" t="s">
        <v>10</v>
      </c>
      <c r="M511" s="173"/>
      <c r="N511" s="419"/>
      <c r="O511" s="171"/>
      <c r="P511" s="218"/>
      <c r="Q511" s="68"/>
      <c r="R511" s="217"/>
    </row>
    <row r="512" spans="1:21" ht="30" customHeight="1" thickBot="1" x14ac:dyDescent="0.4">
      <c r="A512" s="1086"/>
      <c r="B512" s="1086"/>
      <c r="C512" s="1086"/>
      <c r="D512" s="1086"/>
      <c r="E512" s="1086"/>
      <c r="F512" s="1086"/>
      <c r="G512" s="1086"/>
      <c r="H512" s="1086"/>
      <c r="I512" s="1086"/>
      <c r="J512" s="1086"/>
      <c r="K512" s="1086"/>
      <c r="L512" s="1103"/>
      <c r="M512" s="173"/>
      <c r="P512" s="171"/>
      <c r="Q512" s="171"/>
      <c r="R512" s="171"/>
      <c r="S512" s="51"/>
      <c r="T512" s="51"/>
      <c r="U512" s="171"/>
    </row>
    <row r="513" spans="1:21" s="208" customFormat="1" ht="30" customHeight="1" x14ac:dyDescent="0.35">
      <c r="A513" s="465" t="s">
        <v>278</v>
      </c>
      <c r="B513" s="539">
        <v>1495</v>
      </c>
      <c r="C513" s="1017" t="s">
        <v>456</v>
      </c>
      <c r="D513" s="1017"/>
      <c r="E513" s="541" t="s">
        <v>280</v>
      </c>
      <c r="F513" s="542" t="s">
        <v>10</v>
      </c>
      <c r="G513" s="553" t="s">
        <v>279</v>
      </c>
      <c r="H513" s="569">
        <v>1</v>
      </c>
      <c r="I513" s="541" t="s">
        <v>281</v>
      </c>
      <c r="J513" s="1019" t="s">
        <v>2719</v>
      </c>
      <c r="K513" s="1019"/>
      <c r="L513" s="1020"/>
      <c r="M513" s="364"/>
      <c r="O513" s="205"/>
      <c r="P513" s="75"/>
      <c r="Q513" s="75"/>
      <c r="R513" s="75"/>
      <c r="S513" s="213"/>
      <c r="T513" s="213"/>
      <c r="U513" s="75"/>
    </row>
    <row r="514" spans="1:21" s="27" customFormat="1" ht="30" customHeight="1" x14ac:dyDescent="0.35">
      <c r="A514" s="588" t="s">
        <v>298</v>
      </c>
      <c r="B514" s="1038" t="s">
        <v>321</v>
      </c>
      <c r="C514" s="1038"/>
      <c r="D514" s="1038"/>
      <c r="E514" s="23" t="s">
        <v>290</v>
      </c>
      <c r="F514" s="23" t="s">
        <v>322</v>
      </c>
      <c r="G514" s="1034" t="s">
        <v>323</v>
      </c>
      <c r="H514" s="1034"/>
      <c r="I514" s="509" t="s">
        <v>299</v>
      </c>
      <c r="J514" s="509"/>
      <c r="K514" s="1012" t="s">
        <v>292</v>
      </c>
      <c r="L514" s="1023"/>
      <c r="M514" s="173"/>
      <c r="N514" s="214"/>
      <c r="O514" s="207"/>
    </row>
    <row r="515" spans="1:21" s="27" customFormat="1" ht="30" customHeight="1" x14ac:dyDescent="0.35">
      <c r="A515" s="241" t="s">
        <v>451</v>
      </c>
      <c r="B515" s="1082" t="s">
        <v>2751</v>
      </c>
      <c r="C515" s="1082"/>
      <c r="D515" s="1082"/>
      <c r="E515" s="38">
        <v>31.5</v>
      </c>
      <c r="F515" s="3" t="s">
        <v>283</v>
      </c>
      <c r="G515" s="496">
        <v>177</v>
      </c>
      <c r="H515" s="498" t="s">
        <v>457</v>
      </c>
      <c r="I515" s="446">
        <v>1.05</v>
      </c>
      <c r="J515" s="446"/>
      <c r="K515" s="41">
        <f>+E515*G515*I515</f>
        <v>5854.2750000000005</v>
      </c>
      <c r="L515" s="676" t="s">
        <v>10</v>
      </c>
      <c r="M515" s="173"/>
      <c r="N515" s="214"/>
      <c r="O515" s="207"/>
    </row>
    <row r="516" spans="1:21" s="27" customFormat="1" ht="30" customHeight="1" x14ac:dyDescent="0.35">
      <c r="A516" s="241" t="s">
        <v>451</v>
      </c>
      <c r="B516" s="1031" t="s">
        <v>458</v>
      </c>
      <c r="C516" s="1031"/>
      <c r="D516" s="1031"/>
      <c r="E516" s="38">
        <v>12.25</v>
      </c>
      <c r="F516" s="3" t="s">
        <v>283</v>
      </c>
      <c r="G516" s="496">
        <v>177</v>
      </c>
      <c r="H516" s="498" t="s">
        <v>457</v>
      </c>
      <c r="I516" s="446">
        <v>1.05</v>
      </c>
      <c r="J516" s="446"/>
      <c r="K516" s="41">
        <f>+E516*G516*I516</f>
        <v>2276.6624999999999</v>
      </c>
      <c r="L516" s="676" t="s">
        <v>10</v>
      </c>
      <c r="M516" s="173"/>
      <c r="N516" s="214"/>
      <c r="O516" s="207"/>
    </row>
    <row r="517" spans="1:21" s="27" customFormat="1" ht="30" customHeight="1" x14ac:dyDescent="0.35">
      <c r="A517" s="241" t="s">
        <v>451</v>
      </c>
      <c r="B517" s="1031" t="s">
        <v>459</v>
      </c>
      <c r="C517" s="1031"/>
      <c r="D517" s="1031"/>
      <c r="E517" s="40">
        <f>+(86.5+261)/2</f>
        <v>173.75</v>
      </c>
      <c r="F517" s="3" t="s">
        <v>3</v>
      </c>
      <c r="G517" s="496">
        <v>133</v>
      </c>
      <c r="H517" s="498" t="s">
        <v>460</v>
      </c>
      <c r="I517" s="446">
        <v>1.05</v>
      </c>
      <c r="J517" s="446"/>
      <c r="K517" s="41">
        <f>+E517*G517*I517</f>
        <v>24264.1875</v>
      </c>
      <c r="L517" s="676" t="s">
        <v>10</v>
      </c>
      <c r="M517" s="173"/>
      <c r="N517" s="214"/>
      <c r="O517" s="207"/>
    </row>
    <row r="518" spans="1:21" s="27" customFormat="1" ht="30" customHeight="1" x14ac:dyDescent="0.35">
      <c r="A518" s="241" t="s">
        <v>451</v>
      </c>
      <c r="B518" s="458" t="s">
        <v>461</v>
      </c>
      <c r="C518" s="635"/>
      <c r="D518" s="636"/>
      <c r="E518" s="40">
        <f>+(0.65+4.8)/2</f>
        <v>2.7250000000000001</v>
      </c>
      <c r="F518" s="3" t="s">
        <v>3</v>
      </c>
      <c r="G518" s="496">
        <v>133</v>
      </c>
      <c r="H518" s="498" t="s">
        <v>460</v>
      </c>
      <c r="I518" s="446">
        <v>1.05</v>
      </c>
      <c r="J518" s="446"/>
      <c r="K518" s="41">
        <f>+E518*G518*I518</f>
        <v>380.54625000000004</v>
      </c>
      <c r="L518" s="676" t="s">
        <v>10</v>
      </c>
      <c r="M518" s="173"/>
      <c r="N518" s="63"/>
      <c r="O518" s="207"/>
    </row>
    <row r="519" spans="1:21" ht="30" customHeight="1" x14ac:dyDescent="0.35">
      <c r="A519" s="241"/>
      <c r="B519" s="1059" t="s">
        <v>462</v>
      </c>
      <c r="C519" s="1059"/>
      <c r="D519" s="1059"/>
      <c r="E519" s="677"/>
      <c r="F519" s="3"/>
      <c r="G519" s="496"/>
      <c r="H519" s="498"/>
      <c r="I519" s="446"/>
      <c r="J519" s="446"/>
      <c r="K519" s="41"/>
      <c r="L519" s="676"/>
      <c r="M519" s="173"/>
      <c r="N519" s="75"/>
    </row>
    <row r="520" spans="1:21" ht="30" customHeight="1" x14ac:dyDescent="0.35">
      <c r="A520" s="603"/>
      <c r="B520" s="512"/>
      <c r="C520" s="227"/>
      <c r="D520" s="227"/>
      <c r="E520" s="678"/>
      <c r="F520" s="446"/>
      <c r="G520" s="446"/>
      <c r="H520" s="446"/>
      <c r="I520" s="446"/>
      <c r="J520" s="446" t="s">
        <v>362</v>
      </c>
      <c r="K520" s="679">
        <f>SUM(K515:K519)</f>
        <v>32775.671249999999</v>
      </c>
      <c r="L520" s="243" t="s">
        <v>10</v>
      </c>
      <c r="M520" s="173"/>
    </row>
    <row r="521" spans="1:21" ht="30" customHeight="1" x14ac:dyDescent="0.35">
      <c r="A521" s="241"/>
      <c r="B521" s="506"/>
      <c r="C521" s="506"/>
      <c r="D521" s="506"/>
      <c r="E521" s="453"/>
      <c r="F521" s="1029" t="s">
        <v>302</v>
      </c>
      <c r="G521" s="1058" t="s">
        <v>303</v>
      </c>
      <c r="H521" s="1058"/>
      <c r="I521" s="1058"/>
      <c r="J521" s="1058"/>
      <c r="K521" s="573">
        <v>1.07</v>
      </c>
      <c r="L521" s="243"/>
      <c r="M521" s="173"/>
      <c r="N521" s="228"/>
      <c r="O521" s="228"/>
      <c r="P521" s="218"/>
      <c r="Q521" s="68"/>
      <c r="R521" s="217"/>
    </row>
    <row r="522" spans="1:21" s="208" customFormat="1" ht="30" customHeight="1" x14ac:dyDescent="0.35">
      <c r="A522" s="241"/>
      <c r="B522" s="506"/>
      <c r="C522" s="506"/>
      <c r="D522" s="506"/>
      <c r="E522" s="453"/>
      <c r="F522" s="1029"/>
      <c r="G522" s="1073" t="s">
        <v>2374</v>
      </c>
      <c r="H522" s="1073"/>
      <c r="I522" s="1073"/>
      <c r="J522" s="1073"/>
      <c r="K522" s="573">
        <v>1.08</v>
      </c>
      <c r="L522" s="243"/>
      <c r="M522" s="173"/>
      <c r="N522" s="229"/>
      <c r="O522" s="229"/>
      <c r="P522" s="218"/>
      <c r="Q522" s="68"/>
      <c r="R522" s="217"/>
    </row>
    <row r="523" spans="1:21" ht="30" customHeight="1" x14ac:dyDescent="0.35">
      <c r="A523" s="603"/>
      <c r="B523" s="446"/>
      <c r="C523" s="458"/>
      <c r="D523" s="458"/>
      <c r="E523" s="458"/>
      <c r="F523" s="458"/>
      <c r="G523" s="458"/>
      <c r="H523" s="458"/>
      <c r="I523" s="458"/>
      <c r="J523" s="446" t="s">
        <v>2356</v>
      </c>
      <c r="K523" s="680">
        <f>+K520*K521/K522</f>
        <v>32472.192812500001</v>
      </c>
      <c r="L523" s="243" t="s">
        <v>10</v>
      </c>
      <c r="M523" s="173"/>
      <c r="N523" s="419"/>
      <c r="O523" s="171"/>
      <c r="P523" s="218"/>
      <c r="Q523" s="68"/>
      <c r="R523" s="217"/>
    </row>
    <row r="524" spans="1:21" ht="30" customHeight="1" x14ac:dyDescent="0.35">
      <c r="A524" s="603"/>
      <c r="B524" s="446"/>
      <c r="C524" s="458"/>
      <c r="D524" s="458"/>
      <c r="E524" s="458"/>
      <c r="F524" s="458"/>
      <c r="G524" s="613" t="s">
        <v>2359</v>
      </c>
      <c r="H524" s="458"/>
      <c r="I524" s="458"/>
      <c r="J524" s="583">
        <f>VLOOKUP(B513,'Mil Cost Premiums for PUCs'!$A$4:$R$272,18,FALSE)</f>
        <v>1.0209999999999999</v>
      </c>
      <c r="K524" s="680">
        <f>+K523*J524</f>
        <v>33154.108861562498</v>
      </c>
      <c r="L524" s="243" t="s">
        <v>10</v>
      </c>
      <c r="M524" s="173"/>
      <c r="N524" s="419"/>
      <c r="O524" s="171"/>
      <c r="P524" s="218"/>
      <c r="Q524" s="68"/>
      <c r="R524" s="217"/>
    </row>
    <row r="525" spans="1:21" ht="60" customHeight="1" x14ac:dyDescent="0.35">
      <c r="A525" s="1198" t="s">
        <v>305</v>
      </c>
      <c r="B525" s="1082"/>
      <c r="C525" s="1082"/>
      <c r="D525" s="1082"/>
      <c r="E525" s="1082"/>
      <c r="F525" s="1082"/>
      <c r="G525" s="1082"/>
      <c r="H525" s="1082"/>
      <c r="I525" s="1082"/>
      <c r="J525" s="1082"/>
      <c r="K525" s="1082"/>
      <c r="L525" s="1199"/>
      <c r="M525" s="173"/>
      <c r="N525" s="68"/>
      <c r="O525" s="203"/>
      <c r="P525" s="218"/>
      <c r="Q525" s="68"/>
      <c r="R525" s="217"/>
    </row>
    <row r="526" spans="1:21" ht="45" customHeight="1" x14ac:dyDescent="0.35">
      <c r="A526" s="1144" t="s">
        <v>306</v>
      </c>
      <c r="B526" s="1145"/>
      <c r="C526" s="1145"/>
      <c r="D526" s="1067" t="s">
        <v>463</v>
      </c>
      <c r="E526" s="1067"/>
      <c r="F526" s="1067"/>
      <c r="G526" s="1067"/>
      <c r="H526" s="1067"/>
      <c r="I526" s="1067"/>
      <c r="J526" s="1067"/>
      <c r="K526" s="1067"/>
      <c r="L526" s="1126"/>
      <c r="M526" s="173"/>
      <c r="N526" s="222"/>
      <c r="O526" s="203"/>
      <c r="P526" s="218"/>
      <c r="Q526" s="68"/>
      <c r="R526" s="217"/>
    </row>
    <row r="527" spans="1:21" ht="30" customHeight="1" x14ac:dyDescent="0.35">
      <c r="A527" s="1144" t="s">
        <v>307</v>
      </c>
      <c r="B527" s="1145"/>
      <c r="C527" s="1145"/>
      <c r="D527" s="1129" t="s">
        <v>464</v>
      </c>
      <c r="E527" s="1129"/>
      <c r="F527" s="1129"/>
      <c r="G527" s="1129"/>
      <c r="H527" s="1129"/>
      <c r="I527" s="1129"/>
      <c r="J527" s="1129"/>
      <c r="K527" s="1129"/>
      <c r="L527" s="1130"/>
      <c r="M527" s="173"/>
      <c r="N527" s="222"/>
      <c r="O527" s="203"/>
      <c r="P527" s="218"/>
      <c r="Q527" s="68"/>
      <c r="R527" s="217"/>
    </row>
    <row r="528" spans="1:21" ht="30" customHeight="1" x14ac:dyDescent="0.35">
      <c r="A528" s="1144" t="s">
        <v>308</v>
      </c>
      <c r="B528" s="1145"/>
      <c r="C528" s="1145"/>
      <c r="D528" s="1129" t="s">
        <v>2752</v>
      </c>
      <c r="E528" s="1129"/>
      <c r="F528" s="1129"/>
      <c r="G528" s="1129"/>
      <c r="H528" s="1129"/>
      <c r="I528" s="1129"/>
      <c r="J528" s="1129"/>
      <c r="K528" s="1129"/>
      <c r="L528" s="1130"/>
      <c r="M528" s="363"/>
      <c r="N528" s="222"/>
      <c r="O528" s="203"/>
      <c r="P528" s="218"/>
      <c r="Q528" s="68"/>
      <c r="R528" s="217"/>
    </row>
    <row r="529" spans="1:18" ht="30" customHeight="1" x14ac:dyDescent="0.35">
      <c r="A529" s="1144" t="s">
        <v>309</v>
      </c>
      <c r="B529" s="1145"/>
      <c r="C529" s="1145"/>
      <c r="D529" s="1129" t="s">
        <v>465</v>
      </c>
      <c r="E529" s="1129"/>
      <c r="F529" s="1129"/>
      <c r="G529" s="1129"/>
      <c r="H529" s="1129"/>
      <c r="I529" s="1129"/>
      <c r="J529" s="1129"/>
      <c r="K529" s="1129"/>
      <c r="L529" s="1130"/>
      <c r="M529" s="173"/>
      <c r="N529" s="419"/>
      <c r="O529" s="171"/>
      <c r="P529" s="216"/>
      <c r="Q529" s="419"/>
      <c r="R529" s="219"/>
    </row>
    <row r="530" spans="1:18" ht="30" customHeight="1" x14ac:dyDescent="0.35">
      <c r="A530" s="1144" t="s">
        <v>311</v>
      </c>
      <c r="B530" s="1145"/>
      <c r="C530" s="1145"/>
      <c r="D530" s="1129" t="s">
        <v>312</v>
      </c>
      <c r="E530" s="1129"/>
      <c r="F530" s="1129"/>
      <c r="G530" s="1129"/>
      <c r="H530" s="1129"/>
      <c r="I530" s="1129"/>
      <c r="J530" s="1129"/>
      <c r="K530" s="1129"/>
      <c r="L530" s="1130"/>
      <c r="M530" s="173"/>
      <c r="N530" s="419"/>
      <c r="O530" s="171"/>
      <c r="P530" s="216"/>
      <c r="Q530" s="419"/>
      <c r="R530" s="219"/>
    </row>
    <row r="531" spans="1:18" ht="30" customHeight="1" x14ac:dyDescent="0.35">
      <c r="A531" s="1144" t="s">
        <v>313</v>
      </c>
      <c r="B531" s="1145"/>
      <c r="C531" s="1145"/>
      <c r="D531" s="1129" t="s">
        <v>314</v>
      </c>
      <c r="E531" s="1129"/>
      <c r="F531" s="1129"/>
      <c r="G531" s="1129"/>
      <c r="H531" s="1129"/>
      <c r="I531" s="1129"/>
      <c r="J531" s="1129"/>
      <c r="K531" s="1129"/>
      <c r="L531" s="1130"/>
      <c r="M531" s="173"/>
      <c r="N531" s="68"/>
      <c r="O531" s="203"/>
      <c r="P531" s="218"/>
      <c r="Q531" s="68"/>
      <c r="R531" s="217"/>
    </row>
    <row r="532" spans="1:18" ht="30" customHeight="1" x14ac:dyDescent="0.35">
      <c r="A532" s="1144" t="s">
        <v>315</v>
      </c>
      <c r="B532" s="1145"/>
      <c r="C532" s="1145"/>
      <c r="D532" s="1129" t="s">
        <v>466</v>
      </c>
      <c r="E532" s="1129"/>
      <c r="F532" s="1129"/>
      <c r="G532" s="1129"/>
      <c r="H532" s="1129"/>
      <c r="I532" s="1129"/>
      <c r="J532" s="1129"/>
      <c r="K532" s="1129"/>
      <c r="L532" s="1130"/>
      <c r="M532" s="173"/>
      <c r="N532" s="226"/>
      <c r="O532" s="203"/>
      <c r="P532" s="218"/>
      <c r="Q532" s="68"/>
      <c r="R532" s="217"/>
    </row>
    <row r="533" spans="1:18" ht="75" customHeight="1" x14ac:dyDescent="0.35">
      <c r="A533" s="1144" t="s">
        <v>467</v>
      </c>
      <c r="B533" s="1145"/>
      <c r="C533" s="1145"/>
      <c r="D533" s="1118" t="s">
        <v>373</v>
      </c>
      <c r="E533" s="1118"/>
      <c r="F533" s="1118"/>
      <c r="G533" s="1118"/>
      <c r="H533" s="1118"/>
      <c r="I533" s="1118"/>
      <c r="J533" s="1118"/>
      <c r="K533" s="1118"/>
      <c r="L533" s="1119"/>
      <c r="M533" s="363"/>
      <c r="N533" s="68"/>
      <c r="O533" s="203"/>
      <c r="P533" s="218"/>
      <c r="Q533" s="68"/>
      <c r="R533" s="217"/>
    </row>
    <row r="534" spans="1:18" ht="60" customHeight="1" thickBot="1" x14ac:dyDescent="0.4">
      <c r="A534" s="1132" t="s">
        <v>318</v>
      </c>
      <c r="B534" s="1129"/>
      <c r="C534" s="1129"/>
      <c r="D534" s="1068" t="s">
        <v>2753</v>
      </c>
      <c r="E534" s="1068"/>
      <c r="F534" s="1068"/>
      <c r="G534" s="1068"/>
      <c r="H534" s="1068"/>
      <c r="I534" s="1068"/>
      <c r="J534" s="1068"/>
      <c r="K534" s="1068"/>
      <c r="L534" s="1120"/>
      <c r="M534" s="173"/>
      <c r="N534" s="68"/>
      <c r="O534" s="203"/>
      <c r="P534" s="218"/>
      <c r="Q534" s="68"/>
      <c r="R534" s="217"/>
    </row>
    <row r="535" spans="1:18" ht="30" customHeight="1" thickBot="1" x14ac:dyDescent="0.4">
      <c r="A535" s="1086"/>
      <c r="B535" s="1086"/>
      <c r="C535" s="1086"/>
      <c r="D535" s="1086"/>
      <c r="E535" s="1086"/>
      <c r="F535" s="1086"/>
      <c r="G535" s="1086"/>
      <c r="H535" s="1086"/>
      <c r="I535" s="1086"/>
      <c r="J535" s="1086"/>
      <c r="K535" s="1086"/>
      <c r="L535" s="1103"/>
      <c r="M535" s="173"/>
      <c r="N535" s="63"/>
      <c r="O535" s="210"/>
      <c r="P535" s="218"/>
      <c r="Q535" s="68"/>
      <c r="R535" s="217"/>
    </row>
    <row r="536" spans="1:18" ht="30" customHeight="1" x14ac:dyDescent="0.35">
      <c r="A536" s="615" t="s">
        <v>278</v>
      </c>
      <c r="B536" s="196">
        <v>1496</v>
      </c>
      <c r="C536" s="1248" t="s">
        <v>2183</v>
      </c>
      <c r="D536" s="1248"/>
      <c r="E536" s="185" t="s">
        <v>280</v>
      </c>
      <c r="F536" s="188" t="s">
        <v>8</v>
      </c>
      <c r="G536" s="488" t="s">
        <v>285</v>
      </c>
      <c r="H536" s="452">
        <v>54909</v>
      </c>
      <c r="I536" s="185" t="s">
        <v>281</v>
      </c>
      <c r="J536" s="1152" t="s">
        <v>2380</v>
      </c>
      <c r="K536" s="1152"/>
      <c r="L536" s="1153"/>
      <c r="M536" s="363"/>
      <c r="N536" s="63"/>
      <c r="O536" s="203"/>
      <c r="P536" s="218"/>
      <c r="Q536" s="68"/>
      <c r="R536" s="217"/>
    </row>
    <row r="537" spans="1:18" ht="30" customHeight="1" x14ac:dyDescent="0.35">
      <c r="A537" s="545" t="s">
        <v>288</v>
      </c>
      <c r="B537" s="1051" t="s">
        <v>282</v>
      </c>
      <c r="C537" s="1051"/>
      <c r="D537" s="1051"/>
      <c r="E537" s="509" t="s">
        <v>289</v>
      </c>
      <c r="F537" s="509" t="s">
        <v>290</v>
      </c>
      <c r="G537" s="1021" t="s">
        <v>323</v>
      </c>
      <c r="H537" s="1021"/>
      <c r="I537" s="1021" t="s">
        <v>405</v>
      </c>
      <c r="J537" s="1021"/>
      <c r="K537" s="1022" t="s">
        <v>292</v>
      </c>
      <c r="L537" s="1023"/>
      <c r="M537" s="173"/>
      <c r="N537" s="68"/>
      <c r="O537" s="203"/>
      <c r="P537" s="218"/>
      <c r="Q537" s="68"/>
      <c r="R537" s="217"/>
    </row>
    <row r="538" spans="1:18" ht="30" customHeight="1" x14ac:dyDescent="0.35">
      <c r="A538" s="241">
        <v>14962</v>
      </c>
      <c r="B538" s="1102" t="s">
        <v>468</v>
      </c>
      <c r="C538" s="1102"/>
      <c r="D538" s="1102"/>
      <c r="E538" s="447" t="s">
        <v>1019</v>
      </c>
      <c r="F538" s="448">
        <v>6777000</v>
      </c>
      <c r="G538" s="449">
        <v>54909</v>
      </c>
      <c r="H538" s="450" t="s">
        <v>520</v>
      </c>
      <c r="I538" s="1261">
        <f>+'2021 MILCON Inflation Table'!F15</f>
        <v>1.0621074668527564</v>
      </c>
      <c r="J538" s="1261"/>
      <c r="K538" s="451">
        <f>+F538/G538*I538</f>
        <v>131.08784175383144</v>
      </c>
      <c r="L538" s="243" t="s">
        <v>8</v>
      </c>
      <c r="M538" s="173"/>
      <c r="N538" s="68"/>
      <c r="O538" s="203"/>
      <c r="P538" s="218"/>
      <c r="Q538" s="68"/>
      <c r="R538" s="217"/>
    </row>
    <row r="539" spans="1:18" ht="30" customHeight="1" thickBot="1" x14ac:dyDescent="0.4">
      <c r="A539" s="681"/>
      <c r="B539" s="1247"/>
      <c r="C539" s="1247"/>
      <c r="D539" s="1247"/>
      <c r="E539" s="682"/>
      <c r="F539" s="682"/>
      <c r="G539" s="682"/>
      <c r="H539" s="682"/>
      <c r="I539" s="683"/>
      <c r="J539" s="684" t="s">
        <v>2356</v>
      </c>
      <c r="K539" s="685">
        <f>+K538</f>
        <v>131.08784175383144</v>
      </c>
      <c r="L539" s="686" t="s">
        <v>8</v>
      </c>
      <c r="M539" s="173"/>
      <c r="N539" s="63"/>
      <c r="O539" s="203"/>
      <c r="P539" s="218"/>
      <c r="Q539" s="68"/>
      <c r="R539" s="217"/>
    </row>
    <row r="540" spans="1:18" ht="30" customHeight="1" thickBot="1" x14ac:dyDescent="0.4">
      <c r="A540" s="1086"/>
      <c r="B540" s="1086"/>
      <c r="C540" s="1086"/>
      <c r="D540" s="1086"/>
      <c r="E540" s="1086"/>
      <c r="F540" s="1086"/>
      <c r="G540" s="1086"/>
      <c r="H540" s="1086"/>
      <c r="I540" s="1086"/>
      <c r="J540" s="1086"/>
      <c r="K540" s="1086"/>
      <c r="L540" s="1103"/>
      <c r="M540" s="173"/>
      <c r="N540" s="63"/>
      <c r="O540" s="203"/>
      <c r="P540" s="218"/>
      <c r="Q540" s="68"/>
      <c r="R540" s="217"/>
    </row>
    <row r="541" spans="1:18" ht="30" customHeight="1" x14ac:dyDescent="0.35">
      <c r="A541" s="615" t="s">
        <v>278</v>
      </c>
      <c r="B541" s="196">
        <v>1498</v>
      </c>
      <c r="C541" s="1248" t="s">
        <v>469</v>
      </c>
      <c r="D541" s="1248"/>
      <c r="E541" s="185" t="s">
        <v>280</v>
      </c>
      <c r="F541" s="188" t="s">
        <v>8</v>
      </c>
      <c r="G541" s="488" t="s">
        <v>285</v>
      </c>
      <c r="H541" s="445">
        <v>351</v>
      </c>
      <c r="I541" s="185" t="s">
        <v>281</v>
      </c>
      <c r="J541" s="1152" t="s">
        <v>2749</v>
      </c>
      <c r="K541" s="1152"/>
      <c r="L541" s="1153"/>
      <c r="M541" s="363"/>
      <c r="N541" s="63"/>
      <c r="O541" s="203"/>
      <c r="P541" s="218"/>
      <c r="Q541" s="68"/>
      <c r="R541" s="217"/>
    </row>
    <row r="542" spans="1:18" ht="30" customHeight="1" x14ac:dyDescent="0.35">
      <c r="A542" s="545" t="s">
        <v>288</v>
      </c>
      <c r="B542" s="1051" t="s">
        <v>282</v>
      </c>
      <c r="C542" s="1051"/>
      <c r="D542" s="1051"/>
      <c r="E542" s="509" t="s">
        <v>290</v>
      </c>
      <c r="F542" s="509" t="s">
        <v>289</v>
      </c>
      <c r="G542" s="1021" t="s">
        <v>323</v>
      </c>
      <c r="H542" s="1021"/>
      <c r="I542" s="1021" t="s">
        <v>405</v>
      </c>
      <c r="J542" s="1021"/>
      <c r="K542" s="1022" t="s">
        <v>292</v>
      </c>
      <c r="L542" s="1023"/>
      <c r="M542" s="173"/>
      <c r="N542" s="68"/>
      <c r="O542" s="203"/>
      <c r="P542" s="218"/>
      <c r="Q542" s="68"/>
      <c r="R542" s="217"/>
    </row>
    <row r="543" spans="1:18" ht="30" customHeight="1" x14ac:dyDescent="0.35">
      <c r="A543" s="241">
        <v>14113</v>
      </c>
      <c r="B543" s="1102" t="s">
        <v>470</v>
      </c>
      <c r="C543" s="1102"/>
      <c r="D543" s="1102"/>
      <c r="E543" s="453">
        <v>533</v>
      </c>
      <c r="F543" s="446">
        <v>660</v>
      </c>
      <c r="G543" s="454"/>
      <c r="H543" s="454"/>
      <c r="I543" s="1261">
        <f>+'2021 MILCON Inflation Table'!$F$20</f>
        <v>0.9432470865927236</v>
      </c>
      <c r="J543" s="1261"/>
      <c r="K543" s="451">
        <f>+E543*I543</f>
        <v>502.75069715392169</v>
      </c>
      <c r="L543" s="243" t="s">
        <v>8</v>
      </c>
      <c r="M543" s="173"/>
      <c r="N543" s="68"/>
      <c r="O543" s="203"/>
      <c r="P543" s="218"/>
      <c r="Q543" s="68"/>
      <c r="R543" s="217"/>
    </row>
    <row r="544" spans="1:18" ht="30" customHeight="1" x14ac:dyDescent="0.35">
      <c r="A544" s="241">
        <v>14113</v>
      </c>
      <c r="B544" s="1102" t="s">
        <v>471</v>
      </c>
      <c r="C544" s="1102"/>
      <c r="D544" s="1102"/>
      <c r="E544" s="453">
        <v>751</v>
      </c>
      <c r="F544" s="446">
        <v>933</v>
      </c>
      <c r="G544" s="455"/>
      <c r="H544" s="455"/>
      <c r="I544" s="1261">
        <f>+'2021 MILCON Inflation Table'!$F$20</f>
        <v>0.9432470865927236</v>
      </c>
      <c r="J544" s="1261"/>
      <c r="K544" s="451">
        <f>+E544*I544</f>
        <v>708.3785620311354</v>
      </c>
      <c r="L544" s="243" t="s">
        <v>8</v>
      </c>
      <c r="M544" s="173"/>
      <c r="N544" s="68"/>
      <c r="O544" s="203"/>
      <c r="P544" s="218"/>
      <c r="Q544" s="68"/>
      <c r="R544" s="217"/>
    </row>
    <row r="545" spans="1:21" ht="30" customHeight="1" x14ac:dyDescent="0.35">
      <c r="A545" s="241">
        <v>14113</v>
      </c>
      <c r="B545" s="1102" t="s">
        <v>2748</v>
      </c>
      <c r="C545" s="1102"/>
      <c r="D545" s="1102"/>
      <c r="E545" s="453">
        <v>1533</v>
      </c>
      <c r="F545" s="446">
        <v>40</v>
      </c>
      <c r="G545" s="455"/>
      <c r="H545" s="455"/>
      <c r="I545" s="1261">
        <f>+'2021 MILCON Inflation Table'!$F$19</f>
        <v>0.96211202832457809</v>
      </c>
      <c r="J545" s="1261"/>
      <c r="K545" s="451">
        <f>+E545*I545</f>
        <v>1474.9177394215783</v>
      </c>
      <c r="L545" s="243" t="s">
        <v>8</v>
      </c>
      <c r="M545" s="173"/>
      <c r="P545" s="171"/>
      <c r="Q545" s="171"/>
      <c r="R545" s="171"/>
      <c r="S545" s="51"/>
      <c r="T545" s="51"/>
      <c r="U545" s="171"/>
    </row>
    <row r="546" spans="1:21" s="208" customFormat="1" ht="30" customHeight="1" x14ac:dyDescent="0.35">
      <c r="A546" s="241">
        <v>14113</v>
      </c>
      <c r="B546" s="1102" t="s">
        <v>2747</v>
      </c>
      <c r="C546" s="1102"/>
      <c r="D546" s="1102"/>
      <c r="E546" s="453">
        <v>419</v>
      </c>
      <c r="F546" s="456">
        <v>2960</v>
      </c>
      <c r="G546" s="455"/>
      <c r="H546" s="455"/>
      <c r="I546" s="1261">
        <f>+'2021 MILCON Inflation Table'!$F$20</f>
        <v>0.9432470865927236</v>
      </c>
      <c r="J546" s="1261"/>
      <c r="K546" s="451">
        <f>+E546*I546</f>
        <v>395.22052928235121</v>
      </c>
      <c r="L546" s="243" t="s">
        <v>8</v>
      </c>
      <c r="M546" s="173"/>
      <c r="O546" s="205"/>
      <c r="P546" s="75"/>
      <c r="Q546" s="75"/>
      <c r="R546" s="75"/>
      <c r="S546" s="213"/>
      <c r="T546" s="213"/>
      <c r="U546" s="75"/>
    </row>
    <row r="547" spans="1:21" s="27" customFormat="1" ht="30" customHeight="1" thickBot="1" x14ac:dyDescent="0.4">
      <c r="A547" s="681"/>
      <c r="B547" s="687"/>
      <c r="C547" s="687"/>
      <c r="D547" s="687"/>
      <c r="E547" s="687"/>
      <c r="F547" s="688"/>
      <c r="G547" s="687"/>
      <c r="H547" s="687" t="s">
        <v>304</v>
      </c>
      <c r="I547" s="689"/>
      <c r="J547" s="684" t="s">
        <v>2356</v>
      </c>
      <c r="K547" s="690">
        <f>AVERAGE(K543:K546)</f>
        <v>770.31688197224662</v>
      </c>
      <c r="L547" s="686" t="s">
        <v>8</v>
      </c>
      <c r="M547" s="173"/>
      <c r="N547" s="214"/>
      <c r="O547" s="207"/>
    </row>
    <row r="548" spans="1:21" ht="30" customHeight="1" thickBot="1" x14ac:dyDescent="0.4">
      <c r="A548" s="1086"/>
      <c r="B548" s="1086"/>
      <c r="C548" s="1086"/>
      <c r="D548" s="1086"/>
      <c r="E548" s="1086"/>
      <c r="F548" s="1086"/>
      <c r="G548" s="1086"/>
      <c r="H548" s="1086"/>
      <c r="I548" s="1086"/>
      <c r="J548" s="1086"/>
      <c r="K548" s="1086"/>
      <c r="L548" s="1103"/>
      <c r="M548" s="173"/>
    </row>
    <row r="549" spans="1:21" ht="30" customHeight="1" x14ac:dyDescent="0.35">
      <c r="A549" s="465" t="s">
        <v>278</v>
      </c>
      <c r="B549" s="539">
        <v>1499</v>
      </c>
      <c r="C549" s="1060" t="s">
        <v>472</v>
      </c>
      <c r="D549" s="1060"/>
      <c r="E549" s="541" t="s">
        <v>280</v>
      </c>
      <c r="F549" s="542" t="s">
        <v>10</v>
      </c>
      <c r="G549" s="553" t="s">
        <v>279</v>
      </c>
      <c r="H549" s="569">
        <v>1</v>
      </c>
      <c r="I549" s="541" t="s">
        <v>281</v>
      </c>
      <c r="J549" s="1019" t="s">
        <v>2749</v>
      </c>
      <c r="K549" s="1019"/>
      <c r="L549" s="1020"/>
      <c r="M549" s="363"/>
    </row>
    <row r="550" spans="1:21" ht="30" customHeight="1" x14ac:dyDescent="0.35">
      <c r="A550" s="545" t="s">
        <v>473</v>
      </c>
      <c r="B550" s="1051" t="s">
        <v>282</v>
      </c>
      <c r="C550" s="1051"/>
      <c r="D550" s="1051"/>
      <c r="E550" s="509" t="s">
        <v>290</v>
      </c>
      <c r="F550" s="509" t="s">
        <v>322</v>
      </c>
      <c r="G550" s="1034" t="s">
        <v>323</v>
      </c>
      <c r="H550" s="1034"/>
      <c r="I550" s="1052" t="s">
        <v>405</v>
      </c>
      <c r="J550" s="1052"/>
      <c r="K550" s="1012" t="s">
        <v>292</v>
      </c>
      <c r="L550" s="1023"/>
      <c r="M550" s="173"/>
      <c r="P550" s="171"/>
      <c r="Q550" s="171"/>
      <c r="R550" s="171"/>
      <c r="S550" s="51"/>
      <c r="T550" s="51"/>
      <c r="U550" s="171"/>
    </row>
    <row r="551" spans="1:21" s="208" customFormat="1" ht="30" customHeight="1" x14ac:dyDescent="0.35">
      <c r="A551" s="562">
        <v>62010</v>
      </c>
      <c r="B551" s="1057" t="s">
        <v>2746</v>
      </c>
      <c r="C551" s="1057"/>
      <c r="D551" s="1057"/>
      <c r="E551" s="453">
        <v>235</v>
      </c>
      <c r="F551" s="691" t="s">
        <v>8</v>
      </c>
      <c r="G551" s="446">
        <v>230</v>
      </c>
      <c r="H551" s="692" t="s">
        <v>325</v>
      </c>
      <c r="I551" s="1062">
        <f>+'2021 MILCON Inflation Table'!F8</f>
        <v>1.3794561933534744</v>
      </c>
      <c r="J551" s="1062"/>
      <c r="K551" s="693">
        <f>+E551*G551*I551</f>
        <v>74559.607250755289</v>
      </c>
      <c r="L551" s="243" t="s">
        <v>10</v>
      </c>
      <c r="M551" s="173"/>
      <c r="O551" s="205"/>
      <c r="P551" s="75"/>
      <c r="Q551" s="75"/>
      <c r="R551" s="75"/>
      <c r="S551" s="213"/>
      <c r="T551" s="213"/>
      <c r="U551" s="75"/>
    </row>
    <row r="552" spans="1:21" s="27" customFormat="1" ht="30" customHeight="1" x14ac:dyDescent="0.35">
      <c r="A552" s="241">
        <v>17971</v>
      </c>
      <c r="B552" s="1082" t="s">
        <v>2750</v>
      </c>
      <c r="C552" s="1082"/>
      <c r="D552" s="1082"/>
      <c r="E552" s="453">
        <v>273630</v>
      </c>
      <c r="F552" s="694" t="s">
        <v>10</v>
      </c>
      <c r="G552" s="454"/>
      <c r="H552" s="454"/>
      <c r="I552" s="1015">
        <f>+'2021 MILCON Inflation Table'!F20</f>
        <v>0.9432470865927236</v>
      </c>
      <c r="J552" s="1015"/>
      <c r="K552" s="693">
        <f>+E552*I552</f>
        <v>258100.70030436697</v>
      </c>
      <c r="L552" s="243" t="s">
        <v>10</v>
      </c>
      <c r="M552" s="173"/>
      <c r="N552" s="214"/>
      <c r="O552" s="207"/>
    </row>
    <row r="553" spans="1:21" s="27" customFormat="1" ht="30" customHeight="1" x14ac:dyDescent="0.35">
      <c r="A553" s="562"/>
      <c r="B553" s="508"/>
      <c r="C553" s="508"/>
      <c r="D553" s="508"/>
      <c r="E553" s="458"/>
      <c r="F553" s="434"/>
      <c r="G553" s="1260" t="s">
        <v>431</v>
      </c>
      <c r="H553" s="1260"/>
      <c r="I553" s="1260"/>
      <c r="J553" s="695" t="s">
        <v>2360</v>
      </c>
      <c r="K553" s="661">
        <f>((854/1959)*K551)+((1105/1959)*K552)</f>
        <v>178088.40144383386</v>
      </c>
      <c r="L553" s="243" t="s">
        <v>10</v>
      </c>
      <c r="M553" s="173"/>
      <c r="N553" s="214"/>
      <c r="O553" s="207"/>
    </row>
    <row r="554" spans="1:21" s="27" customFormat="1" ht="30" customHeight="1" x14ac:dyDescent="0.35">
      <c r="A554" s="1192" t="s">
        <v>2915</v>
      </c>
      <c r="B554" s="1193"/>
      <c r="C554" s="1193"/>
      <c r="D554" s="1193"/>
      <c r="E554" s="1193"/>
      <c r="F554" s="1193"/>
      <c r="G554" s="1193"/>
      <c r="H554" s="1193"/>
      <c r="I554" s="1193"/>
      <c r="J554" s="1193"/>
      <c r="K554" s="1193"/>
      <c r="L554" s="1194"/>
      <c r="M554" s="173"/>
      <c r="N554" s="214"/>
      <c r="O554" s="207"/>
    </row>
    <row r="555" spans="1:21" ht="15" customHeight="1" thickBot="1" x14ac:dyDescent="0.4">
      <c r="A555" s="1192"/>
      <c r="B555" s="1193"/>
      <c r="C555" s="1193"/>
      <c r="D555" s="1193"/>
      <c r="E555" s="1193"/>
      <c r="F555" s="1193"/>
      <c r="G555" s="1193"/>
      <c r="H555" s="1193"/>
      <c r="I555" s="1193"/>
      <c r="J555" s="1193"/>
      <c r="K555" s="1193"/>
      <c r="L555" s="1194"/>
      <c r="M555" s="173"/>
    </row>
    <row r="556" spans="1:21" ht="30" customHeight="1" thickBot="1" x14ac:dyDescent="0.4">
      <c r="A556" s="1086"/>
      <c r="B556" s="1086"/>
      <c r="C556" s="1086"/>
      <c r="D556" s="1086"/>
      <c r="E556" s="1086"/>
      <c r="F556" s="1086"/>
      <c r="G556" s="1086"/>
      <c r="H556" s="1086"/>
      <c r="I556" s="1086"/>
      <c r="J556" s="1086"/>
      <c r="K556" s="1086"/>
      <c r="L556" s="1103"/>
      <c r="M556" s="173"/>
      <c r="N556" s="171"/>
      <c r="O556" s="203"/>
    </row>
    <row r="557" spans="1:21" s="208" customFormat="1" ht="30" customHeight="1" x14ac:dyDescent="0.35">
      <c r="A557" s="465" t="s">
        <v>278</v>
      </c>
      <c r="B557" s="539">
        <v>1511</v>
      </c>
      <c r="C557" s="1017" t="s">
        <v>477</v>
      </c>
      <c r="D557" s="1017"/>
      <c r="E557" s="541" t="s">
        <v>280</v>
      </c>
      <c r="F557" s="542" t="s">
        <v>3</v>
      </c>
      <c r="G557" s="1262" t="s">
        <v>323</v>
      </c>
      <c r="H557" s="1262"/>
      <c r="I557" s="541" t="s">
        <v>281</v>
      </c>
      <c r="J557" s="1019" t="s">
        <v>25</v>
      </c>
      <c r="K557" s="1019"/>
      <c r="L557" s="1020"/>
      <c r="M557" s="363"/>
      <c r="N557" s="75"/>
    </row>
    <row r="558" spans="1:21" ht="30" customHeight="1" x14ac:dyDescent="0.35">
      <c r="A558" s="545"/>
      <c r="B558" s="1051" t="s">
        <v>282</v>
      </c>
      <c r="C558" s="1051"/>
      <c r="D558" s="1051"/>
      <c r="E558" s="509" t="s">
        <v>478</v>
      </c>
      <c r="F558" s="509" t="s">
        <v>2</v>
      </c>
      <c r="G558" s="646"/>
      <c r="H558" s="509"/>
      <c r="I558" s="1052" t="s">
        <v>405</v>
      </c>
      <c r="J558" s="1052"/>
      <c r="K558" s="1012" t="s">
        <v>292</v>
      </c>
      <c r="L558" s="1023"/>
      <c r="M558" s="173"/>
      <c r="N558" s="171"/>
    </row>
    <row r="559" spans="1:21" ht="30" customHeight="1" x14ac:dyDescent="0.35">
      <c r="A559" s="546"/>
      <c r="B559" s="1057" t="s">
        <v>477</v>
      </c>
      <c r="C559" s="1057"/>
      <c r="D559" s="1057"/>
      <c r="E559" s="696">
        <v>2819.18</v>
      </c>
      <c r="F559" s="436" t="s">
        <v>3</v>
      </c>
      <c r="G559" s="458"/>
      <c r="H559" s="697"/>
      <c r="I559" s="1044">
        <f>+'2021 MILCON Inflation Table'!F5</f>
        <v>1.3059395557250453</v>
      </c>
      <c r="J559" s="1044"/>
      <c r="K559" s="696">
        <f>+E559*I559</f>
        <v>3681.6786767089329</v>
      </c>
      <c r="L559" s="698" t="s">
        <v>3</v>
      </c>
      <c r="M559" s="173"/>
      <c r="N559" s="171"/>
      <c r="O559" s="203"/>
    </row>
    <row r="560" spans="1:21" ht="30" customHeight="1" x14ac:dyDescent="0.35">
      <c r="A560" s="241"/>
      <c r="B560" s="1059"/>
      <c r="C560" s="1059"/>
      <c r="D560" s="1059"/>
      <c r="E560" s="1082" t="s">
        <v>479</v>
      </c>
      <c r="F560" s="1082"/>
      <c r="G560" s="1082"/>
      <c r="H560" s="1082"/>
      <c r="I560" s="458"/>
      <c r="J560" s="510" t="s">
        <v>2356</v>
      </c>
      <c r="K560" s="459">
        <f>+K559</f>
        <v>3681.6786767089329</v>
      </c>
      <c r="L560" s="243" t="s">
        <v>3</v>
      </c>
      <c r="M560" s="173"/>
      <c r="O560" s="203"/>
    </row>
    <row r="561" spans="1:15" ht="30" customHeight="1" x14ac:dyDescent="0.35">
      <c r="A561" s="1192" t="s">
        <v>2745</v>
      </c>
      <c r="B561" s="1193"/>
      <c r="C561" s="1193"/>
      <c r="D561" s="1193"/>
      <c r="E561" s="1193"/>
      <c r="F561" s="1193"/>
      <c r="G561" s="1193"/>
      <c r="H561" s="1193"/>
      <c r="I561" s="1193"/>
      <c r="J561" s="1193"/>
      <c r="K561" s="1193"/>
      <c r="L561" s="1194"/>
      <c r="M561" s="173"/>
      <c r="O561" s="203"/>
    </row>
    <row r="562" spans="1:15" ht="30" customHeight="1" x14ac:dyDescent="0.35">
      <c r="A562" s="1192"/>
      <c r="B562" s="1193"/>
      <c r="C562" s="1193"/>
      <c r="D562" s="1193"/>
      <c r="E562" s="1193"/>
      <c r="F562" s="1193"/>
      <c r="G562" s="1193"/>
      <c r="H562" s="1193"/>
      <c r="I562" s="1193"/>
      <c r="J562" s="1193"/>
      <c r="K562" s="1193"/>
      <c r="L562" s="1194"/>
      <c r="M562" s="173"/>
      <c r="O562" s="203"/>
    </row>
    <row r="563" spans="1:15" ht="30" customHeight="1" thickBot="1" x14ac:dyDescent="0.4">
      <c r="A563" s="1192"/>
      <c r="B563" s="1193"/>
      <c r="C563" s="1193"/>
      <c r="D563" s="1193"/>
      <c r="E563" s="1193"/>
      <c r="F563" s="1193"/>
      <c r="G563" s="1193"/>
      <c r="H563" s="1193"/>
      <c r="I563" s="1193"/>
      <c r="J563" s="1193"/>
      <c r="K563" s="1193"/>
      <c r="L563" s="1194"/>
      <c r="M563" s="173"/>
      <c r="O563" s="203"/>
    </row>
    <row r="564" spans="1:15" ht="30" customHeight="1" thickBot="1" x14ac:dyDescent="0.4">
      <c r="A564" s="1086"/>
      <c r="B564" s="1086"/>
      <c r="C564" s="1086"/>
      <c r="D564" s="1086"/>
      <c r="E564" s="1086"/>
      <c r="F564" s="1086"/>
      <c r="G564" s="1086"/>
      <c r="H564" s="1086"/>
      <c r="I564" s="1086"/>
      <c r="J564" s="1086"/>
      <c r="K564" s="1086"/>
      <c r="L564" s="1103"/>
      <c r="M564" s="173"/>
      <c r="O564" s="203"/>
    </row>
    <row r="565" spans="1:15" ht="30" customHeight="1" x14ac:dyDescent="0.35">
      <c r="A565" s="465" t="s">
        <v>278</v>
      </c>
      <c r="B565" s="539">
        <v>1512</v>
      </c>
      <c r="C565" s="1017" t="s">
        <v>480</v>
      </c>
      <c r="D565" s="1017"/>
      <c r="E565" s="541" t="s">
        <v>280</v>
      </c>
      <c r="F565" s="542" t="s">
        <v>3</v>
      </c>
      <c r="G565" s="1262" t="s">
        <v>323</v>
      </c>
      <c r="H565" s="1262"/>
      <c r="I565" s="541" t="s">
        <v>281</v>
      </c>
      <c r="J565" s="1019" t="s">
        <v>25</v>
      </c>
      <c r="K565" s="1019"/>
      <c r="L565" s="1020"/>
      <c r="M565" s="363"/>
      <c r="O565" s="203"/>
    </row>
    <row r="566" spans="1:15" s="208" customFormat="1" ht="15" customHeight="1" x14ac:dyDescent="0.35">
      <c r="A566" s="545"/>
      <c r="B566" s="1051" t="s">
        <v>282</v>
      </c>
      <c r="C566" s="1051"/>
      <c r="D566" s="1051"/>
      <c r="E566" s="509" t="s">
        <v>478</v>
      </c>
      <c r="F566" s="509" t="s">
        <v>2</v>
      </c>
      <c r="G566" s="646"/>
      <c r="H566" s="509"/>
      <c r="I566" s="1052" t="s">
        <v>405</v>
      </c>
      <c r="J566" s="1052"/>
      <c r="K566" s="1012" t="s">
        <v>292</v>
      </c>
      <c r="L566" s="1023"/>
      <c r="M566" s="173"/>
    </row>
    <row r="567" spans="1:15" ht="30" customHeight="1" x14ac:dyDescent="0.35">
      <c r="A567" s="546"/>
      <c r="B567" s="1057" t="s">
        <v>2789</v>
      </c>
      <c r="C567" s="1057"/>
      <c r="D567" s="1057"/>
      <c r="E567" s="696">
        <v>2819.18</v>
      </c>
      <c r="F567" s="436" t="s">
        <v>3</v>
      </c>
      <c r="G567" s="458"/>
      <c r="H567" s="697"/>
      <c r="I567" s="1044">
        <f>+'2021 MILCON Inflation Table'!F5</f>
        <v>1.3059395557250453</v>
      </c>
      <c r="J567" s="1044"/>
      <c r="K567" s="696">
        <f>+E567*I567</f>
        <v>3681.6786767089329</v>
      </c>
      <c r="L567" s="698" t="s">
        <v>3</v>
      </c>
      <c r="M567" s="173"/>
      <c r="O567" s="203"/>
    </row>
    <row r="568" spans="1:15" ht="30" customHeight="1" x14ac:dyDescent="0.35">
      <c r="A568" s="241"/>
      <c r="B568" s="1059"/>
      <c r="C568" s="1059"/>
      <c r="D568" s="1059"/>
      <c r="E568" s="1082" t="s">
        <v>479</v>
      </c>
      <c r="F568" s="1082"/>
      <c r="G568" s="1082"/>
      <c r="H568" s="1082"/>
      <c r="I568" s="458"/>
      <c r="J568" s="510" t="s">
        <v>2356</v>
      </c>
      <c r="K568" s="459">
        <f>+K567</f>
        <v>3681.6786767089329</v>
      </c>
      <c r="L568" s="243" t="s">
        <v>3</v>
      </c>
      <c r="M568" s="173"/>
      <c r="O568" s="203"/>
    </row>
    <row r="569" spans="1:15" ht="105" customHeight="1" thickBot="1" x14ac:dyDescent="0.4">
      <c r="A569" s="1192" t="s">
        <v>2744</v>
      </c>
      <c r="B569" s="1193"/>
      <c r="C569" s="1193"/>
      <c r="D569" s="1193"/>
      <c r="E569" s="1193"/>
      <c r="F569" s="1193"/>
      <c r="G569" s="1193"/>
      <c r="H569" s="1193"/>
      <c r="I569" s="1193"/>
      <c r="J569" s="1193"/>
      <c r="K569" s="1193"/>
      <c r="L569" s="1194"/>
      <c r="M569" s="173"/>
      <c r="O569" s="203"/>
    </row>
    <row r="570" spans="1:15" ht="30" customHeight="1" thickBot="1" x14ac:dyDescent="0.4">
      <c r="A570" s="1086"/>
      <c r="B570" s="1086"/>
      <c r="C570" s="1086"/>
      <c r="D570" s="1086"/>
      <c r="E570" s="1086"/>
      <c r="F570" s="1086"/>
      <c r="G570" s="1086"/>
      <c r="H570" s="1086"/>
      <c r="I570" s="1086"/>
      <c r="J570" s="1086"/>
      <c r="K570" s="1086"/>
      <c r="L570" s="1103"/>
      <c r="M570" s="173"/>
      <c r="O570" s="203"/>
    </row>
    <row r="571" spans="1:15" ht="30" customHeight="1" x14ac:dyDescent="0.35">
      <c r="A571" s="465" t="s">
        <v>278</v>
      </c>
      <c r="B571" s="539">
        <v>1513</v>
      </c>
      <c r="C571" s="1017" t="s">
        <v>481</v>
      </c>
      <c r="D571" s="1017"/>
      <c r="E571" s="541" t="s">
        <v>280</v>
      </c>
      <c r="F571" s="542" t="s">
        <v>3</v>
      </c>
      <c r="G571" s="543" t="s">
        <v>285</v>
      </c>
      <c r="H571" s="632">
        <v>4819</v>
      </c>
      <c r="I571" s="541" t="s">
        <v>281</v>
      </c>
      <c r="J571" s="1019" t="s">
        <v>2719</v>
      </c>
      <c r="K571" s="1019"/>
      <c r="L571" s="1020"/>
      <c r="M571" s="173"/>
      <c r="O571" s="203"/>
    </row>
    <row r="572" spans="1:15" ht="30" customHeight="1" x14ac:dyDescent="0.35">
      <c r="A572" s="588" t="s">
        <v>298</v>
      </c>
      <c r="B572" s="1038" t="s">
        <v>321</v>
      </c>
      <c r="C572" s="1038"/>
      <c r="D572" s="1038"/>
      <c r="E572" s="23" t="s">
        <v>290</v>
      </c>
      <c r="F572" s="23" t="s">
        <v>322</v>
      </c>
      <c r="G572" s="1034" t="s">
        <v>323</v>
      </c>
      <c r="H572" s="1034"/>
      <c r="I572" s="201" t="s">
        <v>299</v>
      </c>
      <c r="J572" s="201"/>
      <c r="K572" s="1012" t="s">
        <v>292</v>
      </c>
      <c r="L572" s="1023"/>
      <c r="M572" s="173"/>
      <c r="O572" s="203"/>
    </row>
    <row r="573" spans="1:15" ht="30" customHeight="1" x14ac:dyDescent="0.35">
      <c r="A573" s="241" t="s">
        <v>300</v>
      </c>
      <c r="B573" s="1082" t="s">
        <v>2381</v>
      </c>
      <c r="C573" s="1082"/>
      <c r="D573" s="1082"/>
      <c r="E573" s="453">
        <f>+(87+123)/2</f>
        <v>105</v>
      </c>
      <c r="F573" s="446" t="s">
        <v>8</v>
      </c>
      <c r="G573" s="589">
        <v>9</v>
      </c>
      <c r="H573" s="571" t="s">
        <v>482</v>
      </c>
      <c r="I573" s="446">
        <v>1.02</v>
      </c>
      <c r="J573" s="446"/>
      <c r="K573" s="453">
        <f>+E573*I573*G573</f>
        <v>963.90000000000009</v>
      </c>
      <c r="L573" s="243" t="s">
        <v>3</v>
      </c>
      <c r="M573" s="173"/>
      <c r="O573" s="203"/>
    </row>
    <row r="574" spans="1:15" ht="30" customHeight="1" x14ac:dyDescent="0.35">
      <c r="A574" s="241"/>
      <c r="B574" s="1263"/>
      <c r="C574" s="1263"/>
      <c r="D574" s="1263"/>
      <c r="E574" s="453"/>
      <c r="F574" s="1029" t="s">
        <v>302</v>
      </c>
      <c r="G574" s="1058" t="s">
        <v>303</v>
      </c>
      <c r="H574" s="1058"/>
      <c r="I574" s="1058"/>
      <c r="J574" s="1058"/>
      <c r="K574" s="573">
        <v>1.07</v>
      </c>
      <c r="L574" s="243"/>
      <c r="M574" s="173"/>
      <c r="O574" s="203"/>
    </row>
    <row r="575" spans="1:15" ht="30" customHeight="1" x14ac:dyDescent="0.35">
      <c r="A575" s="241"/>
      <c r="B575" s="1263"/>
      <c r="C575" s="1263"/>
      <c r="D575" s="1263"/>
      <c r="E575" s="453"/>
      <c r="F575" s="1029"/>
      <c r="G575" s="1073" t="s">
        <v>2374</v>
      </c>
      <c r="H575" s="1073"/>
      <c r="I575" s="1073"/>
      <c r="J575" s="1073"/>
      <c r="K575" s="573">
        <v>1.08</v>
      </c>
      <c r="L575" s="243"/>
      <c r="M575" s="173"/>
      <c r="O575" s="203"/>
    </row>
    <row r="576" spans="1:15" ht="30" customHeight="1" x14ac:dyDescent="0.35">
      <c r="A576" s="241"/>
      <c r="B576" s="1263"/>
      <c r="C576" s="1263"/>
      <c r="D576" s="1263"/>
      <c r="E576" s="453"/>
      <c r="F576" s="446"/>
      <c r="G576" s="446"/>
      <c r="H576" s="446"/>
      <c r="I576" s="446"/>
      <c r="J576" s="458" t="s">
        <v>2356</v>
      </c>
      <c r="K576" s="453">
        <f>+K573*K574/K575</f>
        <v>954.97500000000002</v>
      </c>
      <c r="L576" s="243" t="s">
        <v>3</v>
      </c>
      <c r="M576" s="173"/>
      <c r="O576" s="203"/>
    </row>
    <row r="577" spans="1:21" ht="30" customHeight="1" thickBot="1" x14ac:dyDescent="0.4">
      <c r="A577" s="241"/>
      <c r="B577" s="651"/>
      <c r="C577" s="651"/>
      <c r="D577" s="651"/>
      <c r="E577" s="453"/>
      <c r="F577" s="446"/>
      <c r="G577" s="592" t="s">
        <v>2358</v>
      </c>
      <c r="H577" s="446"/>
      <c r="I577" s="446"/>
      <c r="J577" s="583">
        <f>VLOOKUP(B571,'Mil Cost Premiums for PUCs'!$A$4:$R$272,18,FALSE)</f>
        <v>1.0905505199999999</v>
      </c>
      <c r="K577" s="453">
        <f>+K576*J577</f>
        <v>1041.4484828369998</v>
      </c>
      <c r="L577" s="243" t="s">
        <v>3</v>
      </c>
      <c r="M577" s="173"/>
      <c r="O577" s="203"/>
    </row>
    <row r="578" spans="1:21" ht="30" customHeight="1" thickBot="1" x14ac:dyDescent="0.4">
      <c r="A578" s="1086"/>
      <c r="B578" s="1086"/>
      <c r="C578" s="1086"/>
      <c r="D578" s="1086"/>
      <c r="E578" s="1086"/>
      <c r="F578" s="1086"/>
      <c r="G578" s="1086"/>
      <c r="H578" s="1086"/>
      <c r="I578" s="1086"/>
      <c r="J578" s="1086"/>
      <c r="K578" s="1086"/>
      <c r="L578" s="1103"/>
      <c r="M578" s="173"/>
      <c r="N578" s="68"/>
      <c r="O578" s="203"/>
      <c r="P578" s="218"/>
      <c r="Q578" s="68"/>
      <c r="R578" s="217"/>
    </row>
    <row r="579" spans="1:21" ht="30" customHeight="1" x14ac:dyDescent="0.35">
      <c r="A579" s="465" t="s">
        <v>278</v>
      </c>
      <c r="B579" s="539">
        <v>1541</v>
      </c>
      <c r="C579" s="1017" t="s">
        <v>483</v>
      </c>
      <c r="D579" s="1017"/>
      <c r="E579" s="541" t="s">
        <v>280</v>
      </c>
      <c r="F579" s="542" t="s">
        <v>6</v>
      </c>
      <c r="G579" s="543" t="s">
        <v>285</v>
      </c>
      <c r="H579" s="632">
        <v>2151</v>
      </c>
      <c r="I579" s="541" t="s">
        <v>281</v>
      </c>
      <c r="J579" s="1019" t="s">
        <v>2371</v>
      </c>
      <c r="K579" s="1019"/>
      <c r="L579" s="1020"/>
      <c r="M579" s="173"/>
      <c r="N579" s="68"/>
      <c r="O579" s="203"/>
      <c r="P579" s="218"/>
      <c r="Q579" s="68"/>
      <c r="R579" s="217"/>
    </row>
    <row r="580" spans="1:21" ht="30" customHeight="1" x14ac:dyDescent="0.35">
      <c r="A580" s="588" t="s">
        <v>298</v>
      </c>
      <c r="B580" s="1038" t="s">
        <v>321</v>
      </c>
      <c r="C580" s="1038"/>
      <c r="D580" s="1038"/>
      <c r="E580" s="23" t="s">
        <v>290</v>
      </c>
      <c r="F580" s="23" t="s">
        <v>322</v>
      </c>
      <c r="G580" s="1034" t="s">
        <v>323</v>
      </c>
      <c r="H580" s="1034"/>
      <c r="I580" s="201" t="s">
        <v>299</v>
      </c>
      <c r="J580" s="201"/>
      <c r="K580" s="1012" t="s">
        <v>292</v>
      </c>
      <c r="L580" s="1023"/>
      <c r="M580" s="173"/>
      <c r="N580" s="68"/>
      <c r="O580" s="203"/>
      <c r="P580" s="218"/>
      <c r="Q580" s="68"/>
      <c r="R580" s="217"/>
    </row>
    <row r="581" spans="1:21" s="208" customFormat="1" ht="30" customHeight="1" x14ac:dyDescent="0.35">
      <c r="A581" s="241" t="s">
        <v>484</v>
      </c>
      <c r="B581" s="1082" t="s">
        <v>2841</v>
      </c>
      <c r="C581" s="1082"/>
      <c r="D581" s="1082"/>
      <c r="E581" s="453">
        <f>+(570+940)/2</f>
        <v>755</v>
      </c>
      <c r="F581" s="446" t="s">
        <v>6</v>
      </c>
      <c r="G581" s="699">
        <v>0.5</v>
      </c>
      <c r="H581" s="608" t="s">
        <v>485</v>
      </c>
      <c r="I581" s="446">
        <v>1.04</v>
      </c>
      <c r="J581" s="665"/>
      <c r="K581" s="453">
        <f>+E581*I581*G581</f>
        <v>392.6</v>
      </c>
      <c r="L581" s="243" t="s">
        <v>6</v>
      </c>
      <c r="M581" s="173"/>
      <c r="N581" s="68"/>
      <c r="P581" s="218"/>
      <c r="Q581" s="68"/>
      <c r="R581" s="217"/>
    </row>
    <row r="582" spans="1:21" ht="30" customHeight="1" x14ac:dyDescent="0.35">
      <c r="A582" s="241"/>
      <c r="B582" s="506"/>
      <c r="C582" s="506"/>
      <c r="D582" s="506"/>
      <c r="E582" s="453"/>
      <c r="F582" s="1029" t="s">
        <v>302</v>
      </c>
      <c r="G582" s="1058" t="s">
        <v>303</v>
      </c>
      <c r="H582" s="1058"/>
      <c r="I582" s="1058"/>
      <c r="J582" s="1058"/>
      <c r="K582" s="573">
        <v>1.07</v>
      </c>
      <c r="L582" s="243"/>
      <c r="M582" s="173"/>
      <c r="N582" s="68"/>
      <c r="O582" s="203"/>
      <c r="P582" s="218"/>
      <c r="Q582" s="68"/>
      <c r="R582" s="217"/>
    </row>
    <row r="583" spans="1:21" ht="30" customHeight="1" x14ac:dyDescent="0.35">
      <c r="A583" s="241"/>
      <c r="B583" s="506"/>
      <c r="C583" s="506"/>
      <c r="D583" s="506"/>
      <c r="E583" s="453"/>
      <c r="F583" s="1029"/>
      <c r="G583" s="1073" t="s">
        <v>2374</v>
      </c>
      <c r="H583" s="1073"/>
      <c r="I583" s="1073"/>
      <c r="J583" s="1073"/>
      <c r="K583" s="573">
        <v>1.08</v>
      </c>
      <c r="L583" s="243"/>
      <c r="M583" s="173"/>
      <c r="N583" s="419"/>
      <c r="O583" s="171"/>
      <c r="P583" s="216"/>
      <c r="Q583" s="419"/>
      <c r="R583" s="219"/>
    </row>
    <row r="584" spans="1:21" ht="30" customHeight="1" x14ac:dyDescent="0.35">
      <c r="A584" s="241"/>
      <c r="B584" s="446"/>
      <c r="C584" s="458"/>
      <c r="D584" s="458"/>
      <c r="E584" s="458"/>
      <c r="F584" s="458"/>
      <c r="G584" s="458"/>
      <c r="H584" s="458"/>
      <c r="I584" s="458"/>
      <c r="J584" s="458" t="s">
        <v>2356</v>
      </c>
      <c r="K584" s="591">
        <f>+K581*K582/K583</f>
        <v>388.96481481481482</v>
      </c>
      <c r="L584" s="243" t="s">
        <v>6</v>
      </c>
      <c r="M584" s="173"/>
      <c r="N584" s="419"/>
      <c r="O584" s="171"/>
      <c r="P584" s="216"/>
      <c r="Q584" s="419"/>
      <c r="R584" s="219"/>
    </row>
    <row r="585" spans="1:21" ht="30" customHeight="1" thickBot="1" x14ac:dyDescent="0.4">
      <c r="A585" s="241"/>
      <c r="B585" s="446"/>
      <c r="C585" s="458"/>
      <c r="D585" s="458"/>
      <c r="E585" s="458"/>
      <c r="F585" s="458"/>
      <c r="G585" s="592" t="s">
        <v>2358</v>
      </c>
      <c r="H585" s="458"/>
      <c r="I585" s="458"/>
      <c r="J585" s="583">
        <f>VLOOKUP(B579,'Mil Cost Premiums for PUCs'!$A$4:$R$272,18,FALSE)</f>
        <v>1.0209999999999999</v>
      </c>
      <c r="K585" s="591">
        <f>+K584*J585</f>
        <v>397.13307592592588</v>
      </c>
      <c r="L585" s="243" t="s">
        <v>6</v>
      </c>
      <c r="M585" s="173"/>
      <c r="N585" s="68"/>
      <c r="O585" s="203"/>
      <c r="P585" s="218"/>
      <c r="Q585" s="68"/>
      <c r="R585" s="217"/>
    </row>
    <row r="586" spans="1:21" ht="30" customHeight="1" thickBot="1" x14ac:dyDescent="0.4">
      <c r="A586" s="1086"/>
      <c r="B586" s="1086"/>
      <c r="C586" s="1086"/>
      <c r="D586" s="1086"/>
      <c r="E586" s="1086"/>
      <c r="F586" s="1086"/>
      <c r="G586" s="1086"/>
      <c r="H586" s="1086"/>
      <c r="I586" s="1086"/>
      <c r="J586" s="1086"/>
      <c r="K586" s="1086"/>
      <c r="L586" s="1103"/>
      <c r="M586" s="173"/>
      <c r="P586" s="171"/>
      <c r="Q586" s="171"/>
      <c r="R586" s="171"/>
      <c r="S586" s="51"/>
      <c r="T586" s="51"/>
      <c r="U586" s="171"/>
    </row>
    <row r="587" spans="1:21" ht="30" customHeight="1" x14ac:dyDescent="0.35">
      <c r="A587" s="465" t="s">
        <v>278</v>
      </c>
      <c r="B587" s="539">
        <v>1551</v>
      </c>
      <c r="C587" s="1017" t="s">
        <v>486</v>
      </c>
      <c r="D587" s="1017"/>
      <c r="E587" s="541" t="s">
        <v>280</v>
      </c>
      <c r="F587" s="542" t="s">
        <v>29</v>
      </c>
      <c r="G587" s="543" t="s">
        <v>285</v>
      </c>
      <c r="H587" s="587">
        <v>307</v>
      </c>
      <c r="I587" s="541" t="s">
        <v>281</v>
      </c>
      <c r="J587" s="1019" t="s">
        <v>2371</v>
      </c>
      <c r="K587" s="1019"/>
      <c r="L587" s="1020"/>
      <c r="M587" s="173"/>
      <c r="P587" s="171"/>
      <c r="Q587" s="171"/>
      <c r="R587" s="171"/>
      <c r="S587" s="51"/>
      <c r="T587" s="51"/>
      <c r="U587" s="171"/>
    </row>
    <row r="588" spans="1:21" s="27" customFormat="1" ht="30" customHeight="1" x14ac:dyDescent="0.35">
      <c r="A588" s="588" t="s">
        <v>298</v>
      </c>
      <c r="B588" s="1038" t="s">
        <v>321</v>
      </c>
      <c r="C588" s="1038"/>
      <c r="D588" s="1038"/>
      <c r="E588" s="23" t="s">
        <v>290</v>
      </c>
      <c r="F588" s="23" t="s">
        <v>322</v>
      </c>
      <c r="G588" s="1034" t="s">
        <v>323</v>
      </c>
      <c r="H588" s="1034"/>
      <c r="I588" s="201" t="s">
        <v>299</v>
      </c>
      <c r="J588" s="201"/>
      <c r="K588" s="1012" t="s">
        <v>292</v>
      </c>
      <c r="L588" s="1023"/>
      <c r="M588" s="173"/>
      <c r="N588" s="214"/>
      <c r="O588" s="207"/>
    </row>
    <row r="589" spans="1:21" s="208" customFormat="1" ht="30" customHeight="1" x14ac:dyDescent="0.35">
      <c r="A589" s="241" t="s">
        <v>300</v>
      </c>
      <c r="B589" s="1082" t="s">
        <v>487</v>
      </c>
      <c r="C589" s="1082"/>
      <c r="D589" s="1082"/>
      <c r="E589" s="453">
        <f>+(55+81.5)/2</f>
        <v>68.25</v>
      </c>
      <c r="F589" s="446" t="s">
        <v>8</v>
      </c>
      <c r="G589" s="700">
        <f>((40 /2 ) + (40 /1 ))/2</f>
        <v>30</v>
      </c>
      <c r="H589" s="608" t="s">
        <v>488</v>
      </c>
      <c r="I589" s="665">
        <v>1.02</v>
      </c>
      <c r="J589" s="446"/>
      <c r="K589" s="453">
        <f>+E589*G589*I589</f>
        <v>2088.4499999999998</v>
      </c>
      <c r="L589" s="243" t="s">
        <v>29</v>
      </c>
      <c r="M589" s="173"/>
      <c r="N589" s="230"/>
      <c r="O589" s="205"/>
    </row>
    <row r="590" spans="1:21" s="27" customFormat="1" ht="30" customHeight="1" x14ac:dyDescent="0.35">
      <c r="A590" s="241"/>
      <c r="B590" s="1059" t="s">
        <v>2790</v>
      </c>
      <c r="C590" s="1059"/>
      <c r="D590" s="1059"/>
      <c r="E590" s="453"/>
      <c r="F590" s="446"/>
      <c r="G590" s="701"/>
      <c r="H590" s="508"/>
      <c r="I590" s="446"/>
      <c r="J590" s="446"/>
      <c r="K590" s="453"/>
      <c r="L590" s="243"/>
      <c r="M590" s="173"/>
      <c r="N590" s="214"/>
      <c r="O590" s="207"/>
    </row>
    <row r="591" spans="1:21" s="27" customFormat="1" ht="30" customHeight="1" x14ac:dyDescent="0.35">
      <c r="A591" s="241"/>
      <c r="B591" s="506"/>
      <c r="C591" s="506"/>
      <c r="D591" s="702" t="s">
        <v>489</v>
      </c>
      <c r="E591" s="453"/>
      <c r="F591" s="1029" t="s">
        <v>302</v>
      </c>
      <c r="G591" s="1058" t="s">
        <v>303</v>
      </c>
      <c r="H591" s="1058"/>
      <c r="I591" s="1058"/>
      <c r="J591" s="1058"/>
      <c r="K591" s="612">
        <v>1.07</v>
      </c>
      <c r="L591" s="243"/>
      <c r="M591" s="173"/>
      <c r="N591" s="214"/>
      <c r="O591" s="207"/>
    </row>
    <row r="592" spans="1:21" s="27" customFormat="1" ht="30" customHeight="1" x14ac:dyDescent="0.35">
      <c r="A592" s="241"/>
      <c r="B592" s="506"/>
      <c r="C592" s="506"/>
      <c r="D592" s="506"/>
      <c r="E592" s="453"/>
      <c r="F592" s="1029"/>
      <c r="G592" s="1073" t="s">
        <v>2374</v>
      </c>
      <c r="H592" s="1073"/>
      <c r="I592" s="1073"/>
      <c r="J592" s="1073"/>
      <c r="K592" s="612">
        <v>1.08</v>
      </c>
      <c r="L592" s="243"/>
      <c r="M592" s="173"/>
      <c r="N592" s="214"/>
      <c r="O592" s="207"/>
    </row>
    <row r="593" spans="1:18" ht="30" customHeight="1" x14ac:dyDescent="0.35">
      <c r="A593" s="241"/>
      <c r="B593" s="446"/>
      <c r="C593" s="458"/>
      <c r="D593" s="458"/>
      <c r="E593" s="458"/>
      <c r="F593" s="458"/>
      <c r="G593" s="458"/>
      <c r="H593" s="458"/>
      <c r="I593" s="458"/>
      <c r="J593" s="458" t="s">
        <v>2356</v>
      </c>
      <c r="K593" s="591">
        <f>+K589*K591/K592</f>
        <v>2069.1124999999997</v>
      </c>
      <c r="L593" s="243" t="s">
        <v>29</v>
      </c>
      <c r="M593" s="173"/>
    </row>
    <row r="594" spans="1:18" ht="30" customHeight="1" thickBot="1" x14ac:dyDescent="0.4">
      <c r="A594" s="241"/>
      <c r="B594" s="446"/>
      <c r="C594" s="458"/>
      <c r="D594" s="171"/>
      <c r="E594" s="458"/>
      <c r="F594" s="458"/>
      <c r="G594" s="592" t="s">
        <v>2358</v>
      </c>
      <c r="H594" s="458"/>
      <c r="I594" s="458"/>
      <c r="J594" s="583">
        <f>VLOOKUP(B587,'Mil Cost Premiums for PUCs'!$A$4:$R$272,18,FALSE)</f>
        <v>1.0905505199999999</v>
      </c>
      <c r="K594" s="591">
        <f>+K593*J594</f>
        <v>2256.4717128134994</v>
      </c>
      <c r="L594" s="243" t="s">
        <v>29</v>
      </c>
      <c r="M594" s="173"/>
    </row>
    <row r="595" spans="1:18" ht="30" customHeight="1" thickBot="1" x14ac:dyDescent="0.4">
      <c r="A595" s="1086"/>
      <c r="B595" s="1086"/>
      <c r="C595" s="1086"/>
      <c r="D595" s="1086"/>
      <c r="E595" s="1086"/>
      <c r="F595" s="1086"/>
      <c r="G595" s="1086"/>
      <c r="H595" s="1086"/>
      <c r="I595" s="1086"/>
      <c r="J595" s="1086"/>
      <c r="K595" s="1086"/>
      <c r="L595" s="1103"/>
      <c r="M595" s="173"/>
      <c r="N595" s="68"/>
      <c r="O595" s="203"/>
      <c r="P595" s="218"/>
      <c r="Q595" s="68"/>
      <c r="R595" s="217"/>
    </row>
    <row r="596" spans="1:18" ht="30" customHeight="1" x14ac:dyDescent="0.35">
      <c r="A596" s="465" t="s">
        <v>278</v>
      </c>
      <c r="B596" s="539">
        <v>1552</v>
      </c>
      <c r="C596" s="1017" t="s">
        <v>490</v>
      </c>
      <c r="D596" s="1017"/>
      <c r="E596" s="541" t="s">
        <v>280</v>
      </c>
      <c r="F596" s="542" t="s">
        <v>8</v>
      </c>
      <c r="G596" s="543" t="s">
        <v>285</v>
      </c>
      <c r="H596" s="632">
        <v>4162</v>
      </c>
      <c r="I596" s="541" t="s">
        <v>281</v>
      </c>
      <c r="J596" s="1019" t="s">
        <v>2371</v>
      </c>
      <c r="K596" s="1019"/>
      <c r="L596" s="1020"/>
      <c r="M596" s="173"/>
      <c r="N596" s="68"/>
      <c r="O596" s="203"/>
      <c r="P596" s="218"/>
      <c r="Q596" s="68"/>
      <c r="R596" s="217"/>
    </row>
    <row r="597" spans="1:18" ht="30" customHeight="1" x14ac:dyDescent="0.35">
      <c r="A597" s="588" t="s">
        <v>298</v>
      </c>
      <c r="B597" s="1038" t="s">
        <v>321</v>
      </c>
      <c r="C597" s="1038"/>
      <c r="D597" s="1038"/>
      <c r="E597" s="23" t="s">
        <v>290</v>
      </c>
      <c r="F597" s="23" t="s">
        <v>322</v>
      </c>
      <c r="G597" s="1034" t="s">
        <v>323</v>
      </c>
      <c r="H597" s="1034"/>
      <c r="I597" s="201" t="s">
        <v>299</v>
      </c>
      <c r="J597" s="201"/>
      <c r="K597" s="1012" t="s">
        <v>292</v>
      </c>
      <c r="L597" s="1023"/>
      <c r="M597" s="173"/>
      <c r="N597" s="68"/>
      <c r="O597" s="203"/>
      <c r="P597" s="218"/>
      <c r="Q597" s="68"/>
      <c r="R597" s="217"/>
    </row>
    <row r="598" spans="1:18" ht="30" customHeight="1" x14ac:dyDescent="0.35">
      <c r="A598" s="241" t="s">
        <v>491</v>
      </c>
      <c r="B598" s="1082" t="s">
        <v>492</v>
      </c>
      <c r="C598" s="1082"/>
      <c r="D598" s="1082"/>
      <c r="E598" s="453">
        <v>32.25</v>
      </c>
      <c r="F598" s="446" t="s">
        <v>8</v>
      </c>
      <c r="G598" s="700"/>
      <c r="H598" s="608"/>
      <c r="I598" s="665">
        <v>1.03</v>
      </c>
      <c r="J598" s="446"/>
      <c r="K598" s="453">
        <f>+E598*I598</f>
        <v>33.217500000000001</v>
      </c>
      <c r="L598" s="243" t="s">
        <v>8</v>
      </c>
      <c r="M598" s="173"/>
      <c r="N598" s="68"/>
      <c r="O598" s="203"/>
      <c r="P598" s="218"/>
      <c r="Q598" s="68"/>
      <c r="R598" s="217"/>
    </row>
    <row r="599" spans="1:18" s="208" customFormat="1" ht="30" customHeight="1" x14ac:dyDescent="0.35">
      <c r="A599" s="241"/>
      <c r="B599" s="485"/>
      <c r="C599" s="610"/>
      <c r="D599" s="608"/>
      <c r="E599" s="453"/>
      <c r="F599" s="703"/>
      <c r="G599" s="700"/>
      <c r="H599" s="608"/>
      <c r="I599" s="446"/>
      <c r="J599" s="446"/>
      <c r="K599" s="453"/>
      <c r="L599" s="243"/>
      <c r="M599" s="173"/>
      <c r="N599" s="68"/>
      <c r="P599" s="218"/>
      <c r="Q599" s="68"/>
      <c r="R599" s="217"/>
    </row>
    <row r="600" spans="1:18" ht="30" customHeight="1" x14ac:dyDescent="0.35">
      <c r="A600" s="241"/>
      <c r="B600" s="506"/>
      <c r="C600" s="506"/>
      <c r="D600" s="506"/>
      <c r="E600" s="453"/>
      <c r="F600" s="1029" t="s">
        <v>302</v>
      </c>
      <c r="G600" s="1058" t="s">
        <v>303</v>
      </c>
      <c r="H600" s="1058"/>
      <c r="I600" s="1058"/>
      <c r="J600" s="1058"/>
      <c r="K600" s="612">
        <v>1.05</v>
      </c>
      <c r="L600" s="243"/>
      <c r="M600" s="173"/>
      <c r="N600" s="68"/>
      <c r="O600" s="203"/>
      <c r="P600" s="218"/>
      <c r="Q600" s="68"/>
      <c r="R600" s="217"/>
    </row>
    <row r="601" spans="1:18" ht="30" customHeight="1" x14ac:dyDescent="0.35">
      <c r="A601" s="241"/>
      <c r="B601" s="506"/>
      <c r="C601" s="506"/>
      <c r="D601" s="506"/>
      <c r="E601" s="453"/>
      <c r="F601" s="1029"/>
      <c r="G601" s="1073" t="s">
        <v>2374</v>
      </c>
      <c r="H601" s="1073"/>
      <c r="I601" s="1073"/>
      <c r="J601" s="1073"/>
      <c r="K601" s="612">
        <v>1.08</v>
      </c>
      <c r="L601" s="243"/>
      <c r="M601" s="173"/>
      <c r="N601" s="419"/>
      <c r="O601" s="171"/>
      <c r="P601" s="216"/>
      <c r="Q601" s="419"/>
      <c r="R601" s="219"/>
    </row>
    <row r="602" spans="1:18" ht="30" customHeight="1" x14ac:dyDescent="0.35">
      <c r="A602" s="241"/>
      <c r="B602" s="446"/>
      <c r="C602" s="458"/>
      <c r="D602" s="458"/>
      <c r="E602" s="458"/>
      <c r="F602" s="458"/>
      <c r="G602" s="458"/>
      <c r="H602" s="458"/>
      <c r="I602" s="458"/>
      <c r="J602" s="458" t="s">
        <v>2356</v>
      </c>
      <c r="K602" s="591">
        <f>+K598*K600/K601</f>
        <v>32.294791666666669</v>
      </c>
      <c r="L602" s="243" t="s">
        <v>8</v>
      </c>
      <c r="M602" s="173"/>
      <c r="N602" s="419"/>
      <c r="O602" s="171"/>
      <c r="P602" s="216"/>
      <c r="Q602" s="419"/>
      <c r="R602" s="219"/>
    </row>
    <row r="603" spans="1:18" ht="30" customHeight="1" thickBot="1" x14ac:dyDescent="0.4">
      <c r="A603" s="241"/>
      <c r="B603" s="446"/>
      <c r="C603" s="458"/>
      <c r="D603" s="458"/>
      <c r="E603" s="458"/>
      <c r="F603" s="458"/>
      <c r="G603" s="592" t="s">
        <v>2358</v>
      </c>
      <c r="H603" s="458"/>
      <c r="I603" s="458"/>
      <c r="J603" s="583">
        <f>VLOOKUP(B596,'Mil Cost Premiums for PUCs'!$A$4:$R$272,18,FALSE)</f>
        <v>1.1223763993485734</v>
      </c>
      <c r="K603" s="591">
        <f>+K602*J603</f>
        <v>36.246911988545648</v>
      </c>
      <c r="L603" s="243" t="s">
        <v>8</v>
      </c>
      <c r="M603" s="173"/>
      <c r="N603" s="68"/>
      <c r="O603" s="203"/>
      <c r="P603" s="218"/>
      <c r="Q603" s="68"/>
      <c r="R603" s="217"/>
    </row>
    <row r="604" spans="1:18" ht="30" customHeight="1" thickBot="1" x14ac:dyDescent="0.4">
      <c r="A604" s="1086"/>
      <c r="B604" s="1086"/>
      <c r="C604" s="1086"/>
      <c r="D604" s="1086"/>
      <c r="E604" s="1086"/>
      <c r="F604" s="1086"/>
      <c r="G604" s="1086"/>
      <c r="H604" s="1086"/>
      <c r="I604" s="1086"/>
      <c r="J604" s="1086"/>
      <c r="K604" s="1086"/>
      <c r="L604" s="1103"/>
      <c r="M604" s="173"/>
      <c r="N604" s="68"/>
      <c r="O604" s="203"/>
      <c r="P604" s="218"/>
      <c r="Q604" s="68"/>
      <c r="R604" s="217"/>
    </row>
    <row r="605" spans="1:18" ht="30" customHeight="1" x14ac:dyDescent="0.35">
      <c r="A605" s="467" t="s">
        <v>278</v>
      </c>
      <c r="B605" s="502">
        <v>1593</v>
      </c>
      <c r="C605" s="1138" t="s">
        <v>2156</v>
      </c>
      <c r="D605" s="1298"/>
      <c r="E605" s="396" t="s">
        <v>280</v>
      </c>
      <c r="F605" s="67" t="s">
        <v>3</v>
      </c>
      <c r="G605" s="150" t="s">
        <v>279</v>
      </c>
      <c r="H605" s="151">
        <v>600</v>
      </c>
      <c r="I605" s="396" t="s">
        <v>281</v>
      </c>
      <c r="J605" s="1019" t="s">
        <v>2371</v>
      </c>
      <c r="K605" s="1019"/>
      <c r="L605" s="1020"/>
      <c r="M605" s="173"/>
      <c r="N605" s="68"/>
      <c r="O605" s="203"/>
      <c r="P605" s="218"/>
      <c r="Q605" s="68"/>
      <c r="R605" s="217"/>
    </row>
    <row r="606" spans="1:18" ht="30" customHeight="1" x14ac:dyDescent="0.35">
      <c r="A606" s="588" t="s">
        <v>298</v>
      </c>
      <c r="B606" s="1038" t="s">
        <v>321</v>
      </c>
      <c r="C606" s="1039"/>
      <c r="D606" s="1040"/>
      <c r="E606" s="23" t="s">
        <v>290</v>
      </c>
      <c r="F606" s="23" t="s">
        <v>322</v>
      </c>
      <c r="G606" s="1012" t="s">
        <v>323</v>
      </c>
      <c r="H606" s="1179"/>
      <c r="I606" s="509" t="s">
        <v>299</v>
      </c>
      <c r="J606" s="509"/>
      <c r="K606" s="1012" t="s">
        <v>292</v>
      </c>
      <c r="L606" s="1013"/>
      <c r="M606" s="173"/>
      <c r="N606" s="68"/>
      <c r="O606" s="203"/>
      <c r="P606" s="218"/>
      <c r="Q606" s="68"/>
      <c r="R606" s="217"/>
    </row>
    <row r="607" spans="1:18" s="208" customFormat="1" ht="30" customHeight="1" x14ac:dyDescent="0.35">
      <c r="A607" s="241" t="s">
        <v>449</v>
      </c>
      <c r="B607" s="1031" t="s">
        <v>2157</v>
      </c>
      <c r="C607" s="1032"/>
      <c r="D607" s="1033"/>
      <c r="E607" s="38">
        <f>+(7.45+8.71)/2</f>
        <v>8.08</v>
      </c>
      <c r="F607" s="3" t="s">
        <v>8</v>
      </c>
      <c r="G607" s="39">
        <v>9</v>
      </c>
      <c r="H607" s="498" t="s">
        <v>482</v>
      </c>
      <c r="I607" s="704">
        <v>1.05</v>
      </c>
      <c r="J607" s="446"/>
      <c r="K607" s="38">
        <f>+E607*G607*I607</f>
        <v>76.356000000000009</v>
      </c>
      <c r="L607" s="676" t="s">
        <v>3</v>
      </c>
      <c r="M607" s="173"/>
      <c r="N607" s="68"/>
      <c r="P607" s="218"/>
      <c r="Q607" s="68"/>
      <c r="R607" s="217"/>
    </row>
    <row r="608" spans="1:18" ht="30" customHeight="1" x14ac:dyDescent="0.35">
      <c r="A608" s="241" t="s">
        <v>449</v>
      </c>
      <c r="B608" s="1031" t="s">
        <v>2158</v>
      </c>
      <c r="C608" s="1032"/>
      <c r="D608" s="1033"/>
      <c r="E608" s="40">
        <f>(0.73+0.86)/2</f>
        <v>0.79499999999999993</v>
      </c>
      <c r="F608" s="3" t="s">
        <v>8</v>
      </c>
      <c r="G608" s="39">
        <v>9</v>
      </c>
      <c r="H608" s="498" t="s">
        <v>482</v>
      </c>
      <c r="I608" s="704">
        <v>1.05</v>
      </c>
      <c r="J608" s="446"/>
      <c r="K608" s="38">
        <f>+E608*G608*I608</f>
        <v>7.5127499999999996</v>
      </c>
      <c r="L608" s="676" t="s">
        <v>3</v>
      </c>
      <c r="M608" s="173"/>
      <c r="N608" s="68"/>
      <c r="O608" s="203"/>
      <c r="P608" s="218"/>
      <c r="Q608" s="68"/>
      <c r="R608" s="217"/>
    </row>
    <row r="609" spans="1:18" ht="30" customHeight="1" x14ac:dyDescent="0.35">
      <c r="A609" s="241" t="s">
        <v>484</v>
      </c>
      <c r="B609" s="1082" t="s">
        <v>2791</v>
      </c>
      <c r="C609" s="1083"/>
      <c r="D609" s="1093"/>
      <c r="E609" s="453">
        <f>(53.5*8)+(15100)/8</f>
        <v>2315.5</v>
      </c>
      <c r="F609" s="446" t="s">
        <v>10</v>
      </c>
      <c r="G609" s="637">
        <f>8/600</f>
        <v>1.3333333333333334E-2</v>
      </c>
      <c r="H609" s="655" t="s">
        <v>1326</v>
      </c>
      <c r="I609" s="704">
        <v>1.04</v>
      </c>
      <c r="J609" s="446"/>
      <c r="K609" s="38">
        <f>+E609*G609*I609</f>
        <v>32.108266666666673</v>
      </c>
      <c r="L609" s="676" t="s">
        <v>3</v>
      </c>
      <c r="M609" s="173"/>
      <c r="N609" s="68"/>
      <c r="O609" s="203"/>
      <c r="P609" s="218"/>
      <c r="Q609" s="68"/>
      <c r="R609" s="217"/>
    </row>
    <row r="610" spans="1:18" ht="30" customHeight="1" x14ac:dyDescent="0.35">
      <c r="A610" s="603"/>
      <c r="B610" s="1031"/>
      <c r="C610" s="1032"/>
      <c r="D610" s="1033"/>
      <c r="E610" s="453"/>
      <c r="F610" s="446"/>
      <c r="G610" s="446"/>
      <c r="H610" s="446"/>
      <c r="I610" s="446"/>
      <c r="J610" s="446" t="s">
        <v>362</v>
      </c>
      <c r="K610" s="630">
        <f>SUM(K607:K609)</f>
        <v>115.97701666666669</v>
      </c>
      <c r="L610" s="676" t="s">
        <v>3</v>
      </c>
      <c r="M610" s="173"/>
      <c r="N610" s="419"/>
      <c r="O610" s="171"/>
      <c r="P610" s="216"/>
      <c r="Q610" s="419"/>
      <c r="R610" s="219"/>
    </row>
    <row r="611" spans="1:18" ht="30" customHeight="1" x14ac:dyDescent="0.35">
      <c r="A611" s="241"/>
      <c r="B611" s="506"/>
      <c r="C611" s="506"/>
      <c r="D611" s="506"/>
      <c r="E611" s="453"/>
      <c r="F611" s="1029" t="s">
        <v>302</v>
      </c>
      <c r="G611" s="1281" t="s">
        <v>303</v>
      </c>
      <c r="H611" s="1296"/>
      <c r="I611" s="1296"/>
      <c r="J611" s="1297"/>
      <c r="K611" s="612">
        <v>1.07</v>
      </c>
      <c r="L611" s="243"/>
      <c r="M611" s="173"/>
      <c r="N611" s="419"/>
      <c r="O611" s="171"/>
      <c r="P611" s="216"/>
      <c r="Q611" s="419"/>
      <c r="R611" s="219"/>
    </row>
    <row r="612" spans="1:18" ht="30" customHeight="1" x14ac:dyDescent="0.35">
      <c r="A612" s="241"/>
      <c r="B612" s="506"/>
      <c r="C612" s="506"/>
      <c r="D612" s="506"/>
      <c r="E612" s="453"/>
      <c r="F612" s="1030"/>
      <c r="G612" s="1104" t="s">
        <v>2374</v>
      </c>
      <c r="H612" s="1105"/>
      <c r="I612" s="1105"/>
      <c r="J612" s="1106"/>
      <c r="K612" s="612">
        <v>1.08</v>
      </c>
      <c r="L612" s="243"/>
      <c r="M612" s="173"/>
      <c r="N612" s="68"/>
      <c r="O612" s="203"/>
      <c r="P612" s="218"/>
      <c r="Q612" s="68"/>
      <c r="R612" s="217"/>
    </row>
    <row r="613" spans="1:18" ht="30" customHeight="1" x14ac:dyDescent="0.35">
      <c r="A613" s="603"/>
      <c r="B613" s="446"/>
      <c r="C613" s="458"/>
      <c r="D613" s="458"/>
      <c r="E613" s="458"/>
      <c r="F613" s="458"/>
      <c r="G613" s="458"/>
      <c r="H613" s="458"/>
      <c r="I613" s="458"/>
      <c r="J613" s="458" t="s">
        <v>2356</v>
      </c>
      <c r="K613" s="585">
        <f>+K610*K611/K612</f>
        <v>114.90315540123459</v>
      </c>
      <c r="L613" s="676" t="s">
        <v>3</v>
      </c>
      <c r="M613" s="173"/>
      <c r="N613" s="68"/>
      <c r="O613" s="203"/>
      <c r="P613" s="218"/>
      <c r="Q613" s="68"/>
      <c r="R613" s="217"/>
    </row>
    <row r="614" spans="1:18" ht="30" customHeight="1" thickBot="1" x14ac:dyDescent="0.4">
      <c r="A614" s="603"/>
      <c r="B614" s="446"/>
      <c r="C614" s="458"/>
      <c r="D614" s="458"/>
      <c r="E614" s="458"/>
      <c r="F614" s="458"/>
      <c r="G614" s="592" t="s">
        <v>2358</v>
      </c>
      <c r="H614" s="458"/>
      <c r="I614" s="458"/>
      <c r="J614" s="583">
        <f>VLOOKUP(B605,'Mil Cost Premiums for PUCs'!$A$4:$R$272,18,FALSE)</f>
        <v>1.0209999999999999</v>
      </c>
      <c r="K614" s="585">
        <f>+K613*J614</f>
        <v>117.3161216646605</v>
      </c>
      <c r="L614" s="676" t="s">
        <v>3</v>
      </c>
      <c r="M614" s="173"/>
      <c r="N614" s="68"/>
      <c r="O614" s="203"/>
      <c r="P614" s="218"/>
      <c r="Q614" s="68"/>
      <c r="R614" s="217"/>
    </row>
    <row r="615" spans="1:18" ht="30" customHeight="1" thickBot="1" x14ac:dyDescent="0.4">
      <c r="A615" s="1086"/>
      <c r="B615" s="1087"/>
      <c r="C615" s="1087"/>
      <c r="D615" s="1087"/>
      <c r="E615" s="1087"/>
      <c r="F615" s="1087"/>
      <c r="G615" s="1087"/>
      <c r="H615" s="1087"/>
      <c r="I615" s="1087"/>
      <c r="J615" s="1087"/>
      <c r="K615" s="1087"/>
      <c r="L615" s="1088"/>
      <c r="M615" s="173"/>
      <c r="N615" s="68"/>
      <c r="O615" s="203"/>
      <c r="P615" s="218"/>
      <c r="Q615" s="68"/>
      <c r="R615" s="217"/>
    </row>
    <row r="616" spans="1:18" ht="30" customHeight="1" x14ac:dyDescent="0.35">
      <c r="A616" s="465" t="s">
        <v>278</v>
      </c>
      <c r="B616" s="539">
        <v>1611</v>
      </c>
      <c r="C616" s="1017" t="s">
        <v>2792</v>
      </c>
      <c r="D616" s="1017"/>
      <c r="E616" s="541" t="s">
        <v>280</v>
      </c>
      <c r="F616" s="542" t="s">
        <v>10</v>
      </c>
      <c r="G616" s="543" t="s">
        <v>285</v>
      </c>
      <c r="H616" s="555">
        <v>1</v>
      </c>
      <c r="I616" s="541" t="s">
        <v>281</v>
      </c>
      <c r="J616" s="1019" t="s">
        <v>2901</v>
      </c>
      <c r="K616" s="1019"/>
      <c r="L616" s="1020"/>
      <c r="M616" s="173"/>
      <c r="N616" s="68"/>
      <c r="O616" s="203"/>
      <c r="P616" s="218"/>
      <c r="Q616" s="68"/>
      <c r="R616" s="217"/>
    </row>
    <row r="617" spans="1:18" ht="30" customHeight="1" x14ac:dyDescent="0.35">
      <c r="A617" s="545"/>
      <c r="B617" s="1021" t="s">
        <v>2921</v>
      </c>
      <c r="C617" s="1021"/>
      <c r="D617" s="1021"/>
      <c r="E617" s="509" t="s">
        <v>290</v>
      </c>
      <c r="F617" s="509" t="s">
        <v>322</v>
      </c>
      <c r="G617" s="1034" t="s">
        <v>323</v>
      </c>
      <c r="H617" s="1034"/>
      <c r="I617" s="509" t="s">
        <v>327</v>
      </c>
      <c r="J617" s="509" t="s">
        <v>419</v>
      </c>
      <c r="K617" s="1012" t="s">
        <v>2356</v>
      </c>
      <c r="L617" s="1023"/>
      <c r="M617" s="173"/>
      <c r="N617" s="68"/>
      <c r="O617" s="203"/>
      <c r="P617" s="218"/>
      <c r="Q617" s="68"/>
      <c r="R617" s="217"/>
    </row>
    <row r="618" spans="1:18" s="208" customFormat="1" ht="30" customHeight="1" x14ac:dyDescent="0.35">
      <c r="A618" s="546"/>
      <c r="B618" s="1014">
        <v>643335.13</v>
      </c>
      <c r="C618" s="1014"/>
      <c r="D618" s="1014"/>
      <c r="E618" s="547"/>
      <c r="F618" s="548"/>
      <c r="G618" s="1015"/>
      <c r="H618" s="1015"/>
      <c r="I618" s="549"/>
      <c r="J618" s="550">
        <v>1.0202</v>
      </c>
      <c r="K618" s="551">
        <f>B618*J618</f>
        <v>656330.49962599995</v>
      </c>
      <c r="L618" s="552" t="s">
        <v>8</v>
      </c>
      <c r="M618" s="173"/>
      <c r="N618" s="68"/>
      <c r="P618" s="218"/>
      <c r="Q618" s="68"/>
      <c r="R618" s="217"/>
    </row>
    <row r="619" spans="1:18" ht="30" customHeight="1" thickBot="1" x14ac:dyDescent="0.4">
      <c r="A619" s="1392"/>
      <c r="B619" s="1393"/>
      <c r="C619" s="1393"/>
      <c r="D619" s="1393"/>
      <c r="E619" s="1393"/>
      <c r="F619" s="1393"/>
      <c r="G619" s="1393"/>
      <c r="H619" s="1393"/>
      <c r="I619" s="1393"/>
      <c r="J619" s="1393"/>
      <c r="K619" s="1393"/>
      <c r="L619" s="1394"/>
      <c r="M619" s="173"/>
      <c r="N619" s="68"/>
      <c r="O619" s="203"/>
      <c r="P619" s="218"/>
      <c r="Q619" s="68"/>
      <c r="R619" s="217"/>
    </row>
    <row r="620" spans="1:18" ht="30" customHeight="1" x14ac:dyDescent="0.35">
      <c r="A620" s="465" t="s">
        <v>278</v>
      </c>
      <c r="B620" s="539">
        <v>1631</v>
      </c>
      <c r="C620" s="1017" t="s">
        <v>2900</v>
      </c>
      <c r="D620" s="1017"/>
      <c r="E620" s="541" t="s">
        <v>280</v>
      </c>
      <c r="F620" s="542" t="s">
        <v>10</v>
      </c>
      <c r="G620" s="543" t="s">
        <v>285</v>
      </c>
      <c r="H620" s="555">
        <v>5</v>
      </c>
      <c r="I620" s="541" t="s">
        <v>281</v>
      </c>
      <c r="J620" s="1019" t="s">
        <v>2929</v>
      </c>
      <c r="K620" s="1019"/>
      <c r="L620" s="1020"/>
      <c r="M620" s="173"/>
      <c r="N620" s="68"/>
      <c r="O620" s="203"/>
      <c r="P620" s="218"/>
      <c r="Q620" s="68"/>
      <c r="R620" s="217"/>
    </row>
    <row r="621" spans="1:18" ht="30" customHeight="1" x14ac:dyDescent="0.35">
      <c r="A621" s="545"/>
      <c r="B621" s="1021" t="s">
        <v>2921</v>
      </c>
      <c r="C621" s="1021"/>
      <c r="D621" s="1021"/>
      <c r="E621" s="509" t="s">
        <v>290</v>
      </c>
      <c r="F621" s="509" t="s">
        <v>322</v>
      </c>
      <c r="G621" s="1034" t="s">
        <v>323</v>
      </c>
      <c r="H621" s="1034"/>
      <c r="I621" s="509" t="s">
        <v>327</v>
      </c>
      <c r="J621" s="509" t="s">
        <v>419</v>
      </c>
      <c r="K621" s="1012" t="s">
        <v>2356</v>
      </c>
      <c r="L621" s="1023"/>
      <c r="M621" s="173"/>
      <c r="N621" s="419"/>
      <c r="O621" s="171"/>
      <c r="P621" s="216"/>
      <c r="Q621" s="419"/>
      <c r="R621" s="219"/>
    </row>
    <row r="622" spans="1:18" ht="30" customHeight="1" x14ac:dyDescent="0.35">
      <c r="A622" s="546"/>
      <c r="B622" s="1014">
        <v>13695.71</v>
      </c>
      <c r="C622" s="1014"/>
      <c r="D622" s="1014"/>
      <c r="E622" s="547"/>
      <c r="F622" s="548"/>
      <c r="G622" s="1015"/>
      <c r="H622" s="1015"/>
      <c r="I622" s="549"/>
      <c r="J622" s="550">
        <v>1.0202</v>
      </c>
      <c r="K622" s="551">
        <f>B622*J622</f>
        <v>13972.363341999999</v>
      </c>
      <c r="L622" s="552" t="s">
        <v>8</v>
      </c>
      <c r="M622" s="173"/>
      <c r="N622" s="419"/>
      <c r="O622" s="171"/>
      <c r="P622" s="216"/>
      <c r="Q622" s="419"/>
      <c r="R622" s="219"/>
    </row>
    <row r="623" spans="1:18" ht="30" customHeight="1" thickBot="1" x14ac:dyDescent="0.4">
      <c r="A623" s="1392"/>
      <c r="B623" s="1393"/>
      <c r="C623" s="1393"/>
      <c r="D623" s="1393"/>
      <c r="E623" s="1393"/>
      <c r="F623" s="1393"/>
      <c r="G623" s="1393"/>
      <c r="H623" s="1393"/>
      <c r="I623" s="1393"/>
      <c r="J623" s="1393"/>
      <c r="K623" s="1393"/>
      <c r="L623" s="1394"/>
      <c r="M623" s="173"/>
      <c r="N623" s="68"/>
      <c r="O623" s="203"/>
      <c r="P623" s="218"/>
      <c r="Q623" s="68"/>
      <c r="R623" s="217"/>
    </row>
    <row r="624" spans="1:18" ht="30" customHeight="1" x14ac:dyDescent="0.35">
      <c r="A624" s="465" t="s">
        <v>278</v>
      </c>
      <c r="B624" s="539">
        <v>1641</v>
      </c>
      <c r="C624" s="1017" t="s">
        <v>494</v>
      </c>
      <c r="D624" s="1017"/>
      <c r="E624" s="541" t="s">
        <v>280</v>
      </c>
      <c r="F624" s="542" t="s">
        <v>6</v>
      </c>
      <c r="G624" s="543" t="s">
        <v>285</v>
      </c>
      <c r="H624" s="632">
        <v>1685</v>
      </c>
      <c r="I624" s="541" t="s">
        <v>281</v>
      </c>
      <c r="J624" s="1019" t="s">
        <v>2371</v>
      </c>
      <c r="K624" s="1019"/>
      <c r="L624" s="1020"/>
      <c r="M624" s="173"/>
      <c r="N624" s="68"/>
      <c r="O624" s="203"/>
      <c r="P624" s="218"/>
      <c r="Q624" s="68"/>
      <c r="R624" s="217"/>
    </row>
    <row r="625" spans="1:18" ht="30" customHeight="1" x14ac:dyDescent="0.35">
      <c r="A625" s="588" t="s">
        <v>298</v>
      </c>
      <c r="B625" s="1038" t="s">
        <v>321</v>
      </c>
      <c r="C625" s="1038"/>
      <c r="D625" s="1038"/>
      <c r="E625" s="23" t="s">
        <v>290</v>
      </c>
      <c r="F625" s="23" t="s">
        <v>322</v>
      </c>
      <c r="G625" s="1034" t="s">
        <v>323</v>
      </c>
      <c r="H625" s="1034"/>
      <c r="I625" s="201" t="s">
        <v>299</v>
      </c>
      <c r="J625" s="201"/>
      <c r="K625" s="1012" t="s">
        <v>292</v>
      </c>
      <c r="L625" s="1023"/>
      <c r="M625" s="173"/>
      <c r="N625" s="68"/>
      <c r="O625" s="203"/>
      <c r="P625" s="218"/>
      <c r="Q625" s="68"/>
      <c r="R625" s="217"/>
    </row>
    <row r="626" spans="1:18" ht="30" customHeight="1" x14ac:dyDescent="0.35">
      <c r="A626" s="241" t="s">
        <v>484</v>
      </c>
      <c r="B626" s="1082" t="s">
        <v>495</v>
      </c>
      <c r="C626" s="1082"/>
      <c r="D626" s="1082"/>
      <c r="E626" s="453">
        <f>+(570+940)/2</f>
        <v>755</v>
      </c>
      <c r="F626" s="446" t="s">
        <v>6</v>
      </c>
      <c r="G626" s="699">
        <v>0.5</v>
      </c>
      <c r="H626" s="608" t="s">
        <v>496</v>
      </c>
      <c r="I626" s="446">
        <v>1.04</v>
      </c>
      <c r="J626" s="665"/>
      <c r="K626" s="453">
        <f>+E626*I626*G626</f>
        <v>392.6</v>
      </c>
      <c r="L626" s="243" t="s">
        <v>6</v>
      </c>
      <c r="M626" s="173"/>
      <c r="N626" s="68"/>
      <c r="O626" s="203"/>
      <c r="P626" s="218"/>
      <c r="Q626" s="68"/>
      <c r="R626" s="217"/>
    </row>
    <row r="627" spans="1:18" s="208" customFormat="1" ht="30" customHeight="1" x14ac:dyDescent="0.35">
      <c r="A627" s="241" t="s">
        <v>451</v>
      </c>
      <c r="B627" s="1082" t="s">
        <v>497</v>
      </c>
      <c r="C627" s="1082"/>
      <c r="D627" s="1082"/>
      <c r="E627" s="453">
        <f>(83.5+118)/2</f>
        <v>100.75</v>
      </c>
      <c r="F627" s="446" t="s">
        <v>3</v>
      </c>
      <c r="G627" s="446">
        <v>1.78</v>
      </c>
      <c r="H627" s="446" t="s">
        <v>498</v>
      </c>
      <c r="I627" s="446">
        <v>1.05</v>
      </c>
      <c r="J627" s="665"/>
      <c r="K627" s="453">
        <f>+E627*G627*I627</f>
        <v>188.30175000000003</v>
      </c>
      <c r="L627" s="243" t="s">
        <v>6</v>
      </c>
      <c r="M627" s="364"/>
      <c r="N627" s="68"/>
      <c r="P627" s="218"/>
      <c r="Q627" s="68"/>
      <c r="R627" s="217"/>
    </row>
    <row r="628" spans="1:18" ht="30" customHeight="1" x14ac:dyDescent="0.35">
      <c r="A628" s="241"/>
      <c r="B628" s="446"/>
      <c r="C628" s="458"/>
      <c r="D628" s="458"/>
      <c r="E628" s="458"/>
      <c r="F628" s="458"/>
      <c r="G628" s="458"/>
      <c r="H628" s="458"/>
      <c r="I628" s="458"/>
      <c r="J628" s="446" t="s">
        <v>2793</v>
      </c>
      <c r="K628" s="591">
        <f>AVERAGE(K626:K627)</f>
        <v>290.450875</v>
      </c>
      <c r="L628" s="243" t="s">
        <v>6</v>
      </c>
      <c r="M628" s="173"/>
      <c r="N628" s="68"/>
      <c r="O628" s="203"/>
      <c r="P628" s="218"/>
      <c r="Q628" s="68"/>
      <c r="R628" s="217"/>
    </row>
    <row r="629" spans="1:18" ht="30" customHeight="1" x14ac:dyDescent="0.35">
      <c r="A629" s="241"/>
      <c r="B629" s="506"/>
      <c r="C629" s="506"/>
      <c r="D629" s="506"/>
      <c r="E629" s="453"/>
      <c r="F629" s="1029" t="s">
        <v>302</v>
      </c>
      <c r="G629" s="1058" t="s">
        <v>303</v>
      </c>
      <c r="H629" s="1058"/>
      <c r="I629" s="1058"/>
      <c r="J629" s="1058"/>
      <c r="K629" s="612">
        <v>1.07</v>
      </c>
      <c r="L629" s="243"/>
      <c r="M629" s="173"/>
      <c r="N629" s="419"/>
      <c r="O629" s="171"/>
      <c r="P629" s="216"/>
      <c r="Q629" s="419"/>
      <c r="R629" s="219"/>
    </row>
    <row r="630" spans="1:18" ht="30" customHeight="1" x14ac:dyDescent="0.35">
      <c r="A630" s="241"/>
      <c r="B630" s="506"/>
      <c r="C630" s="506"/>
      <c r="D630" s="506"/>
      <c r="E630" s="453"/>
      <c r="F630" s="1029"/>
      <c r="G630" s="1073" t="s">
        <v>2374</v>
      </c>
      <c r="H630" s="1073"/>
      <c r="I630" s="1073"/>
      <c r="J630" s="1073"/>
      <c r="K630" s="612">
        <v>1.08</v>
      </c>
      <c r="L630" s="243"/>
      <c r="M630" s="173"/>
      <c r="N630" s="419"/>
      <c r="O630" s="171"/>
      <c r="P630" s="216"/>
      <c r="Q630" s="419"/>
      <c r="R630" s="219"/>
    </row>
    <row r="631" spans="1:18" ht="30" customHeight="1" thickBot="1" x14ac:dyDescent="0.4">
      <c r="A631" s="241"/>
      <c r="B631" s="446"/>
      <c r="C631" s="458"/>
      <c r="D631" s="458"/>
      <c r="E631" s="458"/>
      <c r="F631" s="458"/>
      <c r="G631" s="592" t="s">
        <v>2358</v>
      </c>
      <c r="H631" s="458"/>
      <c r="I631" s="458"/>
      <c r="J631" s="583">
        <f>VLOOKUP(B624,'Mil Cost Premiums for PUCs'!$A$4:$R$272,18,FALSE)</f>
        <v>1.0209999999999999</v>
      </c>
      <c r="K631" s="591">
        <f>+K628*K629/K630</f>
        <v>287.76151504629627</v>
      </c>
      <c r="L631" s="243" t="s">
        <v>6</v>
      </c>
      <c r="M631" s="364"/>
      <c r="N631" s="68"/>
      <c r="O631" s="203"/>
      <c r="P631" s="218"/>
      <c r="Q631" s="68"/>
      <c r="R631" s="217"/>
    </row>
    <row r="632" spans="1:18" ht="30" customHeight="1" thickBot="1" x14ac:dyDescent="0.4">
      <c r="A632" s="1086"/>
      <c r="B632" s="1086"/>
      <c r="C632" s="1086"/>
      <c r="D632" s="1086"/>
      <c r="E632" s="1086"/>
      <c r="F632" s="1086"/>
      <c r="G632" s="1086"/>
      <c r="H632" s="1086"/>
      <c r="I632" s="1086"/>
      <c r="J632" s="1086"/>
      <c r="K632" s="1086"/>
      <c r="L632" s="1103"/>
      <c r="M632" s="173"/>
      <c r="N632" s="228"/>
      <c r="O632" s="228"/>
      <c r="P632" s="218"/>
      <c r="Q632" s="68"/>
      <c r="R632" s="217"/>
    </row>
    <row r="633" spans="1:18" ht="30" customHeight="1" x14ac:dyDescent="0.35">
      <c r="A633" s="465" t="s">
        <v>278</v>
      </c>
      <c r="B633" s="539">
        <v>1711</v>
      </c>
      <c r="C633" s="1060" t="s">
        <v>499</v>
      </c>
      <c r="D633" s="1060"/>
      <c r="E633" s="541" t="s">
        <v>280</v>
      </c>
      <c r="F633" s="542" t="s">
        <v>8</v>
      </c>
      <c r="G633" s="543" t="s">
        <v>285</v>
      </c>
      <c r="H633" s="437">
        <v>12293</v>
      </c>
      <c r="I633" s="541" t="s">
        <v>281</v>
      </c>
      <c r="J633" s="1019" t="s">
        <v>2639</v>
      </c>
      <c r="K633" s="1019"/>
      <c r="L633" s="1020"/>
      <c r="M633" s="173"/>
      <c r="N633" s="229"/>
      <c r="O633" s="229"/>
      <c r="P633" s="218"/>
      <c r="Q633" s="68"/>
      <c r="R633" s="217"/>
    </row>
    <row r="634" spans="1:18" ht="30" customHeight="1" x14ac:dyDescent="0.35">
      <c r="A634" s="545" t="s">
        <v>288</v>
      </c>
      <c r="B634" s="1051" t="s">
        <v>282</v>
      </c>
      <c r="C634" s="1051"/>
      <c r="D634" s="1051"/>
      <c r="E634" s="530" t="s">
        <v>289</v>
      </c>
      <c r="F634" s="561" t="s">
        <v>290</v>
      </c>
      <c r="G634" s="509"/>
      <c r="H634" s="509"/>
      <c r="I634" s="1052" t="s">
        <v>405</v>
      </c>
      <c r="J634" s="1052"/>
      <c r="K634" s="1012" t="s">
        <v>292</v>
      </c>
      <c r="L634" s="1023"/>
      <c r="M634" s="173"/>
      <c r="N634" s="419"/>
      <c r="O634" s="171"/>
      <c r="P634" s="218"/>
      <c r="Q634" s="68"/>
      <c r="R634" s="217"/>
    </row>
    <row r="635" spans="1:18" s="208" customFormat="1" ht="30" customHeight="1" x14ac:dyDescent="0.35">
      <c r="A635" s="562" t="s">
        <v>293</v>
      </c>
      <c r="B635" s="1057" t="s">
        <v>2357</v>
      </c>
      <c r="C635" s="1057"/>
      <c r="D635" s="1057"/>
      <c r="E635" s="563">
        <v>31000</v>
      </c>
      <c r="F635" s="444">
        <v>431</v>
      </c>
      <c r="G635" s="442"/>
      <c r="H635" s="17"/>
      <c r="I635" s="1044" t="s">
        <v>2638</v>
      </c>
      <c r="J635" s="1044"/>
      <c r="K635" s="444">
        <f>+F635</f>
        <v>431</v>
      </c>
      <c r="L635" s="564" t="s">
        <v>8</v>
      </c>
      <c r="M635" s="173"/>
      <c r="N635" s="68"/>
      <c r="P635" s="218"/>
      <c r="Q635" s="68"/>
      <c r="R635" s="217"/>
    </row>
    <row r="636" spans="1:18" ht="30" customHeight="1" thickBot="1" x14ac:dyDescent="0.4">
      <c r="A636" s="241"/>
      <c r="B636" s="1059"/>
      <c r="C636" s="1059"/>
      <c r="D636" s="1059"/>
      <c r="E636" s="565"/>
      <c r="F636" s="566"/>
      <c r="G636" s="566"/>
      <c r="H636" s="567"/>
      <c r="I636" s="458"/>
      <c r="J636" s="510" t="s">
        <v>2356</v>
      </c>
      <c r="K636" s="585">
        <f>+K635</f>
        <v>431</v>
      </c>
      <c r="L636" s="243" t="s">
        <v>8</v>
      </c>
      <c r="M636" s="173"/>
      <c r="N636" s="68"/>
      <c r="O636" s="203"/>
      <c r="P636" s="218"/>
      <c r="Q636" s="68"/>
      <c r="R636" s="217"/>
    </row>
    <row r="637" spans="1:18" ht="30" customHeight="1" thickBot="1" x14ac:dyDescent="0.4">
      <c r="A637" s="1086"/>
      <c r="B637" s="1086"/>
      <c r="C637" s="1086"/>
      <c r="D637" s="1086"/>
      <c r="E637" s="1086"/>
      <c r="F637" s="1086"/>
      <c r="G637" s="1086"/>
      <c r="H637" s="1086"/>
      <c r="I637" s="1086"/>
      <c r="J637" s="1086"/>
      <c r="K637" s="1086"/>
      <c r="L637" s="1103"/>
      <c r="M637" s="173"/>
      <c r="N637" s="68"/>
      <c r="O637" s="203"/>
      <c r="P637" s="218"/>
      <c r="Q637" s="68"/>
      <c r="R637" s="217"/>
    </row>
    <row r="638" spans="1:18" ht="30" customHeight="1" x14ac:dyDescent="0.35">
      <c r="A638" s="465" t="s">
        <v>278</v>
      </c>
      <c r="B638" s="539">
        <v>1712</v>
      </c>
      <c r="C638" s="1060" t="s">
        <v>500</v>
      </c>
      <c r="D638" s="1060"/>
      <c r="E638" s="541" t="s">
        <v>280</v>
      </c>
      <c r="F638" s="542" t="s">
        <v>8</v>
      </c>
      <c r="G638" s="543" t="s">
        <v>285</v>
      </c>
      <c r="H638" s="437">
        <v>15355</v>
      </c>
      <c r="I638" s="541" t="s">
        <v>281</v>
      </c>
      <c r="J638" s="1019" t="s">
        <v>2639</v>
      </c>
      <c r="K638" s="1019"/>
      <c r="L638" s="1020"/>
      <c r="M638" s="173"/>
      <c r="N638" s="68"/>
      <c r="O638" s="203"/>
      <c r="P638" s="218"/>
      <c r="Q638" s="68"/>
      <c r="R638" s="217"/>
    </row>
    <row r="639" spans="1:18" ht="30" customHeight="1" x14ac:dyDescent="0.35">
      <c r="A639" s="545" t="s">
        <v>288</v>
      </c>
      <c r="B639" s="1051" t="s">
        <v>282</v>
      </c>
      <c r="C639" s="1051"/>
      <c r="D639" s="1051"/>
      <c r="E639" s="530" t="s">
        <v>289</v>
      </c>
      <c r="F639" s="561" t="s">
        <v>290</v>
      </c>
      <c r="G639" s="509"/>
      <c r="H639" s="509"/>
      <c r="I639" s="1052" t="s">
        <v>405</v>
      </c>
      <c r="J639" s="1052"/>
      <c r="K639" s="1012" t="s">
        <v>292</v>
      </c>
      <c r="L639" s="1023"/>
      <c r="M639" s="173"/>
      <c r="N639" s="68"/>
      <c r="O639" s="203"/>
      <c r="P639" s="218"/>
      <c r="Q639" s="68"/>
      <c r="R639" s="217"/>
    </row>
    <row r="640" spans="1:18" ht="30" customHeight="1" x14ac:dyDescent="0.35">
      <c r="A640" s="562" t="s">
        <v>293</v>
      </c>
      <c r="B640" s="1057" t="s">
        <v>2650</v>
      </c>
      <c r="C640" s="1057"/>
      <c r="D640" s="1057"/>
      <c r="E640" s="563">
        <v>21000</v>
      </c>
      <c r="F640" s="444">
        <v>380</v>
      </c>
      <c r="G640" s="442"/>
      <c r="H640" s="17"/>
      <c r="I640" s="1044" t="s">
        <v>2638</v>
      </c>
      <c r="J640" s="1044"/>
      <c r="K640" s="444">
        <f>+F640</f>
        <v>380</v>
      </c>
      <c r="L640" s="564" t="s">
        <v>8</v>
      </c>
      <c r="M640" s="173"/>
      <c r="N640" s="419"/>
      <c r="O640" s="171"/>
      <c r="P640" s="216"/>
      <c r="Q640" s="419"/>
      <c r="R640" s="219"/>
    </row>
    <row r="641" spans="1:21" ht="30" customHeight="1" thickBot="1" x14ac:dyDescent="0.4">
      <c r="A641" s="241"/>
      <c r="B641" s="1059" t="s">
        <v>2651</v>
      </c>
      <c r="C641" s="1059"/>
      <c r="D641" s="1059"/>
      <c r="E641" s="565"/>
      <c r="F641" s="566"/>
      <c r="G641" s="566"/>
      <c r="H641" s="567"/>
      <c r="I641" s="458"/>
      <c r="J641" s="510" t="s">
        <v>2356</v>
      </c>
      <c r="K641" s="585">
        <f>+K640</f>
        <v>380</v>
      </c>
      <c r="L641" s="243" t="s">
        <v>8</v>
      </c>
      <c r="M641" s="173"/>
      <c r="N641" s="419"/>
      <c r="O641" s="171"/>
      <c r="P641" s="216"/>
      <c r="Q641" s="419"/>
      <c r="R641" s="219"/>
    </row>
    <row r="642" spans="1:21" ht="30" customHeight="1" thickBot="1" x14ac:dyDescent="0.4">
      <c r="A642" s="1086"/>
      <c r="B642" s="1086"/>
      <c r="C642" s="1086"/>
      <c r="D642" s="1086"/>
      <c r="E642" s="1086"/>
      <c r="F642" s="1086"/>
      <c r="G642" s="1086"/>
      <c r="H642" s="1086"/>
      <c r="I642" s="1086"/>
      <c r="J642" s="1086"/>
      <c r="K642" s="1086"/>
      <c r="L642" s="1103"/>
      <c r="M642" s="173"/>
      <c r="N642" s="68"/>
      <c r="O642" s="203"/>
      <c r="P642" s="218"/>
      <c r="Q642" s="68"/>
      <c r="R642" s="217"/>
    </row>
    <row r="643" spans="1:21" ht="30" customHeight="1" x14ac:dyDescent="0.35">
      <c r="A643" s="465" t="s">
        <v>278</v>
      </c>
      <c r="B643" s="539">
        <v>1713</v>
      </c>
      <c r="C643" s="1060" t="s">
        <v>501</v>
      </c>
      <c r="D643" s="1060"/>
      <c r="E643" s="541" t="s">
        <v>280</v>
      </c>
      <c r="F643" s="542" t="s">
        <v>8</v>
      </c>
      <c r="G643" s="543" t="s">
        <v>285</v>
      </c>
      <c r="H643" s="558">
        <v>10623</v>
      </c>
      <c r="I643" s="541" t="s">
        <v>281</v>
      </c>
      <c r="J643" s="1019" t="s">
        <v>2187</v>
      </c>
      <c r="K643" s="1019"/>
      <c r="L643" s="1020"/>
      <c r="M643" s="173"/>
      <c r="P643" s="171"/>
      <c r="Q643" s="171"/>
      <c r="R643" s="171"/>
      <c r="S643" s="51"/>
      <c r="T643" s="51"/>
      <c r="U643" s="171"/>
    </row>
    <row r="644" spans="1:21" ht="30" customHeight="1" x14ac:dyDescent="0.35">
      <c r="A644" s="545" t="s">
        <v>288</v>
      </c>
      <c r="B644" s="1051" t="s">
        <v>282</v>
      </c>
      <c r="C644" s="1051"/>
      <c r="D644" s="1051"/>
      <c r="E644" s="561" t="s">
        <v>290</v>
      </c>
      <c r="F644" s="509" t="s">
        <v>289</v>
      </c>
      <c r="G644" s="1094" t="s">
        <v>323</v>
      </c>
      <c r="H644" s="1094"/>
      <c r="I644" s="1052" t="s">
        <v>405</v>
      </c>
      <c r="J644" s="1052"/>
      <c r="K644" s="1012" t="s">
        <v>292</v>
      </c>
      <c r="L644" s="1023"/>
      <c r="M644" s="173"/>
      <c r="P644" s="171"/>
      <c r="Q644" s="171"/>
      <c r="R644" s="171"/>
      <c r="S644" s="51"/>
      <c r="T644" s="51"/>
      <c r="U644" s="171"/>
    </row>
    <row r="645" spans="1:21" ht="30" customHeight="1" x14ac:dyDescent="0.35">
      <c r="A645" s="241">
        <v>14129</v>
      </c>
      <c r="B645" s="1031" t="s">
        <v>2794</v>
      </c>
      <c r="C645" s="1031"/>
      <c r="D645" s="1031"/>
      <c r="E645" s="453">
        <v>252</v>
      </c>
      <c r="F645" s="694">
        <v>120000</v>
      </c>
      <c r="G645" s="442"/>
      <c r="H645" s="442"/>
      <c r="I645" s="1044">
        <f>+'2021 MILCON Inflation Table'!F18</f>
        <v>0.9813542688910698</v>
      </c>
      <c r="J645" s="1044"/>
      <c r="K645" s="463">
        <f>+E645*I645</f>
        <v>247.3012757605496</v>
      </c>
      <c r="L645" s="564" t="s">
        <v>8</v>
      </c>
      <c r="M645" s="173"/>
      <c r="N645" s="68"/>
      <c r="O645" s="203"/>
      <c r="P645" s="218"/>
      <c r="Q645" s="68"/>
      <c r="R645" s="217"/>
    </row>
    <row r="646" spans="1:21" s="208" customFormat="1" ht="30" customHeight="1" thickBot="1" x14ac:dyDescent="0.4">
      <c r="A646" s="241"/>
      <c r="B646" s="560"/>
      <c r="C646" s="553"/>
      <c r="D646" s="553"/>
      <c r="E646" s="553"/>
      <c r="F646" s="706"/>
      <c r="G646" s="553"/>
      <c r="H646" s="707"/>
      <c r="I646" s="458"/>
      <c r="J646" s="510" t="s">
        <v>2356</v>
      </c>
      <c r="K646" s="459">
        <f>+K645</f>
        <v>247.3012757605496</v>
      </c>
      <c r="L646" s="243" t="s">
        <v>8</v>
      </c>
      <c r="M646" s="173"/>
      <c r="N646" s="68"/>
      <c r="P646" s="218"/>
      <c r="Q646" s="68"/>
      <c r="R646" s="217"/>
    </row>
    <row r="647" spans="1:21" ht="30" customHeight="1" thickBot="1" x14ac:dyDescent="0.4">
      <c r="A647" s="1086"/>
      <c r="B647" s="1086"/>
      <c r="C647" s="1086"/>
      <c r="D647" s="1086"/>
      <c r="E647" s="1086"/>
      <c r="F647" s="1086"/>
      <c r="G647" s="1086"/>
      <c r="H647" s="1086"/>
      <c r="I647" s="1086"/>
      <c r="J647" s="1086"/>
      <c r="K647" s="1086"/>
      <c r="L647" s="1103"/>
      <c r="M647" s="363"/>
      <c r="N647" s="68"/>
      <c r="O647" s="203"/>
      <c r="P647" s="218"/>
      <c r="Q647" s="68"/>
      <c r="R647" s="217"/>
    </row>
    <row r="648" spans="1:21" ht="30" customHeight="1" x14ac:dyDescent="0.35">
      <c r="A648" s="465" t="s">
        <v>278</v>
      </c>
      <c r="B648" s="539">
        <v>1714</v>
      </c>
      <c r="C648" s="1060" t="s">
        <v>502</v>
      </c>
      <c r="D648" s="1060"/>
      <c r="E648" s="541" t="s">
        <v>280</v>
      </c>
      <c r="F648" s="542" t="s">
        <v>8</v>
      </c>
      <c r="G648" s="543" t="s">
        <v>285</v>
      </c>
      <c r="H648" s="437">
        <v>20859</v>
      </c>
      <c r="I648" s="541" t="s">
        <v>281</v>
      </c>
      <c r="J648" s="1019" t="s">
        <v>2639</v>
      </c>
      <c r="K648" s="1019"/>
      <c r="L648" s="1020"/>
      <c r="M648" s="173"/>
      <c r="N648" s="68"/>
      <c r="O648" s="203"/>
      <c r="P648" s="218"/>
      <c r="Q648" s="68"/>
      <c r="R648" s="217"/>
    </row>
    <row r="649" spans="1:21" ht="30" customHeight="1" x14ac:dyDescent="0.35">
      <c r="A649" s="545" t="s">
        <v>288</v>
      </c>
      <c r="B649" s="1051" t="s">
        <v>282</v>
      </c>
      <c r="C649" s="1051"/>
      <c r="D649" s="1051"/>
      <c r="E649" s="530" t="s">
        <v>289</v>
      </c>
      <c r="F649" s="561" t="s">
        <v>290</v>
      </c>
      <c r="G649" s="509"/>
      <c r="H649" s="509"/>
      <c r="I649" s="1052" t="s">
        <v>405</v>
      </c>
      <c r="J649" s="1052"/>
      <c r="K649" s="1012" t="s">
        <v>292</v>
      </c>
      <c r="L649" s="1023"/>
      <c r="M649" s="173"/>
      <c r="N649" s="68"/>
      <c r="O649" s="203"/>
      <c r="P649" s="218"/>
      <c r="Q649" s="68"/>
      <c r="R649" s="217"/>
    </row>
    <row r="650" spans="1:21" ht="30" customHeight="1" x14ac:dyDescent="0.35">
      <c r="A650" s="562" t="s">
        <v>293</v>
      </c>
      <c r="B650" s="1057" t="s">
        <v>503</v>
      </c>
      <c r="C650" s="1057"/>
      <c r="D650" s="1057"/>
      <c r="E650" s="563">
        <v>45000</v>
      </c>
      <c r="F650" s="444">
        <v>350</v>
      </c>
      <c r="G650" s="442"/>
      <c r="H650" s="17"/>
      <c r="I650" s="1044" t="str">
        <f t="shared" ref="I650" si="14">$I$640</f>
        <v>NA;  GUCs are as of October 2020</v>
      </c>
      <c r="J650" s="1044"/>
      <c r="K650" s="444">
        <f>+F650</f>
        <v>350</v>
      </c>
      <c r="L650" s="564" t="s">
        <v>8</v>
      </c>
      <c r="M650" s="173"/>
      <c r="N650" s="419"/>
      <c r="O650" s="171"/>
      <c r="P650" s="216"/>
      <c r="Q650" s="419"/>
      <c r="R650" s="219"/>
    </row>
    <row r="651" spans="1:21" ht="30" customHeight="1" thickBot="1" x14ac:dyDescent="0.4">
      <c r="A651" s="241"/>
      <c r="B651" s="1059"/>
      <c r="C651" s="1059"/>
      <c r="D651" s="1059"/>
      <c r="E651" s="565"/>
      <c r="F651" s="566"/>
      <c r="G651" s="566"/>
      <c r="H651" s="567"/>
      <c r="I651" s="458"/>
      <c r="J651" s="510" t="s">
        <v>2356</v>
      </c>
      <c r="K651" s="585">
        <f>+K650</f>
        <v>350</v>
      </c>
      <c r="L651" s="243" t="s">
        <v>8</v>
      </c>
      <c r="M651" s="173"/>
      <c r="N651" s="419"/>
      <c r="O651" s="171"/>
      <c r="P651" s="216"/>
      <c r="Q651" s="419"/>
      <c r="R651" s="219"/>
    </row>
    <row r="652" spans="1:21" ht="30" customHeight="1" thickBot="1" x14ac:dyDescent="0.4">
      <c r="A652" s="1086"/>
      <c r="B652" s="1086"/>
      <c r="C652" s="1086"/>
      <c r="D652" s="1086"/>
      <c r="E652" s="1086"/>
      <c r="F652" s="1086"/>
      <c r="G652" s="1086"/>
      <c r="H652" s="1086"/>
      <c r="I652" s="1086"/>
      <c r="J652" s="1086"/>
      <c r="K652" s="1086"/>
      <c r="L652" s="1103"/>
      <c r="M652" s="173"/>
      <c r="N652" s="68"/>
      <c r="O652" s="203"/>
      <c r="P652" s="218"/>
      <c r="Q652" s="68"/>
      <c r="R652" s="217"/>
    </row>
    <row r="653" spans="1:21" ht="30" customHeight="1" x14ac:dyDescent="0.35">
      <c r="A653" s="465" t="s">
        <v>278</v>
      </c>
      <c r="B653" s="695">
        <v>1715</v>
      </c>
      <c r="C653" s="1060" t="s">
        <v>504</v>
      </c>
      <c r="D653" s="1060"/>
      <c r="E653" s="541" t="s">
        <v>280</v>
      </c>
      <c r="F653" s="542" t="s">
        <v>8</v>
      </c>
      <c r="G653" s="543" t="s">
        <v>285</v>
      </c>
      <c r="H653" s="555">
        <v>53337</v>
      </c>
      <c r="I653" s="541" t="s">
        <v>281</v>
      </c>
      <c r="J653" s="1019" t="s">
        <v>415</v>
      </c>
      <c r="K653" s="1019"/>
      <c r="L653" s="1020"/>
      <c r="M653" s="173"/>
      <c r="N653" s="68"/>
      <c r="O653" s="203"/>
      <c r="P653" s="218"/>
      <c r="Q653" s="68"/>
      <c r="R653" s="217"/>
    </row>
    <row r="654" spans="1:21" s="27" customFormat="1" ht="30" customHeight="1" x14ac:dyDescent="0.35">
      <c r="A654" s="545" t="s">
        <v>288</v>
      </c>
      <c r="B654" s="1051" t="s">
        <v>282</v>
      </c>
      <c r="C654" s="1051"/>
      <c r="D654" s="1051"/>
      <c r="E654" s="561" t="s">
        <v>290</v>
      </c>
      <c r="F654" s="509" t="s">
        <v>289</v>
      </c>
      <c r="G654" s="1094" t="s">
        <v>323</v>
      </c>
      <c r="H654" s="1094"/>
      <c r="I654" s="1052" t="s">
        <v>405</v>
      </c>
      <c r="J654" s="1052"/>
      <c r="K654" s="1012" t="s">
        <v>292</v>
      </c>
      <c r="L654" s="1023"/>
      <c r="M654" s="363"/>
      <c r="N654" s="214"/>
      <c r="O654" s="207"/>
    </row>
    <row r="655" spans="1:21" s="208" customFormat="1" ht="30" customHeight="1" x14ac:dyDescent="0.35">
      <c r="A655" s="562">
        <v>74028</v>
      </c>
      <c r="B655" s="1057" t="s">
        <v>505</v>
      </c>
      <c r="C655" s="1057"/>
      <c r="D655" s="1057"/>
      <c r="E655" s="460">
        <v>250</v>
      </c>
      <c r="F655" s="708">
        <v>62000</v>
      </c>
      <c r="G655" s="462"/>
      <c r="H655" s="462"/>
      <c r="I655" s="1044">
        <f>+'2021 MILCON Inflation Table'!F13</f>
        <v>1.1643998639918394</v>
      </c>
      <c r="J655" s="1044"/>
      <c r="K655" s="709">
        <f>+E655*I655</f>
        <v>291.09996599795983</v>
      </c>
      <c r="L655" s="698" t="s">
        <v>8</v>
      </c>
      <c r="M655" s="173"/>
      <c r="O655" s="205"/>
    </row>
    <row r="656" spans="1:21" ht="30" customHeight="1" thickBot="1" x14ac:dyDescent="0.4">
      <c r="A656" s="241"/>
      <c r="B656" s="1059"/>
      <c r="C656" s="1059"/>
      <c r="D656" s="1059"/>
      <c r="E656" s="565"/>
      <c r="F656" s="566"/>
      <c r="G656" s="566"/>
      <c r="H656" s="567"/>
      <c r="I656" s="458"/>
      <c r="J656" s="510" t="s">
        <v>2356</v>
      </c>
      <c r="K656" s="459">
        <f>+K655</f>
        <v>291.09996599795983</v>
      </c>
      <c r="L656" s="243" t="s">
        <v>8</v>
      </c>
      <c r="M656" s="173"/>
      <c r="N656" s="425"/>
    </row>
    <row r="657" spans="1:21" ht="30" customHeight="1" thickBot="1" x14ac:dyDescent="0.4">
      <c r="A657" s="1086"/>
      <c r="B657" s="1086"/>
      <c r="C657" s="1086"/>
      <c r="D657" s="1086"/>
      <c r="E657" s="1086"/>
      <c r="F657" s="1086"/>
      <c r="G657" s="1086"/>
      <c r="H657" s="1086"/>
      <c r="I657" s="1086"/>
      <c r="J657" s="1086"/>
      <c r="K657" s="1086"/>
      <c r="L657" s="1103"/>
      <c r="M657" s="363"/>
      <c r="P657" s="171"/>
      <c r="Q657" s="171"/>
      <c r="R657" s="171"/>
      <c r="S657" s="51"/>
      <c r="T657" s="51"/>
      <c r="U657" s="171"/>
    </row>
    <row r="658" spans="1:21" ht="30" customHeight="1" x14ac:dyDescent="0.35">
      <c r="A658" s="465" t="s">
        <v>278</v>
      </c>
      <c r="B658" s="539">
        <v>1717</v>
      </c>
      <c r="C658" s="1060" t="s">
        <v>506</v>
      </c>
      <c r="D658" s="1060"/>
      <c r="E658" s="541" t="s">
        <v>280</v>
      </c>
      <c r="F658" s="542" t="s">
        <v>8</v>
      </c>
      <c r="G658" s="543" t="s">
        <v>285</v>
      </c>
      <c r="H658" s="437">
        <v>4563</v>
      </c>
      <c r="I658" s="541" t="s">
        <v>281</v>
      </c>
      <c r="J658" s="1019" t="s">
        <v>2637</v>
      </c>
      <c r="K658" s="1019"/>
      <c r="L658" s="1020"/>
      <c r="M658" s="173"/>
      <c r="P658" s="171"/>
      <c r="Q658" s="171"/>
      <c r="R658" s="171"/>
      <c r="S658" s="51"/>
      <c r="T658" s="51"/>
      <c r="U658" s="171"/>
    </row>
    <row r="659" spans="1:21" s="27" customFormat="1" ht="30" customHeight="1" x14ac:dyDescent="0.35">
      <c r="A659" s="545" t="s">
        <v>288</v>
      </c>
      <c r="B659" s="1051" t="s">
        <v>282</v>
      </c>
      <c r="C659" s="1051"/>
      <c r="D659" s="1051"/>
      <c r="E659" s="530" t="s">
        <v>289</v>
      </c>
      <c r="F659" s="561" t="s">
        <v>290</v>
      </c>
      <c r="G659" s="509"/>
      <c r="H659" s="509"/>
      <c r="I659" s="1052" t="s">
        <v>405</v>
      </c>
      <c r="J659" s="1052"/>
      <c r="K659" s="1012" t="s">
        <v>292</v>
      </c>
      <c r="L659" s="1023"/>
      <c r="M659" s="173"/>
      <c r="N659" s="214"/>
      <c r="O659" s="207"/>
    </row>
    <row r="660" spans="1:21" s="208" customFormat="1" ht="30" customHeight="1" x14ac:dyDescent="0.35">
      <c r="A660" s="562" t="s">
        <v>293</v>
      </c>
      <c r="B660" s="1057" t="s">
        <v>2734</v>
      </c>
      <c r="C660" s="1057"/>
      <c r="D660" s="1057"/>
      <c r="E660" s="563">
        <v>31000</v>
      </c>
      <c r="F660" s="444">
        <v>431</v>
      </c>
      <c r="G660" s="442"/>
      <c r="H660" s="17"/>
      <c r="I660" s="1044" t="str">
        <f t="shared" ref="I660" si="15">$I$640</f>
        <v>NA;  GUCs are as of October 2020</v>
      </c>
      <c r="J660" s="1044"/>
      <c r="K660" s="444">
        <f>+F660</f>
        <v>431</v>
      </c>
      <c r="L660" s="564" t="s">
        <v>8</v>
      </c>
      <c r="M660" s="173"/>
      <c r="O660" s="205"/>
    </row>
    <row r="661" spans="1:21" ht="30" customHeight="1" thickBot="1" x14ac:dyDescent="0.4">
      <c r="A661" s="241"/>
      <c r="B661" s="1059"/>
      <c r="C661" s="1059"/>
      <c r="D661" s="1059"/>
      <c r="E661" s="565"/>
      <c r="F661" s="566"/>
      <c r="G661" s="566"/>
      <c r="H661" s="567"/>
      <c r="I661" s="458"/>
      <c r="J661" s="510" t="s">
        <v>2356</v>
      </c>
      <c r="K661" s="585">
        <f>+K660</f>
        <v>431</v>
      </c>
      <c r="L661" s="243" t="s">
        <v>8</v>
      </c>
      <c r="M661" s="173"/>
    </row>
    <row r="662" spans="1:21" ht="30" customHeight="1" thickBot="1" x14ac:dyDescent="0.4">
      <c r="A662" s="1086"/>
      <c r="B662" s="1086"/>
      <c r="C662" s="1086"/>
      <c r="D662" s="1086"/>
      <c r="E662" s="1086"/>
      <c r="F662" s="1086"/>
      <c r="G662" s="1086"/>
      <c r="H662" s="1086"/>
      <c r="I662" s="1086"/>
      <c r="J662" s="1086"/>
      <c r="K662" s="1086"/>
      <c r="L662" s="1103"/>
      <c r="M662" s="173"/>
      <c r="P662" s="171"/>
      <c r="Q662" s="171"/>
      <c r="R662" s="171"/>
      <c r="S662" s="51"/>
      <c r="T662" s="51"/>
      <c r="U662" s="171"/>
    </row>
    <row r="663" spans="1:21" ht="30" customHeight="1" x14ac:dyDescent="0.35">
      <c r="A663" s="465" t="s">
        <v>278</v>
      </c>
      <c r="B663" s="539">
        <v>1718</v>
      </c>
      <c r="C663" s="1060" t="s">
        <v>507</v>
      </c>
      <c r="D663" s="1060"/>
      <c r="E663" s="541" t="s">
        <v>280</v>
      </c>
      <c r="F663" s="542" t="s">
        <v>8</v>
      </c>
      <c r="G663" s="543" t="s">
        <v>285</v>
      </c>
      <c r="H663" s="437">
        <v>6135</v>
      </c>
      <c r="I663" s="541" t="s">
        <v>281</v>
      </c>
      <c r="J663" s="1019" t="s">
        <v>2637</v>
      </c>
      <c r="K663" s="1019"/>
      <c r="L663" s="1020"/>
      <c r="M663" s="173"/>
      <c r="P663" s="171"/>
      <c r="Q663" s="171"/>
      <c r="R663" s="171"/>
      <c r="S663" s="51"/>
      <c r="T663" s="51"/>
      <c r="U663" s="171"/>
    </row>
    <row r="664" spans="1:21" s="27" customFormat="1" ht="30" customHeight="1" x14ac:dyDescent="0.35">
      <c r="A664" s="545" t="s">
        <v>288</v>
      </c>
      <c r="B664" s="1051" t="s">
        <v>282</v>
      </c>
      <c r="C664" s="1051"/>
      <c r="D664" s="1051"/>
      <c r="E664" s="530" t="s">
        <v>289</v>
      </c>
      <c r="F664" s="561" t="s">
        <v>290</v>
      </c>
      <c r="G664" s="509"/>
      <c r="H664" s="509"/>
      <c r="I664" s="1052" t="s">
        <v>405</v>
      </c>
      <c r="J664" s="1052"/>
      <c r="K664" s="1012" t="s">
        <v>292</v>
      </c>
      <c r="L664" s="1023"/>
      <c r="M664" s="363"/>
      <c r="N664" s="214"/>
      <c r="O664" s="207"/>
    </row>
    <row r="665" spans="1:21" s="208" customFormat="1" ht="30" customHeight="1" x14ac:dyDescent="0.35">
      <c r="A665" s="562" t="s">
        <v>293</v>
      </c>
      <c r="B665" s="1057" t="s">
        <v>508</v>
      </c>
      <c r="C665" s="1057"/>
      <c r="D665" s="1057"/>
      <c r="E665" s="563">
        <v>36000</v>
      </c>
      <c r="F665" s="444">
        <v>310</v>
      </c>
      <c r="G665" s="442"/>
      <c r="H665" s="17"/>
      <c r="I665" s="1044" t="str">
        <f t="shared" ref="I665" si="16">$I$640</f>
        <v>NA;  GUCs are as of October 2020</v>
      </c>
      <c r="J665" s="1044"/>
      <c r="K665" s="444">
        <f>+F665</f>
        <v>310</v>
      </c>
      <c r="L665" s="564" t="s">
        <v>8</v>
      </c>
      <c r="M665" s="173"/>
      <c r="O665" s="205"/>
    </row>
    <row r="666" spans="1:21" s="208" customFormat="1" ht="30" customHeight="1" thickBot="1" x14ac:dyDescent="0.4">
      <c r="A666" s="241"/>
      <c r="B666" s="1059"/>
      <c r="C666" s="1059"/>
      <c r="D666" s="1059"/>
      <c r="E666" s="565"/>
      <c r="F666" s="566"/>
      <c r="G666" s="566"/>
      <c r="H666" s="567"/>
      <c r="I666" s="458"/>
      <c r="J666" s="510" t="s">
        <v>2356</v>
      </c>
      <c r="K666" s="585">
        <f>+K665</f>
        <v>310</v>
      </c>
      <c r="L666" s="243" t="s">
        <v>8</v>
      </c>
      <c r="M666" s="173"/>
      <c r="O666" s="205"/>
    </row>
    <row r="667" spans="1:21" s="208" customFormat="1" ht="30" customHeight="1" thickBot="1" x14ac:dyDescent="0.4">
      <c r="A667" s="1086"/>
      <c r="B667" s="1086"/>
      <c r="C667" s="1086"/>
      <c r="D667" s="1086"/>
      <c r="E667" s="1086"/>
      <c r="F667" s="1086"/>
      <c r="G667" s="1086"/>
      <c r="H667" s="1086"/>
      <c r="I667" s="1086"/>
      <c r="J667" s="1086"/>
      <c r="K667" s="1086"/>
      <c r="L667" s="1103"/>
      <c r="M667" s="173"/>
      <c r="O667" s="205"/>
    </row>
    <row r="668" spans="1:21" ht="30" customHeight="1" x14ac:dyDescent="0.35">
      <c r="A668" s="465" t="s">
        <v>278</v>
      </c>
      <c r="B668" s="539">
        <v>1721</v>
      </c>
      <c r="C668" s="1060" t="s">
        <v>509</v>
      </c>
      <c r="D668" s="1060"/>
      <c r="E668" s="541" t="s">
        <v>280</v>
      </c>
      <c r="F668" s="542" t="s">
        <v>8</v>
      </c>
      <c r="G668" s="543" t="s">
        <v>285</v>
      </c>
      <c r="H668" s="437">
        <v>15277</v>
      </c>
      <c r="I668" s="541" t="s">
        <v>281</v>
      </c>
      <c r="J668" s="1019" t="s">
        <v>2637</v>
      </c>
      <c r="K668" s="1019"/>
      <c r="L668" s="1020"/>
      <c r="M668" s="173"/>
      <c r="N668" s="13"/>
    </row>
    <row r="669" spans="1:21" ht="30" customHeight="1" x14ac:dyDescent="0.35">
      <c r="A669" s="545" t="s">
        <v>288</v>
      </c>
      <c r="B669" s="1051" t="s">
        <v>282</v>
      </c>
      <c r="C669" s="1051"/>
      <c r="D669" s="1051"/>
      <c r="E669" s="530" t="s">
        <v>289</v>
      </c>
      <c r="F669" s="561" t="s">
        <v>290</v>
      </c>
      <c r="G669" s="509"/>
      <c r="H669" s="509"/>
      <c r="I669" s="1052" t="s">
        <v>405</v>
      </c>
      <c r="J669" s="1052"/>
      <c r="K669" s="1012" t="s">
        <v>292</v>
      </c>
      <c r="L669" s="1023"/>
      <c r="M669" s="173"/>
      <c r="N669" s="13"/>
      <c r="P669" s="171"/>
      <c r="Q669" s="171"/>
      <c r="R669" s="171"/>
      <c r="S669" s="51"/>
      <c r="T669" s="51"/>
      <c r="U669" s="171"/>
    </row>
    <row r="670" spans="1:21" ht="30" customHeight="1" x14ac:dyDescent="0.35">
      <c r="A670" s="562" t="s">
        <v>293</v>
      </c>
      <c r="B670" s="1057" t="s">
        <v>2735</v>
      </c>
      <c r="C670" s="1057"/>
      <c r="D670" s="1057"/>
      <c r="E670" s="563">
        <v>8600</v>
      </c>
      <c r="F670" s="444">
        <v>577</v>
      </c>
      <c r="G670" s="442"/>
      <c r="H670" s="17"/>
      <c r="I670" s="1044" t="str">
        <f>$I$640</f>
        <v>NA;  GUCs are as of October 2020</v>
      </c>
      <c r="J670" s="1044"/>
      <c r="K670" s="444">
        <f>F670</f>
        <v>577</v>
      </c>
      <c r="L670" s="564" t="s">
        <v>8</v>
      </c>
      <c r="M670" s="173"/>
      <c r="P670" s="171"/>
      <c r="Q670" s="171"/>
      <c r="R670" s="171"/>
      <c r="S670" s="51"/>
      <c r="T670" s="51"/>
      <c r="U670" s="171"/>
    </row>
    <row r="671" spans="1:21" s="27" customFormat="1" ht="30" customHeight="1" x14ac:dyDescent="0.35">
      <c r="A671" s="1142"/>
      <c r="B671" s="1143"/>
      <c r="C671" s="1143"/>
      <c r="D671" s="1143"/>
      <c r="E671" s="1143"/>
      <c r="F671" s="1143"/>
      <c r="G671" s="1143"/>
      <c r="H671" s="1143"/>
      <c r="I671" s="1044" t="s">
        <v>2736</v>
      </c>
      <c r="J671" s="1044"/>
      <c r="K671" s="444">
        <f>K670</f>
        <v>577</v>
      </c>
      <c r="L671" s="564"/>
      <c r="M671" s="173"/>
      <c r="N671" s="214"/>
      <c r="O671" s="207"/>
    </row>
    <row r="672" spans="1:21" s="208" customFormat="1" ht="30" customHeight="1" thickBot="1" x14ac:dyDescent="0.4">
      <c r="A672" s="241"/>
      <c r="B672" s="1059"/>
      <c r="C672" s="1059"/>
      <c r="D672" s="1059"/>
      <c r="E672" s="565"/>
      <c r="F672" s="566"/>
      <c r="G672" s="566"/>
      <c r="H672" s="567"/>
      <c r="I672" s="458"/>
      <c r="J672" s="510" t="s">
        <v>2356</v>
      </c>
      <c r="K672" s="444">
        <f>(K670+K671)/2</f>
        <v>577</v>
      </c>
      <c r="L672" s="243" t="s">
        <v>8</v>
      </c>
      <c r="M672" s="173"/>
      <c r="O672" s="205"/>
    </row>
    <row r="673" spans="1:21" ht="30" customHeight="1" thickBot="1" x14ac:dyDescent="0.4">
      <c r="A673" s="1086"/>
      <c r="B673" s="1086"/>
      <c r="C673" s="1086"/>
      <c r="D673" s="1086"/>
      <c r="E673" s="1086"/>
      <c r="F673" s="1086"/>
      <c r="G673" s="1086"/>
      <c r="H673" s="1086"/>
      <c r="I673" s="1086"/>
      <c r="J673" s="1086"/>
      <c r="K673" s="1086"/>
      <c r="L673" s="1103"/>
      <c r="M673" s="173"/>
      <c r="N673" s="425"/>
    </row>
    <row r="674" spans="1:21" ht="30" customHeight="1" x14ac:dyDescent="0.35">
      <c r="A674" s="465" t="s">
        <v>278</v>
      </c>
      <c r="B674" s="695">
        <v>1722</v>
      </c>
      <c r="C674" s="1060" t="s">
        <v>510</v>
      </c>
      <c r="D674" s="1060"/>
      <c r="E674" s="541" t="s">
        <v>280</v>
      </c>
      <c r="F674" s="542" t="s">
        <v>8</v>
      </c>
      <c r="G674" s="543" t="s">
        <v>285</v>
      </c>
      <c r="H674" s="558">
        <v>8503</v>
      </c>
      <c r="I674" s="541" t="s">
        <v>281</v>
      </c>
      <c r="J674" s="1019" t="s">
        <v>2637</v>
      </c>
      <c r="K674" s="1019"/>
      <c r="L674" s="1020"/>
      <c r="M674" s="173"/>
      <c r="P674" s="171"/>
      <c r="Q674" s="171"/>
      <c r="R674" s="171"/>
      <c r="S674" s="51"/>
      <c r="T674" s="51"/>
      <c r="U674" s="171"/>
    </row>
    <row r="675" spans="1:21" ht="30" customHeight="1" x14ac:dyDescent="0.35">
      <c r="A675" s="545" t="s">
        <v>288</v>
      </c>
      <c r="B675" s="1051" t="s">
        <v>282</v>
      </c>
      <c r="C675" s="1051"/>
      <c r="D675" s="1051"/>
      <c r="E675" s="530" t="s">
        <v>289</v>
      </c>
      <c r="F675" s="561" t="s">
        <v>290</v>
      </c>
      <c r="G675" s="509"/>
      <c r="H675" s="509"/>
      <c r="I675" s="1052" t="s">
        <v>405</v>
      </c>
      <c r="J675" s="1052"/>
      <c r="K675" s="1012" t="s">
        <v>292</v>
      </c>
      <c r="L675" s="1023"/>
      <c r="M675" s="173"/>
      <c r="P675" s="171"/>
      <c r="Q675" s="171"/>
      <c r="R675" s="171"/>
      <c r="S675" s="51"/>
      <c r="T675" s="51"/>
      <c r="U675" s="171"/>
    </row>
    <row r="676" spans="1:21" ht="30" customHeight="1" x14ac:dyDescent="0.35">
      <c r="A676" s="562" t="s">
        <v>293</v>
      </c>
      <c r="B676" s="1057" t="s">
        <v>511</v>
      </c>
      <c r="C676" s="1057"/>
      <c r="D676" s="1057"/>
      <c r="E676" s="563">
        <v>8600</v>
      </c>
      <c r="F676" s="444">
        <v>577</v>
      </c>
      <c r="G676" s="442"/>
      <c r="H676" s="17"/>
      <c r="I676" s="1044" t="str">
        <f>$I$640</f>
        <v>NA;  GUCs are as of October 2020</v>
      </c>
      <c r="J676" s="1044"/>
      <c r="K676" s="444">
        <f>+F676</f>
        <v>577</v>
      </c>
      <c r="L676" s="564" t="s">
        <v>8</v>
      </c>
      <c r="M676" s="173"/>
      <c r="P676" s="171"/>
      <c r="Q676" s="171"/>
      <c r="R676" s="171"/>
      <c r="S676" s="51"/>
      <c r="T676" s="51"/>
      <c r="U676" s="171"/>
    </row>
    <row r="677" spans="1:21" s="208" customFormat="1" ht="30" customHeight="1" thickBot="1" x14ac:dyDescent="0.4">
      <c r="A677" s="241"/>
      <c r="B677" s="1059"/>
      <c r="C677" s="1059"/>
      <c r="D677" s="1059"/>
      <c r="E677" s="565"/>
      <c r="F677" s="566"/>
      <c r="G677" s="566"/>
      <c r="H677" s="567"/>
      <c r="I677" s="458"/>
      <c r="J677" s="510" t="s">
        <v>2356</v>
      </c>
      <c r="K677" s="585">
        <f>+K676</f>
        <v>577</v>
      </c>
      <c r="L677" s="243" t="s">
        <v>8</v>
      </c>
      <c r="M677" s="173"/>
      <c r="O677" s="205"/>
    </row>
    <row r="678" spans="1:21" ht="30" customHeight="1" thickBot="1" x14ac:dyDescent="0.4">
      <c r="A678" s="1086"/>
      <c r="B678" s="1086"/>
      <c r="C678" s="1086"/>
      <c r="D678" s="1086"/>
      <c r="E678" s="1086"/>
      <c r="F678" s="1086"/>
      <c r="G678" s="1086"/>
      <c r="H678" s="1086"/>
      <c r="I678" s="1086"/>
      <c r="J678" s="1086"/>
      <c r="K678" s="1086"/>
      <c r="L678" s="1103"/>
      <c r="M678" s="173"/>
    </row>
    <row r="679" spans="1:21" ht="30" customHeight="1" x14ac:dyDescent="0.35">
      <c r="A679" s="465" t="s">
        <v>278</v>
      </c>
      <c r="B679" s="539">
        <v>1723</v>
      </c>
      <c r="C679" s="1060" t="s">
        <v>512</v>
      </c>
      <c r="D679" s="1060"/>
      <c r="E679" s="541" t="s">
        <v>280</v>
      </c>
      <c r="F679" s="542" t="s">
        <v>8</v>
      </c>
      <c r="G679" s="543" t="s">
        <v>285</v>
      </c>
      <c r="H679" s="569">
        <v>834</v>
      </c>
      <c r="I679" s="541" t="s">
        <v>281</v>
      </c>
      <c r="J679" s="1019" t="s">
        <v>513</v>
      </c>
      <c r="K679" s="1019"/>
      <c r="L679" s="1020"/>
      <c r="M679" s="173"/>
    </row>
    <row r="680" spans="1:21" ht="30" customHeight="1" x14ac:dyDescent="0.35">
      <c r="A680" s="545" t="s">
        <v>288</v>
      </c>
      <c r="B680" s="1051" t="s">
        <v>282</v>
      </c>
      <c r="C680" s="1051"/>
      <c r="D680" s="1051"/>
      <c r="E680" s="509" t="s">
        <v>289</v>
      </c>
      <c r="F680" s="561" t="s">
        <v>290</v>
      </c>
      <c r="G680" s="458"/>
      <c r="H680" s="660"/>
      <c r="I680" s="1052" t="s">
        <v>405</v>
      </c>
      <c r="J680" s="1052"/>
      <c r="K680" s="1012" t="s">
        <v>292</v>
      </c>
      <c r="L680" s="1023"/>
      <c r="M680" s="173"/>
      <c r="N680" s="13"/>
      <c r="P680" s="171"/>
      <c r="Q680" s="171"/>
      <c r="R680" s="171"/>
      <c r="S680" s="51"/>
      <c r="T680" s="51"/>
      <c r="U680" s="171"/>
    </row>
    <row r="681" spans="1:21" ht="30" customHeight="1" x14ac:dyDescent="0.35">
      <c r="A681" s="241">
        <v>17123</v>
      </c>
      <c r="B681" s="1082" t="s">
        <v>2737</v>
      </c>
      <c r="C681" s="1082"/>
      <c r="D681" s="1082"/>
      <c r="E681" s="563">
        <v>800</v>
      </c>
      <c r="F681" s="711">
        <v>296</v>
      </c>
      <c r="G681" s="458"/>
      <c r="H681" s="28"/>
      <c r="I681" s="1044">
        <f>+'2021 MILCON Inflation Table'!F20</f>
        <v>0.9432470865927236</v>
      </c>
      <c r="J681" s="1044"/>
      <c r="K681" s="463">
        <f>+F681*I681</f>
        <v>279.20113763144616</v>
      </c>
      <c r="L681" s="564" t="s">
        <v>8</v>
      </c>
      <c r="M681" s="173"/>
      <c r="N681" s="13"/>
      <c r="P681" s="171"/>
      <c r="Q681" s="171"/>
      <c r="R681" s="171"/>
      <c r="S681" s="51"/>
      <c r="T681" s="51"/>
      <c r="U681" s="171"/>
    </row>
    <row r="682" spans="1:21" s="27" customFormat="1" ht="30" customHeight="1" x14ac:dyDescent="0.35">
      <c r="A682" s="241">
        <v>17123</v>
      </c>
      <c r="B682" s="1082" t="s">
        <v>514</v>
      </c>
      <c r="C682" s="1082"/>
      <c r="D682" s="1082"/>
      <c r="E682" s="563">
        <v>1100</v>
      </c>
      <c r="F682" s="711">
        <v>307</v>
      </c>
      <c r="G682" s="458"/>
      <c r="H682" s="28"/>
      <c r="I682" s="1044">
        <f>+'2021 MILCON Inflation Table'!F16</f>
        <v>1.0201832129291724</v>
      </c>
      <c r="J682" s="1044"/>
      <c r="K682" s="463">
        <f>+F682*I682</f>
        <v>313.1962463692559</v>
      </c>
      <c r="L682" s="564" t="s">
        <v>8</v>
      </c>
      <c r="M682" s="173"/>
      <c r="N682" s="214"/>
      <c r="O682" s="207"/>
    </row>
    <row r="683" spans="1:21" s="208" customFormat="1" ht="30" customHeight="1" x14ac:dyDescent="0.35">
      <c r="A683" s="1264"/>
      <c r="B683" s="1163"/>
      <c r="C683" s="1163"/>
      <c r="D683" s="1163"/>
      <c r="E683" s="1163"/>
      <c r="F683" s="1163"/>
      <c r="G683" s="1163"/>
      <c r="H683" s="1163"/>
      <c r="I683" s="712"/>
      <c r="J683" s="713" t="s">
        <v>304</v>
      </c>
      <c r="K683" s="459">
        <f>AVERAGE(K681:K682)</f>
        <v>296.198692000351</v>
      </c>
      <c r="L683" s="564"/>
      <c r="M683" s="173"/>
      <c r="O683" s="205"/>
    </row>
    <row r="684" spans="1:21" ht="30" customHeight="1" thickBot="1" x14ac:dyDescent="0.4">
      <c r="A684" s="241"/>
      <c r="B684" s="1059"/>
      <c r="C684" s="1059"/>
      <c r="D684" s="1059"/>
      <c r="E684" s="624"/>
      <c r="F684" s="648"/>
      <c r="G684" s="458"/>
      <c r="H684" s="626" t="s">
        <v>304</v>
      </c>
      <c r="I684" s="458"/>
      <c r="J684" s="510" t="s">
        <v>2356</v>
      </c>
      <c r="K684" s="459">
        <f>AVERAGE(K681:K682)</f>
        <v>296.198692000351</v>
      </c>
      <c r="L684" s="243" t="s">
        <v>8</v>
      </c>
      <c r="M684" s="363"/>
      <c r="P684" s="171"/>
      <c r="Q684" s="171"/>
      <c r="R684" s="171"/>
      <c r="S684" s="51"/>
      <c r="T684" s="51"/>
      <c r="U684" s="171"/>
    </row>
    <row r="685" spans="1:21" ht="30" customHeight="1" thickBot="1" x14ac:dyDescent="0.4">
      <c r="A685" s="1086"/>
      <c r="B685" s="1086"/>
      <c r="C685" s="1086"/>
      <c r="D685" s="1086"/>
      <c r="E685" s="1086"/>
      <c r="F685" s="1086"/>
      <c r="G685" s="1086"/>
      <c r="H685" s="1086"/>
      <c r="I685" s="1086"/>
      <c r="J685" s="1086"/>
      <c r="K685" s="1086"/>
      <c r="L685" s="1103"/>
      <c r="M685" s="173"/>
      <c r="P685" s="171"/>
      <c r="Q685" s="171"/>
      <c r="R685" s="171"/>
      <c r="S685" s="51"/>
      <c r="T685" s="51"/>
      <c r="U685" s="171"/>
    </row>
    <row r="686" spans="1:21" s="27" customFormat="1" ht="30" customHeight="1" x14ac:dyDescent="0.35">
      <c r="A686" s="465" t="s">
        <v>278</v>
      </c>
      <c r="B686" s="539">
        <v>1724</v>
      </c>
      <c r="C686" s="1096" t="s">
        <v>515</v>
      </c>
      <c r="D686" s="1096"/>
      <c r="E686" s="541" t="s">
        <v>280</v>
      </c>
      <c r="F686" s="542" t="s">
        <v>8</v>
      </c>
      <c r="G686" s="543" t="s">
        <v>285</v>
      </c>
      <c r="H686" s="558">
        <v>11187</v>
      </c>
      <c r="I686" s="541" t="s">
        <v>281</v>
      </c>
      <c r="J686" s="1019" t="s">
        <v>2637</v>
      </c>
      <c r="K686" s="1019"/>
      <c r="L686" s="1020"/>
      <c r="M686" s="173"/>
      <c r="N686" s="214"/>
      <c r="O686" s="207"/>
    </row>
    <row r="687" spans="1:21" s="208" customFormat="1" ht="30" customHeight="1" x14ac:dyDescent="0.35">
      <c r="A687" s="545" t="s">
        <v>288</v>
      </c>
      <c r="B687" s="1051" t="s">
        <v>282</v>
      </c>
      <c r="C687" s="1051"/>
      <c r="D687" s="1051"/>
      <c r="E687" s="530" t="s">
        <v>289</v>
      </c>
      <c r="F687" s="561" t="s">
        <v>290</v>
      </c>
      <c r="G687" s="509"/>
      <c r="H687" s="509" t="s">
        <v>1334</v>
      </c>
      <c r="I687" s="1052" t="s">
        <v>405</v>
      </c>
      <c r="J687" s="1052"/>
      <c r="K687" s="1012" t="s">
        <v>292</v>
      </c>
      <c r="L687" s="1023"/>
      <c r="M687" s="173"/>
      <c r="O687" s="205"/>
    </row>
    <row r="688" spans="1:21" ht="30" customHeight="1" x14ac:dyDescent="0.35">
      <c r="A688" s="562" t="s">
        <v>293</v>
      </c>
      <c r="B688" s="1057" t="s">
        <v>511</v>
      </c>
      <c r="C688" s="1057"/>
      <c r="D688" s="1057"/>
      <c r="E688" s="563">
        <v>8600</v>
      </c>
      <c r="F688" s="444">
        <v>577</v>
      </c>
      <c r="G688" s="442"/>
      <c r="H688" s="17"/>
      <c r="I688" s="1044" t="str">
        <f t="shared" ref="I688" si="17">$I$676</f>
        <v>NA;  GUCs are as of October 2020</v>
      </c>
      <c r="J688" s="1044"/>
      <c r="K688" s="444">
        <f>+F688</f>
        <v>577</v>
      </c>
      <c r="L688" s="564" t="s">
        <v>8</v>
      </c>
      <c r="M688" s="173"/>
    </row>
    <row r="689" spans="1:21" ht="30" customHeight="1" thickBot="1" x14ac:dyDescent="0.4">
      <c r="A689" s="241"/>
      <c r="B689" s="1059"/>
      <c r="C689" s="1059"/>
      <c r="D689" s="1059"/>
      <c r="E689" s="565"/>
      <c r="F689" s="566"/>
      <c r="G689" s="566"/>
      <c r="H689" s="567"/>
      <c r="I689" s="458"/>
      <c r="J689" s="510" t="s">
        <v>2356</v>
      </c>
      <c r="K689" s="585">
        <f>+K688</f>
        <v>577</v>
      </c>
      <c r="L689" s="243" t="s">
        <v>8</v>
      </c>
      <c r="M689" s="173"/>
      <c r="P689" s="171"/>
      <c r="Q689" s="171"/>
      <c r="R689" s="171"/>
      <c r="S689" s="51"/>
      <c r="T689" s="51"/>
      <c r="U689" s="171"/>
    </row>
    <row r="690" spans="1:21" ht="30" customHeight="1" thickBot="1" x14ac:dyDescent="0.4">
      <c r="A690" s="1086"/>
      <c r="B690" s="1086"/>
      <c r="C690" s="1086"/>
      <c r="D690" s="1086"/>
      <c r="E690" s="1086"/>
      <c r="F690" s="1086"/>
      <c r="G690" s="1086"/>
      <c r="H690" s="1086"/>
      <c r="I690" s="1086"/>
      <c r="J690" s="1086"/>
      <c r="K690" s="1086"/>
      <c r="L690" s="1103"/>
      <c r="M690" s="363"/>
      <c r="P690" s="171"/>
      <c r="Q690" s="171"/>
      <c r="R690" s="171"/>
      <c r="S690" s="51"/>
      <c r="T690" s="51"/>
      <c r="U690" s="171"/>
    </row>
    <row r="691" spans="1:21" s="27" customFormat="1" ht="30" customHeight="1" x14ac:dyDescent="0.35">
      <c r="A691" s="465" t="s">
        <v>278</v>
      </c>
      <c r="B691" s="539">
        <v>1725</v>
      </c>
      <c r="C691" s="586" t="s">
        <v>516</v>
      </c>
      <c r="D691" s="714"/>
      <c r="E691" s="541" t="s">
        <v>280</v>
      </c>
      <c r="F691" s="542" t="s">
        <v>10</v>
      </c>
      <c r="G691" s="553" t="s">
        <v>279</v>
      </c>
      <c r="H691" s="555">
        <v>1</v>
      </c>
      <c r="I691" s="541" t="s">
        <v>281</v>
      </c>
      <c r="J691" s="1019" t="s">
        <v>2371</v>
      </c>
      <c r="K691" s="1019"/>
      <c r="L691" s="1020"/>
      <c r="M691" s="173"/>
      <c r="N691" s="214"/>
      <c r="O691" s="207"/>
    </row>
    <row r="692" spans="1:21" s="208" customFormat="1" ht="30" customHeight="1" x14ac:dyDescent="0.35">
      <c r="A692" s="588" t="s">
        <v>298</v>
      </c>
      <c r="B692" s="1038" t="s">
        <v>321</v>
      </c>
      <c r="C692" s="1038"/>
      <c r="D692" s="1038"/>
      <c r="E692" s="23" t="s">
        <v>290</v>
      </c>
      <c r="F692" s="23" t="s">
        <v>322</v>
      </c>
      <c r="G692" s="1034" t="s">
        <v>323</v>
      </c>
      <c r="H692" s="1034"/>
      <c r="I692" s="509" t="s">
        <v>299</v>
      </c>
      <c r="J692" s="509"/>
      <c r="K692" s="1012" t="s">
        <v>292</v>
      </c>
      <c r="L692" s="1023"/>
      <c r="M692" s="173"/>
      <c r="O692" s="205"/>
    </row>
    <row r="693" spans="1:21" ht="30" customHeight="1" x14ac:dyDescent="0.35">
      <c r="A693" s="241"/>
      <c r="B693" s="1082" t="s">
        <v>517</v>
      </c>
      <c r="C693" s="1082"/>
      <c r="D693" s="1082"/>
      <c r="E693" s="23"/>
      <c r="F693" s="23"/>
      <c r="G693" s="486"/>
      <c r="H693" s="487"/>
      <c r="I693" s="647"/>
      <c r="J693" s="647"/>
      <c r="K693" s="23"/>
      <c r="L693" s="715"/>
      <c r="M693" s="173"/>
      <c r="N693" s="425"/>
    </row>
    <row r="694" spans="1:21" ht="30" customHeight="1" x14ac:dyDescent="0.35">
      <c r="A694" s="241" t="s">
        <v>518</v>
      </c>
      <c r="B694" s="1031" t="s">
        <v>519</v>
      </c>
      <c r="C694" s="1031"/>
      <c r="D694" s="1031"/>
      <c r="E694" s="41">
        <v>177</v>
      </c>
      <c r="F694" s="3" t="s">
        <v>8</v>
      </c>
      <c r="G694" s="716">
        <f>1250*10.764</f>
        <v>13455</v>
      </c>
      <c r="H694" s="659" t="s">
        <v>520</v>
      </c>
      <c r="I694" s="446">
        <v>1.04</v>
      </c>
      <c r="J694" s="446"/>
      <c r="K694" s="41">
        <f>+E694*G694*I694</f>
        <v>2476796.4</v>
      </c>
      <c r="L694" s="676" t="s">
        <v>10</v>
      </c>
      <c r="M694" s="173"/>
      <c r="P694" s="171"/>
      <c r="Q694" s="171"/>
      <c r="R694" s="171"/>
      <c r="S694" s="51"/>
      <c r="T694" s="51"/>
      <c r="U694" s="171"/>
    </row>
    <row r="695" spans="1:21" ht="30" customHeight="1" x14ac:dyDescent="0.35">
      <c r="A695" s="241" t="s">
        <v>521</v>
      </c>
      <c r="B695" s="1031" t="s">
        <v>2795</v>
      </c>
      <c r="C695" s="1031"/>
      <c r="D695" s="1031"/>
      <c r="E695" s="41">
        <v>4.3499999999999996</v>
      </c>
      <c r="F695" s="3" t="s">
        <v>8</v>
      </c>
      <c r="G695" s="716">
        <f>1250*10.764</f>
        <v>13455</v>
      </c>
      <c r="H695" s="659" t="s">
        <v>520</v>
      </c>
      <c r="I695" s="446">
        <v>1.04</v>
      </c>
      <c r="J695" s="446"/>
      <c r="K695" s="41">
        <f>+E695*G695*I695</f>
        <v>60870.419999999991</v>
      </c>
      <c r="L695" s="676" t="s">
        <v>10</v>
      </c>
      <c r="M695" s="173"/>
      <c r="P695" s="171"/>
      <c r="Q695" s="171"/>
      <c r="R695" s="171"/>
      <c r="S695" s="51"/>
      <c r="T695" s="51"/>
      <c r="U695" s="171"/>
    </row>
    <row r="696" spans="1:21" s="27" customFormat="1" ht="30" customHeight="1" x14ac:dyDescent="0.35">
      <c r="A696" s="717"/>
      <c r="B696" s="1102"/>
      <c r="C696" s="1102"/>
      <c r="D696" s="1102"/>
      <c r="E696" s="453"/>
      <c r="F696" s="446"/>
      <c r="G696" s="42"/>
      <c r="H696" s="3"/>
      <c r="I696" s="446"/>
      <c r="J696" s="446" t="s">
        <v>362</v>
      </c>
      <c r="K696" s="679">
        <f>SUM(K694:K695)</f>
        <v>2537666.8199999998</v>
      </c>
      <c r="L696" s="243" t="s">
        <v>10</v>
      </c>
      <c r="M696" s="173"/>
      <c r="N696" s="214"/>
      <c r="O696" s="207"/>
    </row>
    <row r="697" spans="1:21" s="208" customFormat="1" ht="30" customHeight="1" x14ac:dyDescent="0.35">
      <c r="A697" s="241"/>
      <c r="B697" s="506"/>
      <c r="C697" s="506"/>
      <c r="D697" s="702" t="s">
        <v>522</v>
      </c>
      <c r="E697" s="453"/>
      <c r="F697" s="1029" t="s">
        <v>302</v>
      </c>
      <c r="G697" s="1058" t="s">
        <v>303</v>
      </c>
      <c r="H697" s="1058"/>
      <c r="I697" s="1058"/>
      <c r="J697" s="1058"/>
      <c r="K697" s="612">
        <v>1.07</v>
      </c>
      <c r="L697" s="243"/>
      <c r="M697" s="173"/>
      <c r="O697" s="205"/>
    </row>
    <row r="698" spans="1:21" ht="30" customHeight="1" x14ac:dyDescent="0.35">
      <c r="A698" s="241"/>
      <c r="B698" s="506"/>
      <c r="C698" s="506"/>
      <c r="D698" s="506"/>
      <c r="E698" s="453"/>
      <c r="F698" s="1029"/>
      <c r="G698" s="1073" t="s">
        <v>2711</v>
      </c>
      <c r="H698" s="1073"/>
      <c r="I698" s="1073"/>
      <c r="J698" s="1073"/>
      <c r="K698" s="612">
        <v>1.08</v>
      </c>
      <c r="L698" s="243"/>
      <c r="M698" s="173"/>
      <c r="N698" s="425"/>
    </row>
    <row r="699" spans="1:21" ht="30" customHeight="1" x14ac:dyDescent="0.35">
      <c r="A699" s="241"/>
      <c r="B699" s="446"/>
      <c r="C699" s="458"/>
      <c r="D699" s="75"/>
      <c r="E699" s="458"/>
      <c r="F699" s="458"/>
      <c r="G699" s="458"/>
      <c r="H699" s="458"/>
      <c r="I699" s="458"/>
      <c r="J699" s="446" t="s">
        <v>2356</v>
      </c>
      <c r="K699" s="680">
        <f>+K696*K697/K698</f>
        <v>2514169.9049999998</v>
      </c>
      <c r="L699" s="243" t="s">
        <v>10</v>
      </c>
      <c r="M699" s="173"/>
      <c r="P699" s="171"/>
      <c r="Q699" s="171"/>
      <c r="R699" s="171"/>
      <c r="S699" s="51"/>
      <c r="T699" s="51"/>
      <c r="U699" s="171"/>
    </row>
    <row r="700" spans="1:21" ht="30" customHeight="1" thickBot="1" x14ac:dyDescent="0.4">
      <c r="A700" s="241"/>
      <c r="B700" s="446"/>
      <c r="C700" s="458"/>
      <c r="D700" s="458"/>
      <c r="E700" s="458"/>
      <c r="F700" s="458"/>
      <c r="G700" s="592" t="s">
        <v>2358</v>
      </c>
      <c r="H700" s="458"/>
      <c r="I700" s="458"/>
      <c r="J700" s="583">
        <f>VLOOKUP(B691,'Mil Cost Premiums for PUCs'!$A$4:$R$272,18,FALSE)</f>
        <v>1.1379589900046172</v>
      </c>
      <c r="K700" s="591">
        <f>+K699*J700</f>
        <v>2861022.2457938041</v>
      </c>
      <c r="L700" s="243" t="s">
        <v>10</v>
      </c>
      <c r="M700" s="173"/>
      <c r="P700" s="171"/>
      <c r="Q700" s="171"/>
      <c r="R700" s="171"/>
      <c r="S700" s="51"/>
      <c r="T700" s="51"/>
      <c r="U700" s="171"/>
    </row>
    <row r="701" spans="1:21" s="27" customFormat="1" ht="30" customHeight="1" thickBot="1" x14ac:dyDescent="0.4">
      <c r="A701" s="1086"/>
      <c r="B701" s="1086"/>
      <c r="C701" s="1086"/>
      <c r="D701" s="1086"/>
      <c r="E701" s="1086"/>
      <c r="F701" s="1086"/>
      <c r="G701" s="1086"/>
      <c r="H701" s="1086"/>
      <c r="I701" s="1086"/>
      <c r="J701" s="1086"/>
      <c r="K701" s="1086"/>
      <c r="L701" s="1103"/>
      <c r="M701" s="173"/>
      <c r="N701" s="214"/>
      <c r="O701" s="207"/>
    </row>
    <row r="702" spans="1:21" s="208" customFormat="1" ht="30" customHeight="1" x14ac:dyDescent="0.35">
      <c r="A702" s="465" t="s">
        <v>278</v>
      </c>
      <c r="B702" s="539">
        <v>1726</v>
      </c>
      <c r="C702" s="1096" t="s">
        <v>2502</v>
      </c>
      <c r="D702" s="1096"/>
      <c r="E702" s="541" t="s">
        <v>280</v>
      </c>
      <c r="F702" s="542" t="s">
        <v>8</v>
      </c>
      <c r="G702" s="560" t="s">
        <v>279</v>
      </c>
      <c r="H702" s="555">
        <v>11000</v>
      </c>
      <c r="I702" s="541" t="s">
        <v>281</v>
      </c>
      <c r="J702" s="1019" t="s">
        <v>2797</v>
      </c>
      <c r="K702" s="1019"/>
      <c r="L702" s="1020"/>
      <c r="M702" s="173"/>
      <c r="N702" s="230"/>
      <c r="O702" s="205"/>
    </row>
    <row r="703" spans="1:21" ht="30" customHeight="1" x14ac:dyDescent="0.35">
      <c r="A703" s="588" t="s">
        <v>298</v>
      </c>
      <c r="B703" s="1038" t="s">
        <v>321</v>
      </c>
      <c r="C703" s="1038"/>
      <c r="D703" s="1038"/>
      <c r="E703" s="23" t="s">
        <v>290</v>
      </c>
      <c r="F703" s="23" t="s">
        <v>322</v>
      </c>
      <c r="G703" s="1034" t="s">
        <v>323</v>
      </c>
      <c r="H703" s="1034"/>
      <c r="I703" s="201" t="s">
        <v>299</v>
      </c>
      <c r="J703" s="201" t="s">
        <v>302</v>
      </c>
      <c r="K703" s="1012" t="s">
        <v>292</v>
      </c>
      <c r="L703" s="1023"/>
      <c r="M703" s="173"/>
    </row>
    <row r="704" spans="1:21" ht="30" customHeight="1" x14ac:dyDescent="0.35">
      <c r="A704" s="241" t="s">
        <v>841</v>
      </c>
      <c r="B704" s="1082" t="s">
        <v>2503</v>
      </c>
      <c r="C704" s="1082"/>
      <c r="D704" s="1082"/>
      <c r="E704" s="591">
        <f>((11.05+18.6)/2)*1.45</f>
        <v>21.49625</v>
      </c>
      <c r="F704" s="639" t="s">
        <v>208</v>
      </c>
      <c r="G704" s="718">
        <f>+(E704)*10</f>
        <v>214.96250000000001</v>
      </c>
      <c r="H704" s="548" t="s">
        <v>864</v>
      </c>
      <c r="I704" s="446">
        <v>1.05</v>
      </c>
      <c r="J704" s="665">
        <f>1.07/1.08</f>
        <v>0.9907407407407407</v>
      </c>
      <c r="K704" s="453">
        <f>231.36</f>
        <v>231.36</v>
      </c>
      <c r="L704" s="243" t="s">
        <v>8</v>
      </c>
      <c r="M704" s="173"/>
      <c r="N704" s="425"/>
    </row>
    <row r="705" spans="1:21" ht="30" customHeight="1" x14ac:dyDescent="0.35">
      <c r="A705" s="241" t="s">
        <v>843</v>
      </c>
      <c r="B705" s="1082" t="s">
        <v>844</v>
      </c>
      <c r="C705" s="1082"/>
      <c r="D705" s="1082"/>
      <c r="E705" s="51">
        <f>+(1.334+2.7)/2</f>
        <v>2.0170000000000003</v>
      </c>
      <c r="F705" s="446" t="s">
        <v>5</v>
      </c>
      <c r="G705" s="719">
        <f>+E705*5000/H702</f>
        <v>0.91681818181818198</v>
      </c>
      <c r="H705" s="548" t="s">
        <v>2504</v>
      </c>
      <c r="I705" s="665">
        <v>1.02</v>
      </c>
      <c r="J705" s="665">
        <f>1.07/1.08</f>
        <v>0.9907407407407407</v>
      </c>
      <c r="K705" s="453">
        <f>+G705*I705*J705</f>
        <v>0.92649570707070728</v>
      </c>
      <c r="L705" s="243" t="s">
        <v>8</v>
      </c>
      <c r="M705" s="173"/>
      <c r="P705" s="171"/>
      <c r="Q705" s="171"/>
      <c r="R705" s="171"/>
      <c r="S705" s="51"/>
      <c r="T705" s="51"/>
      <c r="U705" s="171"/>
    </row>
    <row r="706" spans="1:21" ht="30" customHeight="1" x14ac:dyDescent="0.35">
      <c r="A706" s="241">
        <v>83210</v>
      </c>
      <c r="B706" s="1082" t="s">
        <v>2796</v>
      </c>
      <c r="C706" s="1082"/>
      <c r="D706" s="1082"/>
      <c r="E706" s="591">
        <v>25350</v>
      </c>
      <c r="F706" s="446" t="s">
        <v>10</v>
      </c>
      <c r="G706" s="720">
        <f>+E706/H702</f>
        <v>2.3045454545454547</v>
      </c>
      <c r="H706" s="548" t="s">
        <v>908</v>
      </c>
      <c r="I706" s="721">
        <f>'2021 MILCON Inflation Table'!F20</f>
        <v>0.9432470865927236</v>
      </c>
      <c r="J706" s="446"/>
      <c r="K706" s="453">
        <f>+G706*I706</f>
        <v>2.1737557859205041</v>
      </c>
      <c r="L706" s="243" t="s">
        <v>8</v>
      </c>
      <c r="M706" s="173"/>
      <c r="P706" s="171"/>
      <c r="Q706" s="171"/>
      <c r="R706" s="171"/>
      <c r="S706" s="51"/>
      <c r="T706" s="51"/>
      <c r="U706" s="171"/>
    </row>
    <row r="707" spans="1:21" s="27" customFormat="1" ht="30" customHeight="1" x14ac:dyDescent="0.35">
      <c r="A707" s="241" t="s">
        <v>355</v>
      </c>
      <c r="B707" s="1082" t="s">
        <v>2505</v>
      </c>
      <c r="C707" s="1082"/>
      <c r="D707" s="1082"/>
      <c r="E707" s="591">
        <v>83250</v>
      </c>
      <c r="F707" s="446" t="s">
        <v>10</v>
      </c>
      <c r="G707" s="722">
        <f>4/H702</f>
        <v>3.6363636363636361E-4</v>
      </c>
      <c r="H707" s="548" t="s">
        <v>908</v>
      </c>
      <c r="I707" s="665">
        <v>1</v>
      </c>
      <c r="J707" s="665">
        <f>1.07/1.08</f>
        <v>0.9907407407407407</v>
      </c>
      <c r="K707" s="453">
        <f>+E707*G707*I707*J707</f>
        <v>29.992424242424239</v>
      </c>
      <c r="L707" s="243" t="s">
        <v>8</v>
      </c>
      <c r="M707" s="173"/>
      <c r="N707" s="214"/>
      <c r="O707" s="207"/>
    </row>
    <row r="708" spans="1:21" s="208" customFormat="1" ht="30" customHeight="1" x14ac:dyDescent="0.35">
      <c r="A708" s="241" t="s">
        <v>1740</v>
      </c>
      <c r="B708" s="1082" t="s">
        <v>2506</v>
      </c>
      <c r="C708" s="1082"/>
      <c r="D708" s="1082"/>
      <c r="E708" s="591">
        <v>3975</v>
      </c>
      <c r="F708" s="446" t="s">
        <v>10</v>
      </c>
      <c r="G708" s="722">
        <f>4/H702</f>
        <v>3.6363636363636361E-4</v>
      </c>
      <c r="H708" s="548" t="s">
        <v>908</v>
      </c>
      <c r="I708" s="665">
        <v>1.04</v>
      </c>
      <c r="J708" s="665">
        <f>1.07/1.08</f>
        <v>0.9907407407407407</v>
      </c>
      <c r="K708" s="453">
        <f>+E708*G708*I708*J708</f>
        <v>1.4893535353535352</v>
      </c>
      <c r="L708" s="243" t="s">
        <v>8</v>
      </c>
      <c r="M708" s="173"/>
      <c r="O708" s="205"/>
    </row>
    <row r="709" spans="1:21" ht="30" customHeight="1" x14ac:dyDescent="0.35">
      <c r="A709" s="241" t="s">
        <v>1774</v>
      </c>
      <c r="B709" s="1082" t="s">
        <v>2507</v>
      </c>
      <c r="C709" s="1082"/>
      <c r="D709" s="1082"/>
      <c r="E709" s="591">
        <f>((22.45+33.5)/2)</f>
        <v>27.975000000000001</v>
      </c>
      <c r="F709" s="446" t="s">
        <v>6</v>
      </c>
      <c r="G709" s="722">
        <f>1800/H702</f>
        <v>0.16363636363636364</v>
      </c>
      <c r="H709" s="548" t="s">
        <v>2508</v>
      </c>
      <c r="I709" s="665">
        <v>1.04</v>
      </c>
      <c r="J709" s="665">
        <f>1.07/1.08</f>
        <v>0.9907407407407407</v>
      </c>
      <c r="K709" s="453">
        <f>+E709*G709*I709*J709</f>
        <v>4.7167545454545454</v>
      </c>
      <c r="L709" s="243" t="s">
        <v>8</v>
      </c>
      <c r="M709" s="173"/>
      <c r="N709" s="425"/>
    </row>
    <row r="710" spans="1:21" ht="30" customHeight="1" x14ac:dyDescent="0.35">
      <c r="A710" s="241"/>
      <c r="B710" s="1059"/>
      <c r="C710" s="1059"/>
      <c r="D710" s="1059"/>
      <c r="E710" s="694"/>
      <c r="F710" s="446"/>
      <c r="G710" s="701"/>
      <c r="H710" s="508"/>
      <c r="I710" s="446"/>
      <c r="J710" s="446" t="s">
        <v>362</v>
      </c>
      <c r="K710" s="453">
        <f>SUM(K704:K709)</f>
        <v>270.65878381622349</v>
      </c>
      <c r="L710" s="243" t="s">
        <v>8</v>
      </c>
      <c r="M710" s="173"/>
      <c r="P710" s="171"/>
      <c r="Q710" s="171"/>
      <c r="R710" s="171"/>
      <c r="S710" s="51"/>
      <c r="T710" s="51"/>
      <c r="U710" s="171"/>
    </row>
    <row r="711" spans="1:21" ht="30" customHeight="1" x14ac:dyDescent="0.35">
      <c r="A711" s="241"/>
      <c r="B711" s="446"/>
      <c r="C711" s="458"/>
      <c r="D711" s="458"/>
      <c r="E711" s="458"/>
      <c r="F711" s="458"/>
      <c r="G711" s="458"/>
      <c r="H711" s="458"/>
      <c r="I711" s="458"/>
      <c r="J711" s="446" t="s">
        <v>2356</v>
      </c>
      <c r="K711" s="591">
        <f>+K710</f>
        <v>270.65878381622349</v>
      </c>
      <c r="L711" s="243" t="s">
        <v>8</v>
      </c>
      <c r="M711" s="173"/>
      <c r="P711" s="171"/>
      <c r="Q711" s="171"/>
      <c r="R711" s="171"/>
      <c r="S711" s="51"/>
      <c r="T711" s="51"/>
      <c r="U711" s="171"/>
    </row>
    <row r="712" spans="1:21" ht="30" customHeight="1" thickBot="1" x14ac:dyDescent="0.4">
      <c r="A712" s="241"/>
      <c r="B712" s="446"/>
      <c r="C712" s="458"/>
      <c r="D712" s="458"/>
      <c r="E712" s="458"/>
      <c r="F712" s="458"/>
      <c r="G712" s="723" t="s">
        <v>2358</v>
      </c>
      <c r="H712" s="458"/>
      <c r="I712" s="458"/>
      <c r="J712" s="583">
        <f>VLOOKUP(B702,'Mil Cost Premiums for PUCs'!$A$4:$R$272,18,FALSE)</f>
        <v>1.0821211439999998</v>
      </c>
      <c r="K712" s="591">
        <f>+K711*J712</f>
        <v>292.88559277686039</v>
      </c>
      <c r="L712" s="243" t="s">
        <v>8</v>
      </c>
      <c r="M712" s="173"/>
      <c r="N712" s="68"/>
      <c r="O712" s="203"/>
      <c r="P712" s="218"/>
      <c r="Q712" s="68"/>
      <c r="R712" s="217"/>
    </row>
    <row r="713" spans="1:21" s="208" customFormat="1" ht="30" customHeight="1" thickBot="1" x14ac:dyDescent="0.4">
      <c r="A713" s="1086"/>
      <c r="B713" s="1086"/>
      <c r="C713" s="1086"/>
      <c r="D713" s="1086"/>
      <c r="E713" s="1086"/>
      <c r="F713" s="1086"/>
      <c r="G713" s="1086"/>
      <c r="H713" s="1086"/>
      <c r="I713" s="1086"/>
      <c r="J713" s="1086"/>
      <c r="K713" s="1086"/>
      <c r="L713" s="1103"/>
      <c r="M713" s="173"/>
      <c r="N713" s="68"/>
      <c r="P713" s="218"/>
      <c r="Q713" s="68"/>
      <c r="R713" s="217"/>
    </row>
    <row r="714" spans="1:21" ht="30" customHeight="1" x14ac:dyDescent="0.35">
      <c r="A714" s="465" t="s">
        <v>278</v>
      </c>
      <c r="B714" s="539">
        <v>1731</v>
      </c>
      <c r="C714" s="1060" t="s">
        <v>523</v>
      </c>
      <c r="D714" s="1060"/>
      <c r="E714" s="541" t="s">
        <v>280</v>
      </c>
      <c r="F714" s="542" t="s">
        <v>8</v>
      </c>
      <c r="G714" s="543" t="s">
        <v>285</v>
      </c>
      <c r="H714" s="558">
        <v>1491</v>
      </c>
      <c r="I714" s="541" t="s">
        <v>281</v>
      </c>
      <c r="J714" s="1019" t="s">
        <v>2798</v>
      </c>
      <c r="K714" s="1019"/>
      <c r="L714" s="1020"/>
      <c r="M714" s="173"/>
      <c r="N714" s="68"/>
      <c r="O714" s="203"/>
      <c r="P714" s="218"/>
      <c r="Q714" s="68"/>
      <c r="R714" s="217"/>
    </row>
    <row r="715" spans="1:21" ht="30" customHeight="1" x14ac:dyDescent="0.35">
      <c r="A715" s="545" t="s">
        <v>288</v>
      </c>
      <c r="B715" s="1051" t="s">
        <v>282</v>
      </c>
      <c r="C715" s="1051"/>
      <c r="D715" s="1051"/>
      <c r="E715" s="561" t="s">
        <v>290</v>
      </c>
      <c r="F715" s="509" t="s">
        <v>289</v>
      </c>
      <c r="G715" s="1094" t="s">
        <v>323</v>
      </c>
      <c r="H715" s="1094"/>
      <c r="I715" s="1052" t="s">
        <v>405</v>
      </c>
      <c r="J715" s="1052"/>
      <c r="K715" s="1012" t="s">
        <v>292</v>
      </c>
      <c r="L715" s="1023"/>
      <c r="M715" s="173"/>
      <c r="N715" s="68"/>
      <c r="O715" s="203"/>
      <c r="P715" s="218"/>
      <c r="Q715" s="68"/>
      <c r="R715" s="217"/>
    </row>
    <row r="716" spans="1:21" ht="30" customHeight="1" x14ac:dyDescent="0.35">
      <c r="A716" s="241">
        <v>17122</v>
      </c>
      <c r="B716" s="1031" t="s">
        <v>524</v>
      </c>
      <c r="C716" s="1031"/>
      <c r="D716" s="1031"/>
      <c r="E716" s="453">
        <v>1002</v>
      </c>
      <c r="F716" s="694">
        <v>185</v>
      </c>
      <c r="G716" s="462"/>
      <c r="H716" s="462"/>
      <c r="I716" s="1044">
        <f>+'2021 MILCON Inflation Table'!$F$20</f>
        <v>0.9432470865927236</v>
      </c>
      <c r="J716" s="1044"/>
      <c r="K716" s="463">
        <f>+E716*I716</f>
        <v>945.13358076590907</v>
      </c>
      <c r="L716" s="564" t="s">
        <v>8</v>
      </c>
      <c r="M716" s="173"/>
      <c r="N716" s="68"/>
      <c r="O716" s="203"/>
      <c r="P716" s="218"/>
      <c r="Q716" s="68"/>
      <c r="R716" s="217"/>
    </row>
    <row r="717" spans="1:21" ht="30" customHeight="1" x14ac:dyDescent="0.35">
      <c r="A717" s="241">
        <v>17122</v>
      </c>
      <c r="B717" s="1031" t="s">
        <v>2408</v>
      </c>
      <c r="C717" s="1031"/>
      <c r="D717" s="1031"/>
      <c r="E717" s="453">
        <v>137</v>
      </c>
      <c r="F717" s="694">
        <v>800</v>
      </c>
      <c r="G717" s="462"/>
      <c r="H717" s="462"/>
      <c r="I717" s="1044">
        <f>+'2021 MILCON Inflation Table'!$F$20</f>
        <v>0.9432470865927236</v>
      </c>
      <c r="J717" s="1044"/>
      <c r="K717" s="463">
        <f>+E717*I717</f>
        <v>129.22485086320313</v>
      </c>
      <c r="L717" s="564" t="s">
        <v>8</v>
      </c>
      <c r="M717" s="173"/>
      <c r="N717" s="68"/>
      <c r="O717" s="203"/>
      <c r="P717" s="218"/>
      <c r="Q717" s="68"/>
      <c r="R717" s="217"/>
    </row>
    <row r="718" spans="1:21" ht="30" customHeight="1" x14ac:dyDescent="0.35">
      <c r="A718" s="241">
        <v>17123</v>
      </c>
      <c r="B718" s="1082" t="s">
        <v>2409</v>
      </c>
      <c r="C718" s="1082"/>
      <c r="D718" s="1082"/>
      <c r="E718" s="453">
        <v>296</v>
      </c>
      <c r="F718" s="694">
        <v>800</v>
      </c>
      <c r="G718" s="462"/>
      <c r="H718" s="462"/>
      <c r="I718" s="1044">
        <f>+'2021 MILCON Inflation Table'!$F$20</f>
        <v>0.9432470865927236</v>
      </c>
      <c r="J718" s="1044"/>
      <c r="K718" s="463">
        <f>+E718*I718</f>
        <v>279.20113763144616</v>
      </c>
      <c r="L718" s="564" t="s">
        <v>8</v>
      </c>
      <c r="M718" s="363"/>
      <c r="N718" s="419"/>
      <c r="O718" s="171"/>
      <c r="P718" s="216"/>
      <c r="Q718" s="419"/>
      <c r="R718" s="219"/>
    </row>
    <row r="719" spans="1:21" ht="30" customHeight="1" x14ac:dyDescent="0.35">
      <c r="A719" s="241">
        <v>17123</v>
      </c>
      <c r="B719" s="1082" t="s">
        <v>525</v>
      </c>
      <c r="C719" s="1082"/>
      <c r="D719" s="1082"/>
      <c r="E719" s="453">
        <v>307</v>
      </c>
      <c r="F719" s="694">
        <v>1100</v>
      </c>
      <c r="G719" s="442"/>
      <c r="H719" s="442"/>
      <c r="I719" s="1044">
        <f>+'2021 MILCON Inflation Table'!$F$16</f>
        <v>1.0201832129291724</v>
      </c>
      <c r="J719" s="1044"/>
      <c r="K719" s="463">
        <f>+E719*I719</f>
        <v>313.1962463692559</v>
      </c>
      <c r="L719" s="564" t="s">
        <v>8</v>
      </c>
      <c r="M719" s="173"/>
      <c r="N719" s="419"/>
      <c r="O719" s="171"/>
      <c r="P719" s="216"/>
      <c r="Q719" s="419"/>
      <c r="R719" s="219"/>
    </row>
    <row r="720" spans="1:21" ht="30" customHeight="1" x14ac:dyDescent="0.35">
      <c r="A720" s="241">
        <v>17139</v>
      </c>
      <c r="B720" s="1082" t="s">
        <v>526</v>
      </c>
      <c r="C720" s="1082"/>
      <c r="D720" s="1082"/>
      <c r="E720" s="453">
        <v>227</v>
      </c>
      <c r="F720" s="694">
        <v>800</v>
      </c>
      <c r="G720" s="442"/>
      <c r="H720" s="442"/>
      <c r="I720" s="1044">
        <f>+'2021 MILCON Inflation Table'!$F$20</f>
        <v>0.9432470865927236</v>
      </c>
      <c r="J720" s="1044"/>
      <c r="K720" s="463">
        <f>+E720*I720</f>
        <v>214.11708865654825</v>
      </c>
      <c r="L720" s="564" t="s">
        <v>8</v>
      </c>
      <c r="M720" s="173"/>
      <c r="N720" s="231"/>
      <c r="O720" s="203"/>
      <c r="P720" s="218"/>
      <c r="Q720" s="68"/>
      <c r="R720" s="217"/>
    </row>
    <row r="721" spans="1:21" ht="30" customHeight="1" thickBot="1" x14ac:dyDescent="0.4">
      <c r="A721" s="241"/>
      <c r="B721" s="560"/>
      <c r="C721" s="553"/>
      <c r="D721" s="553"/>
      <c r="E721" s="553"/>
      <c r="F721" s="706"/>
      <c r="G721" s="553"/>
      <c r="H721" s="707"/>
      <c r="I721" s="458"/>
      <c r="J721" s="510" t="s">
        <v>2356</v>
      </c>
      <c r="K721" s="459">
        <f>AVERAGE(K716:K720)</f>
        <v>376.17458085727253</v>
      </c>
      <c r="L721" s="243" t="s">
        <v>8</v>
      </c>
      <c r="M721" s="173"/>
      <c r="N721" s="425"/>
      <c r="O721" s="203"/>
      <c r="P721" s="218"/>
      <c r="Q721" s="68"/>
      <c r="R721" s="217"/>
    </row>
    <row r="722" spans="1:21" ht="30" customHeight="1" thickBot="1" x14ac:dyDescent="0.4">
      <c r="A722" s="1086"/>
      <c r="B722" s="1086"/>
      <c r="C722" s="1086"/>
      <c r="D722" s="1086"/>
      <c r="E722" s="1086"/>
      <c r="F722" s="1086"/>
      <c r="G722" s="1086"/>
      <c r="H722" s="1086"/>
      <c r="I722" s="1086"/>
      <c r="J722" s="1086"/>
      <c r="K722" s="1086"/>
      <c r="L722" s="1103"/>
      <c r="M722" s="173"/>
      <c r="N722" s="68"/>
      <c r="O722" s="203"/>
      <c r="P722" s="218"/>
      <c r="Q722" s="68"/>
      <c r="R722" s="217"/>
    </row>
    <row r="723" spans="1:21" s="27" customFormat="1" ht="30" customHeight="1" x14ac:dyDescent="0.35">
      <c r="A723" s="465" t="s">
        <v>278</v>
      </c>
      <c r="B723" s="539">
        <v>1732</v>
      </c>
      <c r="C723" s="1060" t="s">
        <v>527</v>
      </c>
      <c r="D723" s="1060"/>
      <c r="E723" s="541" t="s">
        <v>280</v>
      </c>
      <c r="F723" s="542" t="s">
        <v>8</v>
      </c>
      <c r="G723" s="543" t="s">
        <v>285</v>
      </c>
      <c r="H723" s="558">
        <v>7033</v>
      </c>
      <c r="I723" s="541" t="s">
        <v>281</v>
      </c>
      <c r="J723" s="1019" t="s">
        <v>2187</v>
      </c>
      <c r="K723" s="1019"/>
      <c r="L723" s="1020"/>
      <c r="M723" s="173"/>
      <c r="N723" s="214"/>
      <c r="O723" s="207"/>
    </row>
    <row r="724" spans="1:21" s="208" customFormat="1" ht="30" customHeight="1" x14ac:dyDescent="0.35">
      <c r="A724" s="545" t="s">
        <v>288</v>
      </c>
      <c r="B724" s="1051" t="s">
        <v>282</v>
      </c>
      <c r="C724" s="1051"/>
      <c r="D724" s="1051"/>
      <c r="E724" s="561" t="s">
        <v>290</v>
      </c>
      <c r="F724" s="509" t="s">
        <v>289</v>
      </c>
      <c r="G724" s="1094" t="s">
        <v>323</v>
      </c>
      <c r="H724" s="1094"/>
      <c r="I724" s="1052" t="s">
        <v>405</v>
      </c>
      <c r="J724" s="1052"/>
      <c r="K724" s="1012" t="s">
        <v>292</v>
      </c>
      <c r="L724" s="1023"/>
      <c r="M724" s="173"/>
      <c r="N724" s="230"/>
      <c r="O724" s="205"/>
    </row>
    <row r="725" spans="1:21" s="27" customFormat="1" ht="30" customHeight="1" x14ac:dyDescent="0.35">
      <c r="A725" s="241">
        <v>14129</v>
      </c>
      <c r="B725" s="1031" t="s">
        <v>528</v>
      </c>
      <c r="C725" s="1031"/>
      <c r="D725" s="1031"/>
      <c r="E725" s="453">
        <v>252</v>
      </c>
      <c r="F725" s="694">
        <v>120000</v>
      </c>
      <c r="G725" s="442"/>
      <c r="H725" s="442"/>
      <c r="I725" s="1044">
        <f>+'2021 MILCON Inflation Table'!F18</f>
        <v>0.9813542688910698</v>
      </c>
      <c r="J725" s="1044"/>
      <c r="K725" s="463">
        <f>+E725*I725</f>
        <v>247.3012757605496</v>
      </c>
      <c r="L725" s="564" t="s">
        <v>8</v>
      </c>
      <c r="M725" s="363"/>
      <c r="N725" s="207"/>
      <c r="O725" s="207"/>
    </row>
    <row r="726" spans="1:21" s="27" customFormat="1" ht="30" customHeight="1" thickBot="1" x14ac:dyDescent="0.4">
      <c r="A726" s="241"/>
      <c r="B726" s="560"/>
      <c r="C726" s="553"/>
      <c r="D726" s="553"/>
      <c r="E726" s="553"/>
      <c r="F726" s="706"/>
      <c r="G726" s="553"/>
      <c r="H726" s="707"/>
      <c r="I726" s="458"/>
      <c r="J726" s="510" t="s">
        <v>2356</v>
      </c>
      <c r="K726" s="459">
        <f>+K725</f>
        <v>247.3012757605496</v>
      </c>
      <c r="L726" s="243" t="s">
        <v>8</v>
      </c>
      <c r="M726" s="173"/>
      <c r="N726" s="207"/>
      <c r="O726" s="207"/>
    </row>
    <row r="727" spans="1:21" s="27" customFormat="1" ht="30" customHeight="1" thickBot="1" x14ac:dyDescent="0.4">
      <c r="A727" s="1086"/>
      <c r="B727" s="1086"/>
      <c r="C727" s="1086"/>
      <c r="D727" s="1086"/>
      <c r="E727" s="1086"/>
      <c r="F727" s="1086"/>
      <c r="G727" s="1086"/>
      <c r="H727" s="1086"/>
      <c r="I727" s="1086"/>
      <c r="J727" s="1086"/>
      <c r="K727" s="1086"/>
      <c r="L727" s="1103"/>
      <c r="M727" s="363"/>
    </row>
    <row r="728" spans="1:21" s="27" customFormat="1" ht="30" customHeight="1" x14ac:dyDescent="0.35">
      <c r="A728" s="465" t="s">
        <v>278</v>
      </c>
      <c r="B728" s="539">
        <v>1733</v>
      </c>
      <c r="C728" s="1060" t="s">
        <v>529</v>
      </c>
      <c r="D728" s="1060"/>
      <c r="E728" s="541" t="s">
        <v>280</v>
      </c>
      <c r="F728" s="542" t="s">
        <v>8</v>
      </c>
      <c r="G728" s="543" t="s">
        <v>285</v>
      </c>
      <c r="H728" s="558">
        <v>1947</v>
      </c>
      <c r="I728" s="541" t="s">
        <v>281</v>
      </c>
      <c r="J728" s="1019" t="s">
        <v>2799</v>
      </c>
      <c r="K728" s="1019"/>
      <c r="L728" s="1020"/>
      <c r="M728" s="173"/>
    </row>
    <row r="729" spans="1:21" ht="30" customHeight="1" x14ac:dyDescent="0.35">
      <c r="A729" s="545" t="s">
        <v>288</v>
      </c>
      <c r="B729" s="1051" t="s">
        <v>282</v>
      </c>
      <c r="C729" s="1051"/>
      <c r="D729" s="1051"/>
      <c r="E729" s="561" t="s">
        <v>290</v>
      </c>
      <c r="F729" s="509" t="s">
        <v>289</v>
      </c>
      <c r="G729" s="1094" t="s">
        <v>323</v>
      </c>
      <c r="H729" s="1094"/>
      <c r="I729" s="1052" t="s">
        <v>405</v>
      </c>
      <c r="J729" s="1052"/>
      <c r="K729" s="1012" t="s">
        <v>292</v>
      </c>
      <c r="L729" s="1023"/>
      <c r="M729" s="173"/>
      <c r="N729" s="13"/>
    </row>
    <row r="730" spans="1:21" ht="30" customHeight="1" x14ac:dyDescent="0.35">
      <c r="A730" s="241">
        <v>75061</v>
      </c>
      <c r="B730" s="1031" t="s">
        <v>530</v>
      </c>
      <c r="C730" s="1031"/>
      <c r="D730" s="1031"/>
      <c r="E730" s="460">
        <v>217206</v>
      </c>
      <c r="F730" s="439">
        <v>1</v>
      </c>
      <c r="G730" s="440">
        <f>+H728</f>
        <v>1947</v>
      </c>
      <c r="H730" s="462" t="s">
        <v>531</v>
      </c>
      <c r="I730" s="1044">
        <f>+'2021 MILCON Inflation Table'!F20</f>
        <v>0.9432470865927236</v>
      </c>
      <c r="J730" s="1044"/>
      <c r="K730" s="463">
        <f>+E730/G730*I730</f>
        <v>105.22800549073402</v>
      </c>
      <c r="L730" s="564" t="s">
        <v>8</v>
      </c>
      <c r="M730" s="173"/>
      <c r="N730" s="13"/>
    </row>
    <row r="731" spans="1:21" ht="30" customHeight="1" x14ac:dyDescent="0.35">
      <c r="A731" s="241">
        <v>17139</v>
      </c>
      <c r="B731" s="1082" t="s">
        <v>532</v>
      </c>
      <c r="C731" s="1082"/>
      <c r="D731" s="1082"/>
      <c r="E731" s="460">
        <v>163</v>
      </c>
      <c r="F731" s="439">
        <v>1400</v>
      </c>
      <c r="G731" s="442"/>
      <c r="H731" s="442"/>
      <c r="I731" s="1044">
        <f>+'2021 MILCON Inflation Table'!F16</f>
        <v>1.0201832129291724</v>
      </c>
      <c r="J731" s="1044"/>
      <c r="K731" s="463">
        <f>+E731*I731</f>
        <v>166.28986370745508</v>
      </c>
      <c r="L731" s="564" t="s">
        <v>8</v>
      </c>
      <c r="M731" s="173"/>
      <c r="N731" s="13"/>
      <c r="P731" s="171"/>
      <c r="Q731" s="171"/>
      <c r="R731" s="171"/>
      <c r="S731" s="51"/>
      <c r="T731" s="51"/>
      <c r="U731" s="171"/>
    </row>
    <row r="732" spans="1:21" ht="30" customHeight="1" thickBot="1" x14ac:dyDescent="0.4">
      <c r="A732" s="241"/>
      <c r="B732" s="560"/>
      <c r="C732" s="553"/>
      <c r="D732" s="553"/>
      <c r="E732" s="553"/>
      <c r="F732" s="706"/>
      <c r="G732" s="553"/>
      <c r="H732" s="707" t="s">
        <v>304</v>
      </c>
      <c r="I732" s="458"/>
      <c r="J732" s="510" t="s">
        <v>2356</v>
      </c>
      <c r="K732" s="459">
        <f>AVERAGE(K730:K731)</f>
        <v>135.75893459909454</v>
      </c>
      <c r="L732" s="243" t="s">
        <v>8</v>
      </c>
      <c r="M732" s="363"/>
      <c r="N732" s="13"/>
      <c r="P732" s="171"/>
      <c r="Q732" s="171"/>
      <c r="R732" s="171"/>
      <c r="S732" s="51"/>
      <c r="T732" s="51"/>
      <c r="U732" s="171"/>
    </row>
    <row r="733" spans="1:21" s="27" customFormat="1" ht="30" customHeight="1" thickBot="1" x14ac:dyDescent="0.4">
      <c r="A733" s="1086"/>
      <c r="B733" s="1086"/>
      <c r="C733" s="1086"/>
      <c r="D733" s="1086"/>
      <c r="E733" s="1086"/>
      <c r="F733" s="1086"/>
      <c r="G733" s="1086"/>
      <c r="H733" s="1086"/>
      <c r="I733" s="1086"/>
      <c r="J733" s="1086"/>
      <c r="K733" s="1086"/>
      <c r="L733" s="1103"/>
      <c r="M733" s="173"/>
      <c r="N733" s="214"/>
      <c r="O733" s="207"/>
    </row>
    <row r="734" spans="1:21" s="208" customFormat="1" ht="30" customHeight="1" x14ac:dyDescent="0.35">
      <c r="A734" s="465" t="s">
        <v>278</v>
      </c>
      <c r="B734" s="539">
        <v>1734</v>
      </c>
      <c r="C734" s="1060" t="s">
        <v>533</v>
      </c>
      <c r="D734" s="1060"/>
      <c r="E734" s="541" t="s">
        <v>280</v>
      </c>
      <c r="F734" s="542" t="s">
        <v>10</v>
      </c>
      <c r="G734" s="560" t="s">
        <v>279</v>
      </c>
      <c r="H734" s="569">
        <v>1</v>
      </c>
      <c r="I734" s="541" t="s">
        <v>281</v>
      </c>
      <c r="J734" s="1019" t="s">
        <v>2387</v>
      </c>
      <c r="K734" s="1019"/>
      <c r="L734" s="1020"/>
      <c r="M734" s="363"/>
      <c r="O734" s="205"/>
    </row>
    <row r="735" spans="1:21" ht="30" customHeight="1" x14ac:dyDescent="0.35">
      <c r="A735" s="545" t="s">
        <v>288</v>
      </c>
      <c r="B735" s="1051" t="s">
        <v>282</v>
      </c>
      <c r="C735" s="1051"/>
      <c r="D735" s="1051"/>
      <c r="E735" s="561" t="s">
        <v>290</v>
      </c>
      <c r="F735" s="509" t="s">
        <v>289</v>
      </c>
      <c r="G735" s="1094" t="s">
        <v>323</v>
      </c>
      <c r="H735" s="1094"/>
      <c r="I735" s="1052" t="s">
        <v>405</v>
      </c>
      <c r="J735" s="1052"/>
      <c r="K735" s="1012" t="s">
        <v>292</v>
      </c>
      <c r="L735" s="1023"/>
      <c r="M735" s="173"/>
      <c r="N735" s="13"/>
    </row>
    <row r="736" spans="1:21" ht="30" customHeight="1" x14ac:dyDescent="0.35">
      <c r="A736" s="241">
        <v>17971</v>
      </c>
      <c r="B736" s="1031" t="s">
        <v>2385</v>
      </c>
      <c r="C736" s="1031"/>
      <c r="D736" s="1031"/>
      <c r="E736" s="453">
        <v>716043</v>
      </c>
      <c r="F736" s="694">
        <v>1</v>
      </c>
      <c r="G736" s="462"/>
      <c r="H736" s="462"/>
      <c r="I736" s="1044">
        <f>+'2021 MILCON Inflation Table'!F19</f>
        <v>0.96211202832457809</v>
      </c>
      <c r="J736" s="1044"/>
      <c r="K736" s="463">
        <f>+E736*I736</f>
        <v>688913.58309761586</v>
      </c>
      <c r="L736" s="564" t="s">
        <v>10</v>
      </c>
      <c r="M736" s="173"/>
      <c r="N736" s="13"/>
      <c r="P736" s="171"/>
      <c r="Q736" s="171"/>
      <c r="R736" s="171"/>
      <c r="S736" s="51"/>
      <c r="T736" s="51"/>
      <c r="U736" s="171"/>
    </row>
    <row r="737" spans="1:21" ht="30" customHeight="1" x14ac:dyDescent="0.35">
      <c r="A737" s="241">
        <v>17971</v>
      </c>
      <c r="B737" s="1031" t="s">
        <v>2386</v>
      </c>
      <c r="C737" s="1031"/>
      <c r="D737" s="1031"/>
      <c r="E737" s="667">
        <v>498582</v>
      </c>
      <c r="F737" s="724">
        <v>1</v>
      </c>
      <c r="G737" s="725"/>
      <c r="H737" s="726"/>
      <c r="I737" s="1044">
        <f>+'2021 MILCON Inflation Table'!F20</f>
        <v>0.9432470865927236</v>
      </c>
      <c r="J737" s="1044"/>
      <c r="K737" s="463">
        <f>+E737*I737</f>
        <v>470286.01892757334</v>
      </c>
      <c r="L737" s="564" t="s">
        <v>10</v>
      </c>
      <c r="M737" s="173"/>
      <c r="P737" s="171"/>
      <c r="Q737" s="171"/>
      <c r="R737" s="171"/>
      <c r="S737" s="51"/>
      <c r="T737" s="51"/>
      <c r="U737" s="171"/>
    </row>
    <row r="738" spans="1:21" s="27" customFormat="1" ht="30" customHeight="1" thickBot="1" x14ac:dyDescent="0.4">
      <c r="A738" s="241"/>
      <c r="B738" s="560"/>
      <c r="C738" s="553"/>
      <c r="D738" s="553"/>
      <c r="E738" s="553"/>
      <c r="F738" s="706"/>
      <c r="G738" s="553"/>
      <c r="H738" s="707"/>
      <c r="I738" s="458"/>
      <c r="J738" s="510" t="s">
        <v>2356</v>
      </c>
      <c r="K738" s="459">
        <f>AVERAGE(K736,K737)</f>
        <v>579599.8010125946</v>
      </c>
      <c r="L738" s="564" t="s">
        <v>10</v>
      </c>
      <c r="M738" s="363"/>
      <c r="N738" s="232"/>
      <c r="O738" s="207"/>
    </row>
    <row r="739" spans="1:21" s="208" customFormat="1" ht="30" customHeight="1" thickBot="1" x14ac:dyDescent="0.4">
      <c r="A739" s="1086"/>
      <c r="B739" s="1086"/>
      <c r="C739" s="1086"/>
      <c r="D739" s="1086"/>
      <c r="E739" s="1086"/>
      <c r="F739" s="1086"/>
      <c r="G739" s="1086"/>
      <c r="H739" s="1086"/>
      <c r="I739" s="1086"/>
      <c r="J739" s="1086"/>
      <c r="K739" s="1086"/>
      <c r="L739" s="1103"/>
      <c r="M739" s="363"/>
      <c r="N739" s="230"/>
      <c r="O739" s="205"/>
    </row>
    <row r="740" spans="1:21" ht="30" customHeight="1" x14ac:dyDescent="0.35">
      <c r="A740" s="465" t="s">
        <v>278</v>
      </c>
      <c r="B740" s="539">
        <v>1741</v>
      </c>
      <c r="C740" s="1060" t="s">
        <v>2800</v>
      </c>
      <c r="D740" s="1060"/>
      <c r="E740" s="541" t="s">
        <v>280</v>
      </c>
      <c r="F740" s="542" t="s">
        <v>34</v>
      </c>
      <c r="G740" s="543" t="s">
        <v>285</v>
      </c>
      <c r="H740" s="569">
        <v>1584</v>
      </c>
      <c r="I740" s="541" t="s">
        <v>281</v>
      </c>
      <c r="J740" s="1019" t="s">
        <v>2902</v>
      </c>
      <c r="K740" s="1019"/>
      <c r="L740" s="1020"/>
      <c r="M740" s="173"/>
      <c r="N740" s="13"/>
    </row>
    <row r="741" spans="1:21" ht="30" customHeight="1" x14ac:dyDescent="0.35">
      <c r="A741" s="545"/>
      <c r="B741" s="1021" t="s">
        <v>2921</v>
      </c>
      <c r="C741" s="1021"/>
      <c r="D741" s="1021"/>
      <c r="E741" s="509" t="s">
        <v>290</v>
      </c>
      <c r="F741" s="509" t="s">
        <v>322</v>
      </c>
      <c r="G741" s="1034" t="s">
        <v>323</v>
      </c>
      <c r="H741" s="1034"/>
      <c r="I741" s="509" t="s">
        <v>327</v>
      </c>
      <c r="J741" s="509" t="s">
        <v>419</v>
      </c>
      <c r="K741" s="1012" t="s">
        <v>2356</v>
      </c>
      <c r="L741" s="1023"/>
      <c r="M741" s="173"/>
      <c r="N741" s="75"/>
    </row>
    <row r="742" spans="1:21" ht="30" customHeight="1" thickBot="1" x14ac:dyDescent="0.4">
      <c r="A742" s="546"/>
      <c r="B742" s="1265" t="s">
        <v>4</v>
      </c>
      <c r="C742" s="1265"/>
      <c r="D742" s="1265"/>
      <c r="E742" s="547"/>
      <c r="F742" s="548"/>
      <c r="G742" s="1015"/>
      <c r="H742" s="1015"/>
      <c r="I742" s="549"/>
      <c r="J742" s="550" t="s">
        <v>4</v>
      </c>
      <c r="K742" s="551" t="s">
        <v>4</v>
      </c>
      <c r="L742" s="552" t="s">
        <v>34</v>
      </c>
      <c r="M742" s="173"/>
      <c r="P742" s="171"/>
      <c r="Q742" s="171"/>
      <c r="R742" s="171"/>
      <c r="S742" s="51"/>
      <c r="T742" s="51"/>
      <c r="U742" s="171"/>
    </row>
    <row r="743" spans="1:21" ht="30" customHeight="1" thickBot="1" x14ac:dyDescent="0.4">
      <c r="A743" s="1086"/>
      <c r="B743" s="1086"/>
      <c r="C743" s="1086"/>
      <c r="D743" s="1086"/>
      <c r="E743" s="1086"/>
      <c r="F743" s="1086"/>
      <c r="G743" s="1086"/>
      <c r="H743" s="1086"/>
      <c r="I743" s="1086"/>
      <c r="J743" s="1086"/>
      <c r="K743" s="1086"/>
      <c r="L743" s="1103"/>
      <c r="M743" s="173"/>
      <c r="P743" s="171"/>
      <c r="Q743" s="171"/>
      <c r="R743" s="171"/>
      <c r="S743" s="51"/>
      <c r="T743" s="51"/>
      <c r="U743" s="171"/>
    </row>
    <row r="744" spans="1:21" s="27" customFormat="1" ht="30" customHeight="1" x14ac:dyDescent="0.35">
      <c r="A744" s="465" t="s">
        <v>278</v>
      </c>
      <c r="B744" s="539">
        <v>1742</v>
      </c>
      <c r="C744" s="1060" t="s">
        <v>2801</v>
      </c>
      <c r="D744" s="1060"/>
      <c r="E744" s="541" t="s">
        <v>280</v>
      </c>
      <c r="F744" s="542" t="s">
        <v>34</v>
      </c>
      <c r="G744" s="543" t="s">
        <v>285</v>
      </c>
      <c r="H744" s="569">
        <v>2969</v>
      </c>
      <c r="I744" s="541" t="s">
        <v>281</v>
      </c>
      <c r="J744" s="1019" t="s">
        <v>2902</v>
      </c>
      <c r="K744" s="1019"/>
      <c r="L744" s="1020"/>
      <c r="M744" s="173"/>
      <c r="N744" s="233"/>
      <c r="O744" s="207"/>
    </row>
    <row r="745" spans="1:21" s="208" customFormat="1" ht="30" customHeight="1" x14ac:dyDescent="0.35">
      <c r="A745" s="545"/>
      <c r="B745" s="1021" t="s">
        <v>2921</v>
      </c>
      <c r="C745" s="1021"/>
      <c r="D745" s="1021"/>
      <c r="E745" s="509" t="s">
        <v>290</v>
      </c>
      <c r="F745" s="509" t="s">
        <v>322</v>
      </c>
      <c r="G745" s="1034" t="s">
        <v>323</v>
      </c>
      <c r="H745" s="1034"/>
      <c r="I745" s="509" t="s">
        <v>327</v>
      </c>
      <c r="J745" s="509" t="s">
        <v>419</v>
      </c>
      <c r="K745" s="1012" t="s">
        <v>2356</v>
      </c>
      <c r="L745" s="1023"/>
      <c r="M745" s="363"/>
      <c r="N745" s="232"/>
      <c r="O745" s="205"/>
    </row>
    <row r="746" spans="1:21" ht="30" customHeight="1" thickBot="1" x14ac:dyDescent="0.4">
      <c r="A746" s="546"/>
      <c r="B746" s="1265" t="s">
        <v>4</v>
      </c>
      <c r="C746" s="1265"/>
      <c r="D746" s="1265"/>
      <c r="E746" s="547"/>
      <c r="F746" s="548"/>
      <c r="G746" s="1015"/>
      <c r="H746" s="1015"/>
      <c r="I746" s="549"/>
      <c r="J746" s="550" t="s">
        <v>4</v>
      </c>
      <c r="K746" s="551" t="s">
        <v>4</v>
      </c>
      <c r="L746" s="552" t="s">
        <v>34</v>
      </c>
      <c r="M746" s="173"/>
      <c r="N746" s="234"/>
    </row>
    <row r="747" spans="1:21" ht="30" customHeight="1" thickBot="1" x14ac:dyDescent="0.4">
      <c r="A747" s="1086"/>
      <c r="B747" s="1086"/>
      <c r="C747" s="1086"/>
      <c r="D747" s="1086"/>
      <c r="E747" s="1086"/>
      <c r="F747" s="1086"/>
      <c r="G747" s="1086"/>
      <c r="H747" s="1086"/>
      <c r="I747" s="1086"/>
      <c r="J747" s="1086"/>
      <c r="K747" s="1086"/>
      <c r="L747" s="1103"/>
      <c r="M747" s="173"/>
      <c r="N747" s="68"/>
      <c r="O747" s="203"/>
      <c r="P747" s="218"/>
      <c r="Q747" s="68"/>
      <c r="R747" s="217"/>
    </row>
    <row r="748" spans="1:21" ht="30" customHeight="1" x14ac:dyDescent="0.35">
      <c r="A748" s="465" t="s">
        <v>278</v>
      </c>
      <c r="B748" s="539">
        <v>1743</v>
      </c>
      <c r="C748" s="1060" t="s">
        <v>2949</v>
      </c>
      <c r="D748" s="1060"/>
      <c r="E748" s="541" t="s">
        <v>280</v>
      </c>
      <c r="F748" s="542" t="s">
        <v>34</v>
      </c>
      <c r="G748" s="543" t="s">
        <v>285</v>
      </c>
      <c r="H748" s="569">
        <v>6300</v>
      </c>
      <c r="I748" s="541" t="s">
        <v>281</v>
      </c>
      <c r="J748" s="1019" t="s">
        <v>2902</v>
      </c>
      <c r="K748" s="1019"/>
      <c r="L748" s="1020"/>
      <c r="M748" s="173"/>
      <c r="N748" s="68"/>
      <c r="O748" s="203"/>
      <c r="P748" s="218"/>
      <c r="Q748" s="68"/>
      <c r="R748" s="217"/>
    </row>
    <row r="749" spans="1:21" ht="30" customHeight="1" x14ac:dyDescent="0.35">
      <c r="A749" s="545"/>
      <c r="B749" s="1021" t="s">
        <v>2921</v>
      </c>
      <c r="C749" s="1021"/>
      <c r="D749" s="1021"/>
      <c r="E749" s="509" t="s">
        <v>290</v>
      </c>
      <c r="F749" s="509" t="s">
        <v>322</v>
      </c>
      <c r="G749" s="1034" t="s">
        <v>323</v>
      </c>
      <c r="H749" s="1034"/>
      <c r="I749" s="509" t="s">
        <v>327</v>
      </c>
      <c r="J749" s="509" t="s">
        <v>419</v>
      </c>
      <c r="K749" s="1012" t="s">
        <v>2356</v>
      </c>
      <c r="L749" s="1023"/>
      <c r="M749" s="173"/>
      <c r="N749" s="68"/>
      <c r="O749" s="203"/>
      <c r="P749" s="218"/>
      <c r="Q749" s="68"/>
      <c r="R749" s="217"/>
    </row>
    <row r="750" spans="1:21" s="208" customFormat="1" ht="30" customHeight="1" thickBot="1" x14ac:dyDescent="0.4">
      <c r="A750" s="546"/>
      <c r="B750" s="1265" t="s">
        <v>4</v>
      </c>
      <c r="C750" s="1265"/>
      <c r="D750" s="1265"/>
      <c r="E750" s="547"/>
      <c r="F750" s="548"/>
      <c r="G750" s="1015"/>
      <c r="H750" s="1015"/>
      <c r="I750" s="549"/>
      <c r="J750" s="550" t="s">
        <v>4</v>
      </c>
      <c r="K750" s="551" t="s">
        <v>4</v>
      </c>
      <c r="L750" s="552" t="s">
        <v>34</v>
      </c>
      <c r="M750" s="173"/>
      <c r="N750" s="68"/>
      <c r="P750" s="218"/>
      <c r="Q750" s="68"/>
      <c r="R750" s="217"/>
    </row>
    <row r="751" spans="1:21" ht="30" customHeight="1" thickBot="1" x14ac:dyDescent="0.4">
      <c r="A751" s="1086"/>
      <c r="B751" s="1086"/>
      <c r="C751" s="1086"/>
      <c r="D751" s="1086"/>
      <c r="E751" s="1086"/>
      <c r="F751" s="1086"/>
      <c r="G751" s="1086"/>
      <c r="H751" s="1086"/>
      <c r="I751" s="1086"/>
      <c r="J751" s="1086"/>
      <c r="K751" s="1086"/>
      <c r="L751" s="1103"/>
      <c r="M751" s="407"/>
      <c r="N751" s="68"/>
      <c r="O751" s="203"/>
      <c r="P751" s="218"/>
      <c r="Q751" s="68"/>
      <c r="R751" s="217"/>
    </row>
    <row r="752" spans="1:21" ht="30" customHeight="1" x14ac:dyDescent="0.35">
      <c r="A752" s="465" t="s">
        <v>278</v>
      </c>
      <c r="B752" s="539">
        <v>1744</v>
      </c>
      <c r="C752" s="1060" t="s">
        <v>2802</v>
      </c>
      <c r="D752" s="1060"/>
      <c r="E752" s="541" t="s">
        <v>280</v>
      </c>
      <c r="F752" s="542" t="s">
        <v>34</v>
      </c>
      <c r="G752" s="543" t="s">
        <v>285</v>
      </c>
      <c r="H752" s="569">
        <v>369</v>
      </c>
      <c r="I752" s="541" t="s">
        <v>281</v>
      </c>
      <c r="J752" s="1019" t="s">
        <v>2902</v>
      </c>
      <c r="K752" s="1019"/>
      <c r="L752" s="1020"/>
      <c r="M752" s="173"/>
      <c r="N752" s="68"/>
      <c r="O752" s="203"/>
      <c r="P752" s="218"/>
      <c r="Q752" s="68"/>
      <c r="R752" s="217"/>
    </row>
    <row r="753" spans="1:21" ht="30" customHeight="1" x14ac:dyDescent="0.35">
      <c r="A753" s="545"/>
      <c r="B753" s="1021" t="s">
        <v>2921</v>
      </c>
      <c r="C753" s="1021"/>
      <c r="D753" s="1021"/>
      <c r="E753" s="509" t="s">
        <v>290</v>
      </c>
      <c r="F753" s="509" t="s">
        <v>322</v>
      </c>
      <c r="G753" s="1034" t="s">
        <v>323</v>
      </c>
      <c r="H753" s="1034"/>
      <c r="I753" s="509" t="s">
        <v>327</v>
      </c>
      <c r="J753" s="509" t="s">
        <v>419</v>
      </c>
      <c r="K753" s="1012" t="s">
        <v>2356</v>
      </c>
      <c r="L753" s="1023"/>
      <c r="M753" s="173"/>
      <c r="N753" s="68"/>
      <c r="O753" s="203"/>
      <c r="P753" s="218"/>
      <c r="Q753" s="68"/>
      <c r="R753" s="217"/>
    </row>
    <row r="754" spans="1:21" ht="30" customHeight="1" thickBot="1" x14ac:dyDescent="0.4">
      <c r="A754" s="546"/>
      <c r="B754" s="1265" t="s">
        <v>4</v>
      </c>
      <c r="C754" s="1265"/>
      <c r="D754" s="1265"/>
      <c r="E754" s="547"/>
      <c r="F754" s="548"/>
      <c r="G754" s="1015"/>
      <c r="H754" s="1015"/>
      <c r="I754" s="549"/>
      <c r="J754" s="550" t="s">
        <v>4</v>
      </c>
      <c r="K754" s="551" t="s">
        <v>4</v>
      </c>
      <c r="L754" s="552" t="s">
        <v>34</v>
      </c>
      <c r="M754" s="173"/>
      <c r="N754" s="51"/>
      <c r="O754" s="203"/>
      <c r="P754" s="218"/>
      <c r="Q754" s="68"/>
      <c r="R754" s="217"/>
    </row>
    <row r="755" spans="1:21" ht="30" customHeight="1" thickBot="1" x14ac:dyDescent="0.4">
      <c r="A755" s="1086"/>
      <c r="B755" s="1086"/>
      <c r="C755" s="1086"/>
      <c r="D755" s="1086"/>
      <c r="E755" s="1086"/>
      <c r="F755" s="1086"/>
      <c r="G755" s="1086"/>
      <c r="H755" s="1086"/>
      <c r="I755" s="1086"/>
      <c r="J755" s="1086"/>
      <c r="K755" s="1086"/>
      <c r="L755" s="1103"/>
      <c r="M755" s="407"/>
      <c r="N755" s="419"/>
      <c r="O755" s="171"/>
      <c r="P755" s="216"/>
      <c r="Q755" s="419"/>
      <c r="R755" s="219"/>
    </row>
    <row r="756" spans="1:21" ht="30" customHeight="1" x14ac:dyDescent="0.35">
      <c r="A756" s="465" t="s">
        <v>278</v>
      </c>
      <c r="B756" s="539">
        <v>1745</v>
      </c>
      <c r="C756" s="1138" t="s">
        <v>534</v>
      </c>
      <c r="D756" s="1138"/>
      <c r="E756" s="541" t="s">
        <v>280</v>
      </c>
      <c r="F756" s="542" t="s">
        <v>34</v>
      </c>
      <c r="G756" s="543" t="s">
        <v>285</v>
      </c>
      <c r="H756" s="544">
        <v>9.4</v>
      </c>
      <c r="I756" s="541" t="s">
        <v>281</v>
      </c>
      <c r="J756" s="1019" t="s">
        <v>2371</v>
      </c>
      <c r="K756" s="1019"/>
      <c r="L756" s="1020"/>
      <c r="M756" s="173"/>
      <c r="N756" s="51"/>
      <c r="O756" s="203"/>
      <c r="P756" s="218"/>
      <c r="Q756" s="68"/>
      <c r="R756" s="217"/>
    </row>
    <row r="757" spans="1:21" ht="30" customHeight="1" x14ac:dyDescent="0.35">
      <c r="A757" s="588" t="s">
        <v>298</v>
      </c>
      <c r="B757" s="1038" t="s">
        <v>321</v>
      </c>
      <c r="C757" s="1038"/>
      <c r="D757" s="1038"/>
      <c r="E757" s="23" t="s">
        <v>290</v>
      </c>
      <c r="F757" s="23" t="s">
        <v>322</v>
      </c>
      <c r="G757" s="1034" t="s">
        <v>323</v>
      </c>
      <c r="H757" s="1034"/>
      <c r="I757" s="509" t="s">
        <v>299</v>
      </c>
      <c r="J757" s="509"/>
      <c r="K757" s="1012" t="s">
        <v>292</v>
      </c>
      <c r="L757" s="1023"/>
      <c r="M757" s="173"/>
      <c r="N757" s="419"/>
      <c r="O757" s="171"/>
      <c r="P757" s="216"/>
      <c r="Q757" s="419"/>
      <c r="R757" s="219"/>
    </row>
    <row r="758" spans="1:21" ht="30" customHeight="1" x14ac:dyDescent="0.35">
      <c r="A758" s="241" t="s">
        <v>535</v>
      </c>
      <c r="B758" s="1082" t="s">
        <v>536</v>
      </c>
      <c r="C758" s="1082"/>
      <c r="D758" s="1082"/>
      <c r="E758" s="38">
        <v>0.28999999999999998</v>
      </c>
      <c r="F758" s="3" t="s">
        <v>8</v>
      </c>
      <c r="G758" s="43">
        <v>43560</v>
      </c>
      <c r="H758" s="498" t="s">
        <v>537</v>
      </c>
      <c r="I758" s="446">
        <v>1.02</v>
      </c>
      <c r="J758" s="446"/>
      <c r="K758" s="41">
        <f>+E758*G758*I758</f>
        <v>12885.048000000001</v>
      </c>
      <c r="L758" s="676" t="s">
        <v>34</v>
      </c>
      <c r="M758" s="173"/>
      <c r="N758" s="51"/>
      <c r="O758" s="203"/>
      <c r="P758" s="218"/>
      <c r="Q758" s="68"/>
      <c r="R758" s="217"/>
    </row>
    <row r="759" spans="1:21" ht="30" customHeight="1" x14ac:dyDescent="0.35">
      <c r="A759" s="241" t="s">
        <v>535</v>
      </c>
      <c r="B759" s="1031" t="s">
        <v>538</v>
      </c>
      <c r="C759" s="1031"/>
      <c r="D759" s="1031"/>
      <c r="E759" s="40">
        <v>0.17</v>
      </c>
      <c r="F759" s="3" t="s">
        <v>8</v>
      </c>
      <c r="G759" s="43">
        <v>43560</v>
      </c>
      <c r="H759" s="498" t="s">
        <v>537</v>
      </c>
      <c r="I759" s="446">
        <v>1.02</v>
      </c>
      <c r="J759" s="446"/>
      <c r="K759" s="41">
        <f>+E759*G759*I759</f>
        <v>7553.304000000001</v>
      </c>
      <c r="L759" s="676" t="s">
        <v>34</v>
      </c>
      <c r="M759" s="173"/>
      <c r="N759" s="419"/>
      <c r="O759" s="171"/>
      <c r="P759" s="216"/>
      <c r="Q759" s="419"/>
      <c r="R759" s="219"/>
    </row>
    <row r="760" spans="1:21" ht="30" customHeight="1" x14ac:dyDescent="0.35">
      <c r="A760" s="241" t="s">
        <v>535</v>
      </c>
      <c r="B760" s="1082" t="s">
        <v>539</v>
      </c>
      <c r="C760" s="1082"/>
      <c r="D760" s="1082"/>
      <c r="E760" s="40">
        <v>0.53</v>
      </c>
      <c r="F760" s="3" t="s">
        <v>8</v>
      </c>
      <c r="G760" s="43">
        <v>43560</v>
      </c>
      <c r="H760" s="498" t="s">
        <v>537</v>
      </c>
      <c r="I760" s="446">
        <v>1.02</v>
      </c>
      <c r="J760" s="446"/>
      <c r="K760" s="41">
        <f>+E760*G760*I760</f>
        <v>23548.536000000004</v>
      </c>
      <c r="L760" s="676" t="s">
        <v>34</v>
      </c>
      <c r="M760" s="407"/>
      <c r="N760" s="51"/>
      <c r="O760" s="203"/>
      <c r="P760" s="218"/>
      <c r="Q760" s="68"/>
      <c r="R760" s="217"/>
    </row>
    <row r="761" spans="1:21" ht="30" customHeight="1" x14ac:dyDescent="0.35">
      <c r="A761" s="603"/>
      <c r="B761" s="1102"/>
      <c r="C761" s="1102"/>
      <c r="D761" s="1102"/>
      <c r="E761" s="453"/>
      <c r="F761" s="446"/>
      <c r="G761" s="446"/>
      <c r="H761" s="446"/>
      <c r="I761" s="446"/>
      <c r="J761" s="446" t="s">
        <v>362</v>
      </c>
      <c r="K761" s="679">
        <f>SUM(K758:K760)</f>
        <v>43986.888000000006</v>
      </c>
      <c r="L761" s="676" t="s">
        <v>34</v>
      </c>
      <c r="M761" s="408"/>
      <c r="N761" s="419"/>
      <c r="O761" s="171"/>
      <c r="P761" s="216"/>
      <c r="Q761" s="419"/>
      <c r="R761" s="219"/>
    </row>
    <row r="762" spans="1:21" ht="30" customHeight="1" x14ac:dyDescent="0.35">
      <c r="A762" s="241"/>
      <c r="B762" s="506"/>
      <c r="C762" s="506"/>
      <c r="D762" s="506"/>
      <c r="E762" s="453"/>
      <c r="F762" s="1029" t="s">
        <v>302</v>
      </c>
      <c r="G762" s="1058" t="s">
        <v>303</v>
      </c>
      <c r="H762" s="1058"/>
      <c r="I762" s="1058"/>
      <c r="J762" s="1058"/>
      <c r="K762" s="612">
        <v>1.07</v>
      </c>
      <c r="L762" s="243"/>
      <c r="M762" s="408"/>
      <c r="N762" s="419"/>
      <c r="O762" s="171"/>
      <c r="P762" s="216"/>
      <c r="Q762" s="419"/>
      <c r="R762" s="219"/>
    </row>
    <row r="763" spans="1:21" ht="30" customHeight="1" thickBot="1" x14ac:dyDescent="0.4">
      <c r="A763" s="241"/>
      <c r="B763" s="506"/>
      <c r="C763" s="506"/>
      <c r="D763" s="506"/>
      <c r="E763" s="453"/>
      <c r="F763" s="1029"/>
      <c r="G763" s="1073" t="s">
        <v>2374</v>
      </c>
      <c r="H763" s="1073"/>
      <c r="I763" s="1073"/>
      <c r="J763" s="1073"/>
      <c r="K763" s="612">
        <v>1.08</v>
      </c>
      <c r="L763" s="243"/>
      <c r="M763" s="407"/>
      <c r="N763" s="68"/>
      <c r="O763" s="203"/>
      <c r="P763" s="218"/>
      <c r="Q763" s="68"/>
      <c r="R763" s="217"/>
    </row>
    <row r="764" spans="1:21" ht="30" customHeight="1" thickBot="1" x14ac:dyDescent="0.4">
      <c r="A764" s="603"/>
      <c r="B764" s="446"/>
      <c r="C764" s="458"/>
      <c r="D764" s="458"/>
      <c r="E764" s="458"/>
      <c r="F764" s="458"/>
      <c r="G764" s="458"/>
      <c r="H764" s="458"/>
      <c r="I764" s="458"/>
      <c r="J764" s="446" t="s">
        <v>2356</v>
      </c>
      <c r="K764" s="591">
        <f>+K761*K762/K763</f>
        <v>43579.602000000006</v>
      </c>
      <c r="L764" s="676" t="s">
        <v>34</v>
      </c>
      <c r="M764" s="173"/>
      <c r="N764" s="1101" t="s">
        <v>2743</v>
      </c>
      <c r="O764" s="1101"/>
      <c r="P764" s="1101"/>
      <c r="Q764" s="1101"/>
      <c r="R764" s="1101"/>
      <c r="S764" s="1101"/>
      <c r="T764" s="217"/>
    </row>
    <row r="765" spans="1:21" ht="30" customHeight="1" thickBot="1" x14ac:dyDescent="0.4">
      <c r="A765" s="603"/>
      <c r="B765" s="446"/>
      <c r="C765" s="458"/>
      <c r="D765" s="458"/>
      <c r="E765" s="458"/>
      <c r="F765" s="458"/>
      <c r="G765" s="592" t="s">
        <v>2358</v>
      </c>
      <c r="H765" s="458"/>
      <c r="I765" s="458"/>
      <c r="J765" s="583">
        <f>VLOOKUP(B756,'Mil Cost Premiums for PUCs'!$A$4:$R$272,18,FALSE)</f>
        <v>1.0209999999999999</v>
      </c>
      <c r="K765" s="591">
        <f>+K764*J765</f>
        <v>44494.773642</v>
      </c>
      <c r="L765" s="243" t="s">
        <v>34</v>
      </c>
      <c r="M765" s="173"/>
      <c r="N765" s="1101"/>
      <c r="O765" s="1101"/>
      <c r="P765" s="1101"/>
      <c r="Q765" s="1101"/>
      <c r="R765" s="1101"/>
      <c r="S765" s="1101"/>
      <c r="T765" s="1382"/>
      <c r="U765" s="1382"/>
    </row>
    <row r="766" spans="1:21" ht="30" customHeight="1" thickBot="1" x14ac:dyDescent="0.4">
      <c r="A766" s="1086"/>
      <c r="B766" s="1086"/>
      <c r="C766" s="1086"/>
      <c r="D766" s="1086"/>
      <c r="E766" s="1086"/>
      <c r="F766" s="1086"/>
      <c r="G766" s="1086"/>
      <c r="H766" s="1086"/>
      <c r="I766" s="1086"/>
      <c r="J766" s="1086"/>
      <c r="K766" s="1086"/>
      <c r="L766" s="1103"/>
      <c r="M766" s="173"/>
      <c r="N766" s="235" t="s">
        <v>560</v>
      </c>
      <c r="O766" s="236" t="s">
        <v>561</v>
      </c>
      <c r="P766" s="237" t="s">
        <v>562</v>
      </c>
      <c r="Q766" s="238" t="s">
        <v>322</v>
      </c>
      <c r="R766" s="239" t="s">
        <v>299</v>
      </c>
      <c r="S766" s="240" t="s">
        <v>327</v>
      </c>
      <c r="T766" s="1382"/>
      <c r="U766" s="1382"/>
    </row>
    <row r="767" spans="1:21" s="208" customFormat="1" ht="60" customHeight="1" x14ac:dyDescent="0.35">
      <c r="A767" s="465" t="s">
        <v>278</v>
      </c>
      <c r="B767" s="539">
        <v>1750</v>
      </c>
      <c r="C767" s="1017" t="s">
        <v>540</v>
      </c>
      <c r="D767" s="1017"/>
      <c r="E767" s="541" t="s">
        <v>280</v>
      </c>
      <c r="F767" s="542" t="s">
        <v>37</v>
      </c>
      <c r="G767" s="554" t="s">
        <v>2366</v>
      </c>
      <c r="H767" s="587">
        <v>32</v>
      </c>
      <c r="I767" s="541" t="s">
        <v>281</v>
      </c>
      <c r="J767" s="1019" t="s">
        <v>2843</v>
      </c>
      <c r="K767" s="1019"/>
      <c r="L767" s="1020"/>
      <c r="M767" s="173"/>
      <c r="N767" s="241" t="s">
        <v>324</v>
      </c>
      <c r="O767" s="423" t="s">
        <v>2188</v>
      </c>
      <c r="P767" s="45">
        <v>48.5</v>
      </c>
      <c r="Q767" s="2" t="s">
        <v>8</v>
      </c>
      <c r="R767" s="2">
        <v>1.03</v>
      </c>
      <c r="S767" s="242">
        <f>1.06/1.08</f>
        <v>0.98148148148148151</v>
      </c>
      <c r="T767" s="218"/>
    </row>
    <row r="768" spans="1:21" ht="30" customHeight="1" x14ac:dyDescent="0.35">
      <c r="A768" s="545" t="s">
        <v>541</v>
      </c>
      <c r="B768" s="1038" t="s">
        <v>321</v>
      </c>
      <c r="C768" s="1038"/>
      <c r="D768" s="1038"/>
      <c r="E768" s="23" t="s">
        <v>290</v>
      </c>
      <c r="F768" s="23" t="s">
        <v>322</v>
      </c>
      <c r="G768" s="1034" t="s">
        <v>323</v>
      </c>
      <c r="H768" s="1034"/>
      <c r="I768" s="201" t="s">
        <v>299</v>
      </c>
      <c r="J768" s="201" t="s">
        <v>302</v>
      </c>
      <c r="K768" s="1012" t="s">
        <v>292</v>
      </c>
      <c r="L768" s="1023"/>
      <c r="M768" s="173"/>
      <c r="N768" s="241" t="s">
        <v>565</v>
      </c>
      <c r="O768" s="423" t="s">
        <v>566</v>
      </c>
      <c r="P768" s="45">
        <v>19.25</v>
      </c>
      <c r="Q768" s="2" t="s">
        <v>8</v>
      </c>
      <c r="R768" s="37">
        <v>1.03</v>
      </c>
      <c r="S768" s="242">
        <f>1.05/1.08</f>
        <v>0.97222222222222221</v>
      </c>
      <c r="T768" s="218"/>
    </row>
    <row r="769" spans="1:20" ht="30" customHeight="1" x14ac:dyDescent="0.35">
      <c r="A769" s="241" t="s">
        <v>493</v>
      </c>
      <c r="B769" s="1082" t="s">
        <v>542</v>
      </c>
      <c r="C769" s="1082"/>
      <c r="D769" s="1082"/>
      <c r="E769" s="680">
        <f>+P770</f>
        <v>9.6300000000000008</v>
      </c>
      <c r="F769" s="446" t="s">
        <v>8</v>
      </c>
      <c r="G769" s="727">
        <f>7*62</f>
        <v>434</v>
      </c>
      <c r="H769" s="655" t="s">
        <v>543</v>
      </c>
      <c r="I769" s="573">
        <f>+R770</f>
        <v>1.02</v>
      </c>
      <c r="J769" s="573">
        <f>+S770</f>
        <v>0.9907407407407407</v>
      </c>
      <c r="K769" s="453">
        <f>+E769*G769*I769*J769</f>
        <v>4223.5360999999994</v>
      </c>
      <c r="L769" s="243" t="s">
        <v>37</v>
      </c>
      <c r="M769" s="173"/>
      <c r="N769" s="241" t="s">
        <v>331</v>
      </c>
      <c r="O769" s="423" t="s">
        <v>568</v>
      </c>
      <c r="P769" s="45">
        <f>+((1630+2000)/2)+4*((246+481)/2)</f>
        <v>3269</v>
      </c>
      <c r="Q769" s="2" t="s">
        <v>10</v>
      </c>
      <c r="R769" s="2">
        <v>1.03</v>
      </c>
      <c r="S769" s="242">
        <f>1.07/1.08</f>
        <v>0.9907407407407407</v>
      </c>
      <c r="T769" s="218"/>
    </row>
    <row r="770" spans="1:20" ht="30" customHeight="1" x14ac:dyDescent="0.35">
      <c r="A770" s="241" t="s">
        <v>544</v>
      </c>
      <c r="B770" s="1082" t="s">
        <v>545</v>
      </c>
      <c r="C770" s="1082"/>
      <c r="D770" s="1082"/>
      <c r="E770" s="680">
        <f>+(339+540)/2</f>
        <v>439.5</v>
      </c>
      <c r="F770" s="639" t="s">
        <v>10</v>
      </c>
      <c r="G770" s="727">
        <v>7</v>
      </c>
      <c r="H770" s="655" t="s">
        <v>546</v>
      </c>
      <c r="I770" s="573">
        <f>+R776</f>
        <v>1.01</v>
      </c>
      <c r="J770" s="573">
        <f>+S776</f>
        <v>0.9907407407407407</v>
      </c>
      <c r="K770" s="453">
        <f>+E770*G770*I770*J770</f>
        <v>3078.4940277777773</v>
      </c>
      <c r="L770" s="243" t="s">
        <v>37</v>
      </c>
      <c r="M770" s="173"/>
      <c r="N770" s="241" t="s">
        <v>493</v>
      </c>
      <c r="O770" s="423" t="s">
        <v>569</v>
      </c>
      <c r="P770" s="29">
        <f>+((4.79+7.16)/2)+((4*(0.44+0.63))/2)+((0.5+2.53)/2)</f>
        <v>9.6300000000000008</v>
      </c>
      <c r="Q770" s="2" t="s">
        <v>8</v>
      </c>
      <c r="R770" s="2">
        <v>1.02</v>
      </c>
      <c r="S770" s="242">
        <f t="shared" ref="S770:S788" si="18">1.07/1.08</f>
        <v>0.9907407407407407</v>
      </c>
      <c r="T770" s="218"/>
    </row>
    <row r="771" spans="1:20" s="208" customFormat="1" ht="30" customHeight="1" x14ac:dyDescent="0.35">
      <c r="A771" s="241" t="s">
        <v>544</v>
      </c>
      <c r="B771" s="1082" t="s">
        <v>547</v>
      </c>
      <c r="C771" s="1082"/>
      <c r="D771" s="1082"/>
      <c r="E771" s="680">
        <f>P778</f>
        <v>341</v>
      </c>
      <c r="F771" s="639" t="s">
        <v>10</v>
      </c>
      <c r="G771" s="727">
        <v>7</v>
      </c>
      <c r="H771" s="655" t="s">
        <v>546</v>
      </c>
      <c r="I771" s="573">
        <f>+R778</f>
        <v>1.01</v>
      </c>
      <c r="J771" s="573">
        <f>+S778</f>
        <v>0.9907407407407407</v>
      </c>
      <c r="K771" s="453">
        <f>+E771*G771*I771*J771</f>
        <v>2388.5471296296296</v>
      </c>
      <c r="L771" s="243" t="s">
        <v>37</v>
      </c>
      <c r="M771" s="173"/>
      <c r="N771" s="241" t="s">
        <v>324</v>
      </c>
      <c r="O771" s="423" t="s">
        <v>2188</v>
      </c>
      <c r="P771" s="45">
        <v>48.5</v>
      </c>
      <c r="Q771" s="2" t="s">
        <v>8</v>
      </c>
      <c r="R771" s="2">
        <v>1.03</v>
      </c>
      <c r="S771" s="242">
        <f>1.06/1.08</f>
        <v>0.98148148148148151</v>
      </c>
      <c r="T771" s="218"/>
    </row>
    <row r="772" spans="1:20" ht="30" customHeight="1" x14ac:dyDescent="0.35">
      <c r="A772" s="241" t="s">
        <v>548</v>
      </c>
      <c r="B772" s="1082" t="s">
        <v>549</v>
      </c>
      <c r="C772" s="1082"/>
      <c r="D772" s="1082"/>
      <c r="E772" s="680">
        <f>P781</f>
        <v>148.79</v>
      </c>
      <c r="F772" s="639" t="s">
        <v>10</v>
      </c>
      <c r="G772" s="727">
        <f>4*7</f>
        <v>28</v>
      </c>
      <c r="H772" s="655" t="s">
        <v>546</v>
      </c>
      <c r="I772" s="573">
        <f>+R781</f>
        <v>1.01</v>
      </c>
      <c r="J772" s="573">
        <f>+S781</f>
        <v>0.9907407407407407</v>
      </c>
      <c r="K772" s="453">
        <f>+E772*G772*I772*J772</f>
        <v>4168.8202629629632</v>
      </c>
      <c r="L772" s="243" t="s">
        <v>37</v>
      </c>
      <c r="M772" s="173"/>
      <c r="N772" s="241" t="s">
        <v>565</v>
      </c>
      <c r="O772" s="423" t="s">
        <v>566</v>
      </c>
      <c r="P772" s="45">
        <v>19.25</v>
      </c>
      <c r="Q772" s="2" t="s">
        <v>8</v>
      </c>
      <c r="R772" s="37">
        <v>1.03</v>
      </c>
      <c r="S772" s="242">
        <f>1.05/1.08</f>
        <v>0.97222222222222221</v>
      </c>
      <c r="T772" s="218"/>
    </row>
    <row r="773" spans="1:20" ht="30" customHeight="1" x14ac:dyDescent="0.35">
      <c r="A773" s="241" t="s">
        <v>550</v>
      </c>
      <c r="B773" s="1082" t="s">
        <v>551</v>
      </c>
      <c r="C773" s="1082"/>
      <c r="D773" s="1082"/>
      <c r="E773" s="680">
        <f>P782</f>
        <v>18.47</v>
      </c>
      <c r="F773" s="639" t="s">
        <v>6</v>
      </c>
      <c r="G773" s="716">
        <v>2653</v>
      </c>
      <c r="H773" s="655" t="s">
        <v>552</v>
      </c>
      <c r="I773" s="573">
        <f>+R782</f>
        <v>1.01</v>
      </c>
      <c r="J773" s="573">
        <f>+S782</f>
        <v>0.9907407407407407</v>
      </c>
      <c r="K773" s="453">
        <f>+E773*G773*I773*J773</f>
        <v>49032.669849074075</v>
      </c>
      <c r="L773" s="243" t="s">
        <v>37</v>
      </c>
      <c r="M773" s="173"/>
      <c r="N773" s="241" t="s">
        <v>493</v>
      </c>
      <c r="O773" s="423" t="s">
        <v>570</v>
      </c>
      <c r="P773" s="29">
        <f>+((4.79+7.16)/2)+((8*(0.44+0.63))/2)+((0.5+2.53)/2)</f>
        <v>11.77</v>
      </c>
      <c r="Q773" s="2" t="s">
        <v>8</v>
      </c>
      <c r="R773" s="2">
        <v>1.02</v>
      </c>
      <c r="S773" s="242">
        <f t="shared" si="18"/>
        <v>0.9907407407407407</v>
      </c>
      <c r="T773" s="218"/>
    </row>
    <row r="774" spans="1:20" ht="30" customHeight="1" x14ac:dyDescent="0.35">
      <c r="A774" s="241" t="s">
        <v>331</v>
      </c>
      <c r="B774" s="1082" t="s">
        <v>553</v>
      </c>
      <c r="C774" s="1082"/>
      <c r="D774" s="1082"/>
      <c r="E774" s="680">
        <f>+P786</f>
        <v>458.24</v>
      </c>
      <c r="F774" s="639" t="s">
        <v>10</v>
      </c>
      <c r="G774" s="727"/>
      <c r="H774" s="655"/>
      <c r="I774" s="573">
        <f>R786</f>
        <v>1.03</v>
      </c>
      <c r="J774" s="573">
        <f>+S786</f>
        <v>0.9907407407407407</v>
      </c>
      <c r="K774" s="453">
        <f>+E774*J774*I774</f>
        <v>467.6169481481482</v>
      </c>
      <c r="L774" s="243" t="s">
        <v>37</v>
      </c>
      <c r="M774" s="173"/>
      <c r="N774" s="241" t="s">
        <v>449</v>
      </c>
      <c r="O774" s="423" t="s">
        <v>2742</v>
      </c>
      <c r="P774" s="45">
        <v>19</v>
      </c>
      <c r="Q774" s="2" t="s">
        <v>8</v>
      </c>
      <c r="R774" s="2">
        <v>1.05</v>
      </c>
      <c r="S774" s="242">
        <f t="shared" si="18"/>
        <v>0.9907407407407407</v>
      </c>
      <c r="T774" s="218"/>
    </row>
    <row r="775" spans="1:20" ht="30" customHeight="1" x14ac:dyDescent="0.35">
      <c r="A775" s="241">
        <v>93410</v>
      </c>
      <c r="B775" s="1082" t="s">
        <v>2803</v>
      </c>
      <c r="C775" s="1082"/>
      <c r="D775" s="1082"/>
      <c r="E775" s="680">
        <f>+P791</f>
        <v>8.5</v>
      </c>
      <c r="F775" s="639" t="s">
        <v>283</v>
      </c>
      <c r="G775" s="728">
        <v>213.375</v>
      </c>
      <c r="H775" s="655" t="s">
        <v>554</v>
      </c>
      <c r="I775" s="729">
        <f>+R791</f>
        <v>0.9432470865927236</v>
      </c>
      <c r="J775" s="573"/>
      <c r="K775" s="453">
        <f>+E775*G775*I775</f>
        <v>1710.7554503646404</v>
      </c>
      <c r="L775" s="243" t="s">
        <v>37</v>
      </c>
      <c r="M775" s="173"/>
      <c r="N775" s="241" t="s">
        <v>449</v>
      </c>
      <c r="O775" s="423" t="s">
        <v>572</v>
      </c>
      <c r="P775" s="45">
        <f>+(4.56+5.35)/2</f>
        <v>4.9550000000000001</v>
      </c>
      <c r="Q775" s="2" t="s">
        <v>8</v>
      </c>
      <c r="R775" s="2">
        <v>1.05</v>
      </c>
      <c r="S775" s="242">
        <f t="shared" si="18"/>
        <v>0.9907407407407407</v>
      </c>
      <c r="T775" s="218"/>
    </row>
    <row r="776" spans="1:20" ht="30" customHeight="1" x14ac:dyDescent="0.35">
      <c r="A776" s="241">
        <v>93210</v>
      </c>
      <c r="B776" s="1082" t="s">
        <v>555</v>
      </c>
      <c r="C776" s="1082"/>
      <c r="D776" s="1082"/>
      <c r="E776" s="680">
        <f>P793</f>
        <v>47.6</v>
      </c>
      <c r="F776" s="639" t="s">
        <v>283</v>
      </c>
      <c r="G776" s="728">
        <v>12.78125</v>
      </c>
      <c r="H776" s="655" t="s">
        <v>554</v>
      </c>
      <c r="I776" s="729">
        <f>+R793</f>
        <v>0.9432470865927236</v>
      </c>
      <c r="J776" s="573"/>
      <c r="K776" s="453">
        <f>+E776*G776*I776</f>
        <v>573.85973689443063</v>
      </c>
      <c r="L776" s="243" t="s">
        <v>37</v>
      </c>
      <c r="M776" s="173"/>
      <c r="N776" s="241" t="s">
        <v>544</v>
      </c>
      <c r="O776" s="1" t="s">
        <v>545</v>
      </c>
      <c r="P776" s="45">
        <f>+(366+585)/2</f>
        <v>475.5</v>
      </c>
      <c r="Q776" s="2" t="s">
        <v>10</v>
      </c>
      <c r="R776" s="37">
        <v>1.01</v>
      </c>
      <c r="S776" s="242">
        <f t="shared" si="18"/>
        <v>0.9907407407407407</v>
      </c>
      <c r="T776" s="218"/>
    </row>
    <row r="777" spans="1:20" ht="30" customHeight="1" x14ac:dyDescent="0.35">
      <c r="A777" s="241"/>
      <c r="B777" s="1059"/>
      <c r="C777" s="1059"/>
      <c r="D777" s="1059"/>
      <c r="E777" s="679"/>
      <c r="F777" s="446"/>
      <c r="G777" s="730"/>
      <c r="H777" s="508"/>
      <c r="I777" s="446"/>
      <c r="J777" s="446" t="s">
        <v>362</v>
      </c>
      <c r="K777" s="453">
        <f>SUM(K769:K776)</f>
        <v>65644.29950485166</v>
      </c>
      <c r="L777" s="243" t="s">
        <v>37</v>
      </c>
      <c r="M777" s="173"/>
      <c r="N777" s="241" t="s">
        <v>544</v>
      </c>
      <c r="O777" s="1" t="s">
        <v>574</v>
      </c>
      <c r="P777" s="45">
        <f>+(705+1020)/2</f>
        <v>862.5</v>
      </c>
      <c r="Q777" s="2" t="s">
        <v>10</v>
      </c>
      <c r="R777" s="37">
        <v>1.01</v>
      </c>
      <c r="S777" s="242">
        <f t="shared" si="18"/>
        <v>0.9907407407407407</v>
      </c>
      <c r="T777" s="218"/>
    </row>
    <row r="778" spans="1:20" ht="30" customHeight="1" x14ac:dyDescent="0.35">
      <c r="A778" s="1183" t="s">
        <v>2804</v>
      </c>
      <c r="B778" s="1184"/>
      <c r="C778" s="1184"/>
      <c r="D778" s="1184"/>
      <c r="E778" s="458"/>
      <c r="F778" s="458"/>
      <c r="G778" s="458"/>
      <c r="H778" s="458"/>
      <c r="I778" s="458"/>
      <c r="J778" s="446" t="s">
        <v>2356</v>
      </c>
      <c r="K778" s="591">
        <f>+K777</f>
        <v>65644.29950485166</v>
      </c>
      <c r="L778" s="243" t="s">
        <v>37</v>
      </c>
      <c r="M778" s="173"/>
      <c r="N778" s="241" t="s">
        <v>544</v>
      </c>
      <c r="O778" s="1" t="s">
        <v>547</v>
      </c>
      <c r="P778" s="45">
        <f>+(237+445)/2</f>
        <v>341</v>
      </c>
      <c r="Q778" s="2" t="s">
        <v>10</v>
      </c>
      <c r="R778" s="37">
        <v>1.01</v>
      </c>
      <c r="S778" s="242">
        <f t="shared" si="18"/>
        <v>0.9907407407407407</v>
      </c>
      <c r="T778" s="218"/>
    </row>
    <row r="779" spans="1:20" ht="30" customHeight="1" thickBot="1" x14ac:dyDescent="0.4">
      <c r="A779" s="1183"/>
      <c r="B779" s="1184"/>
      <c r="C779" s="1184"/>
      <c r="D779" s="1184"/>
      <c r="E779" s="458"/>
      <c r="F779" s="458"/>
      <c r="G779" s="592" t="s">
        <v>2358</v>
      </c>
      <c r="H779" s="458"/>
      <c r="I779" s="458"/>
      <c r="J779" s="583">
        <f>VLOOKUP(B767,'Mil Cost Premiums for PUCs'!$A$4:$R$272,18,FALSE)</f>
        <v>1.0485669999999998</v>
      </c>
      <c r="K779" s="591">
        <f>+K778*J779</f>
        <v>68832.446198903781</v>
      </c>
      <c r="L779" s="243" t="s">
        <v>37</v>
      </c>
      <c r="M779" s="173"/>
      <c r="N779" s="241"/>
      <c r="O779" s="1"/>
      <c r="P779" s="45"/>
      <c r="Q779" s="2"/>
      <c r="R779" s="37"/>
      <c r="S779" s="242"/>
      <c r="T779" s="218"/>
    </row>
    <row r="780" spans="1:20" ht="30" customHeight="1" thickBot="1" x14ac:dyDescent="0.4">
      <c r="A780" s="1086"/>
      <c r="B780" s="1086"/>
      <c r="C780" s="1086"/>
      <c r="D780" s="1086"/>
      <c r="E780" s="1086"/>
      <c r="F780" s="1086"/>
      <c r="G780" s="1086"/>
      <c r="H780" s="1086"/>
      <c r="I780" s="1086"/>
      <c r="J780" s="1086"/>
      <c r="K780" s="1086"/>
      <c r="L780" s="1103"/>
      <c r="M780" s="173"/>
      <c r="N780" s="241" t="s">
        <v>544</v>
      </c>
      <c r="O780" s="1" t="s">
        <v>575</v>
      </c>
      <c r="P780" s="45">
        <f>+(820+1300)/2</f>
        <v>1060</v>
      </c>
      <c r="Q780" s="2" t="s">
        <v>10</v>
      </c>
      <c r="R780" s="37">
        <v>1.01</v>
      </c>
      <c r="S780" s="242">
        <f t="shared" si="18"/>
        <v>0.9907407407407407</v>
      </c>
      <c r="T780" s="218"/>
    </row>
    <row r="781" spans="1:20" ht="60" customHeight="1" x14ac:dyDescent="0.35">
      <c r="A781" s="465" t="s">
        <v>278</v>
      </c>
      <c r="B781" s="539">
        <v>1751</v>
      </c>
      <c r="C781" s="1017" t="s">
        <v>556</v>
      </c>
      <c r="D781" s="1017"/>
      <c r="E781" s="541" t="s">
        <v>280</v>
      </c>
      <c r="F781" s="542" t="s">
        <v>37</v>
      </c>
      <c r="G781" s="553" t="s">
        <v>2815</v>
      </c>
      <c r="H781" s="587">
        <v>32</v>
      </c>
      <c r="I781" s="541" t="s">
        <v>281</v>
      </c>
      <c r="J781" s="1019" t="s">
        <v>2843</v>
      </c>
      <c r="K781" s="1019"/>
      <c r="L781" s="1020"/>
      <c r="M781" s="173"/>
      <c r="N781" s="241" t="s">
        <v>548</v>
      </c>
      <c r="O781" s="423" t="s">
        <v>549</v>
      </c>
      <c r="P781" s="45">
        <f>136+((8.53+17.05))/2</f>
        <v>148.79</v>
      </c>
      <c r="Q781" s="2" t="s">
        <v>10</v>
      </c>
      <c r="R781" s="37">
        <v>1.01</v>
      </c>
      <c r="S781" s="242">
        <f t="shared" si="18"/>
        <v>0.9907407407407407</v>
      </c>
      <c r="T781" s="218"/>
    </row>
    <row r="782" spans="1:20" ht="30" customHeight="1" x14ac:dyDescent="0.35">
      <c r="A782" s="545" t="s">
        <v>541</v>
      </c>
      <c r="B782" s="1038" t="s">
        <v>321</v>
      </c>
      <c r="C782" s="1038"/>
      <c r="D782" s="1038"/>
      <c r="E782" s="23" t="s">
        <v>290</v>
      </c>
      <c r="F782" s="23" t="s">
        <v>322</v>
      </c>
      <c r="G782" s="1034" t="s">
        <v>323</v>
      </c>
      <c r="H782" s="1034"/>
      <c r="I782" s="201" t="s">
        <v>299</v>
      </c>
      <c r="J782" s="201" t="s">
        <v>302</v>
      </c>
      <c r="K782" s="1012" t="s">
        <v>292</v>
      </c>
      <c r="L782" s="1023"/>
      <c r="M782" s="173"/>
      <c r="N782" s="241" t="s">
        <v>550</v>
      </c>
      <c r="O782" s="423" t="s">
        <v>563</v>
      </c>
      <c r="P782" s="45">
        <f>17.65+0.82</f>
        <v>18.47</v>
      </c>
      <c r="Q782" s="2" t="s">
        <v>6</v>
      </c>
      <c r="R782" s="37">
        <v>1.01</v>
      </c>
      <c r="S782" s="242">
        <f t="shared" si="18"/>
        <v>0.9907407407407407</v>
      </c>
      <c r="T782" s="218"/>
    </row>
    <row r="783" spans="1:20" s="208" customFormat="1" ht="30" customHeight="1" x14ac:dyDescent="0.35">
      <c r="A783" s="241" t="s">
        <v>331</v>
      </c>
      <c r="B783" s="1059" t="s">
        <v>557</v>
      </c>
      <c r="C783" s="1059"/>
      <c r="D783" s="1059"/>
      <c r="E783" s="680">
        <f>+P786</f>
        <v>458.24</v>
      </c>
      <c r="F783" s="639" t="s">
        <v>10</v>
      </c>
      <c r="G783" s="727"/>
      <c r="H783" s="655"/>
      <c r="I783" s="573">
        <f>+R769</f>
        <v>1.03</v>
      </c>
      <c r="J783" s="573">
        <f>+S769</f>
        <v>0.9907407407407407</v>
      </c>
      <c r="K783" s="453">
        <f>+E783*J783*I783</f>
        <v>467.6169481481482</v>
      </c>
      <c r="L783" s="243" t="s">
        <v>37</v>
      </c>
      <c r="M783" s="173"/>
      <c r="N783" s="241" t="s">
        <v>550</v>
      </c>
      <c r="O783" s="423" t="s">
        <v>577</v>
      </c>
      <c r="P783" s="45">
        <v>15.75</v>
      </c>
      <c r="Q783" s="2" t="s">
        <v>6</v>
      </c>
      <c r="R783" s="37">
        <v>1.01</v>
      </c>
      <c r="S783" s="242">
        <f t="shared" si="18"/>
        <v>0.9907407407407407</v>
      </c>
      <c r="T783" s="218"/>
    </row>
    <row r="784" spans="1:20" ht="30" customHeight="1" x14ac:dyDescent="0.35">
      <c r="A784" s="241" t="s">
        <v>449</v>
      </c>
      <c r="B784" s="1059" t="s">
        <v>558</v>
      </c>
      <c r="C784" s="1059"/>
      <c r="D784" s="1059"/>
      <c r="E784" s="645">
        <f>+P787</f>
        <v>20.149999999999999</v>
      </c>
      <c r="F784" s="639" t="s">
        <v>10</v>
      </c>
      <c r="G784" s="727">
        <v>4</v>
      </c>
      <c r="H784" s="655" t="s">
        <v>559</v>
      </c>
      <c r="I784" s="573">
        <f>+R787</f>
        <v>1.05</v>
      </c>
      <c r="J784" s="573">
        <f>+S787</f>
        <v>0.9907407407407407</v>
      </c>
      <c r="K784" s="453">
        <f>+E784*G784*I784*J784</f>
        <v>83.846388888888882</v>
      </c>
      <c r="L784" s="243" t="s">
        <v>37</v>
      </c>
      <c r="M784" s="173"/>
      <c r="N784" s="241" t="s">
        <v>436</v>
      </c>
      <c r="O784" s="424" t="s">
        <v>579</v>
      </c>
      <c r="P784" s="45">
        <f>(17+19.65)/2</f>
        <v>18.324999999999999</v>
      </c>
      <c r="Q784" s="2" t="s">
        <v>6</v>
      </c>
      <c r="R784" s="2">
        <v>1.02</v>
      </c>
      <c r="S784" s="242">
        <f t="shared" si="18"/>
        <v>0.9907407407407407</v>
      </c>
      <c r="T784" s="218"/>
    </row>
    <row r="785" spans="1:24" ht="30" customHeight="1" x14ac:dyDescent="0.35">
      <c r="A785" s="241" t="s">
        <v>550</v>
      </c>
      <c r="B785" s="1059" t="s">
        <v>563</v>
      </c>
      <c r="C785" s="1059"/>
      <c r="D785" s="1059"/>
      <c r="E785" s="680">
        <f>+P782</f>
        <v>18.47</v>
      </c>
      <c r="F785" s="639" t="s">
        <v>6</v>
      </c>
      <c r="G785" s="727">
        <v>224</v>
      </c>
      <c r="H785" s="655" t="s">
        <v>552</v>
      </c>
      <c r="I785" s="573">
        <f>+R782</f>
        <v>1.01</v>
      </c>
      <c r="J785" s="573">
        <f>+S782</f>
        <v>0.9907407407407407</v>
      </c>
      <c r="K785" s="453">
        <f>+E785*G785*I785*J785</f>
        <v>4139.9615703703703</v>
      </c>
      <c r="L785" s="243" t="s">
        <v>37</v>
      </c>
      <c r="M785" s="173"/>
      <c r="N785" s="241" t="s">
        <v>436</v>
      </c>
      <c r="O785" s="1" t="s">
        <v>580</v>
      </c>
      <c r="P785" s="45">
        <f>+(1720+3875)/2</f>
        <v>2797.5</v>
      </c>
      <c r="Q785" s="2" t="s">
        <v>10</v>
      </c>
      <c r="R785" s="2">
        <v>1.02</v>
      </c>
      <c r="S785" s="242">
        <f t="shared" si="18"/>
        <v>0.9907407407407407</v>
      </c>
      <c r="T785" s="218"/>
    </row>
    <row r="786" spans="1:24" ht="30" customHeight="1" x14ac:dyDescent="0.35">
      <c r="A786" s="241">
        <v>93410</v>
      </c>
      <c r="B786" s="1059" t="s">
        <v>564</v>
      </c>
      <c r="C786" s="1059"/>
      <c r="D786" s="1059"/>
      <c r="E786" s="680">
        <f>+P791</f>
        <v>8.5</v>
      </c>
      <c r="F786" s="639" t="s">
        <v>283</v>
      </c>
      <c r="G786" s="728">
        <v>60.5</v>
      </c>
      <c r="H786" s="655" t="s">
        <v>554</v>
      </c>
      <c r="I786" s="729">
        <f>+R791</f>
        <v>0.9432470865927236</v>
      </c>
      <c r="J786" s="446"/>
      <c r="K786" s="453">
        <f>+E786*G786*I786</f>
        <v>485.0648142803081</v>
      </c>
      <c r="L786" s="243" t="s">
        <v>37</v>
      </c>
      <c r="M786" s="173"/>
      <c r="N786" s="241" t="s">
        <v>331</v>
      </c>
      <c r="O786" s="423" t="s">
        <v>557</v>
      </c>
      <c r="P786" s="45">
        <f>(66.5+(2.67*18))*4</f>
        <v>458.24</v>
      </c>
      <c r="Q786" s="2" t="s">
        <v>10</v>
      </c>
      <c r="R786" s="2">
        <v>1.03</v>
      </c>
      <c r="S786" s="242">
        <f t="shared" si="18"/>
        <v>0.9907407407407407</v>
      </c>
      <c r="T786" s="218"/>
    </row>
    <row r="787" spans="1:24" ht="30" customHeight="1" x14ac:dyDescent="0.35">
      <c r="A787" s="241">
        <v>93210</v>
      </c>
      <c r="B787" s="1059" t="s">
        <v>567</v>
      </c>
      <c r="C787" s="1059"/>
      <c r="D787" s="1059"/>
      <c r="E787" s="680">
        <f>P793</f>
        <v>47.6</v>
      </c>
      <c r="F787" s="639" t="s">
        <v>283</v>
      </c>
      <c r="G787" s="728">
        <v>12.09375</v>
      </c>
      <c r="H787" s="655" t="s">
        <v>554</v>
      </c>
      <c r="I787" s="729">
        <f>+R793</f>
        <v>0.9432470865927236</v>
      </c>
      <c r="J787" s="446"/>
      <c r="K787" s="453">
        <f>+E787*G787*I787</f>
        <v>542.99197598568378</v>
      </c>
      <c r="L787" s="243" t="s">
        <v>37</v>
      </c>
      <c r="M787" s="173"/>
      <c r="N787" s="241" t="s">
        <v>449</v>
      </c>
      <c r="O787" s="25" t="s">
        <v>558</v>
      </c>
      <c r="P787" s="45">
        <v>20.149999999999999</v>
      </c>
      <c r="Q787" s="2" t="s">
        <v>10</v>
      </c>
      <c r="R787" s="37">
        <v>1.05</v>
      </c>
      <c r="S787" s="242">
        <f t="shared" si="18"/>
        <v>0.9907407407407407</v>
      </c>
      <c r="T787" s="218"/>
    </row>
    <row r="788" spans="1:24" ht="30" customHeight="1" x14ac:dyDescent="0.35">
      <c r="A788" s="1183" t="s">
        <v>2804</v>
      </c>
      <c r="B788" s="1184"/>
      <c r="C788" s="1184"/>
      <c r="D788" s="1184"/>
      <c r="E788" s="453"/>
      <c r="F788" s="446"/>
      <c r="G788" s="519"/>
      <c r="H788" s="508"/>
      <c r="I788" s="721"/>
      <c r="J788" s="446" t="s">
        <v>362</v>
      </c>
      <c r="K788" s="453">
        <f>SUM(K783:K787)</f>
        <v>5719.4816976733991</v>
      </c>
      <c r="L788" s="243" t="s">
        <v>37</v>
      </c>
      <c r="M788" s="173"/>
      <c r="N788" s="241" t="s">
        <v>451</v>
      </c>
      <c r="O788" s="423" t="s">
        <v>582</v>
      </c>
      <c r="P788" s="45">
        <v>23.9</v>
      </c>
      <c r="Q788" s="2" t="s">
        <v>8</v>
      </c>
      <c r="R788" s="37">
        <v>1.05</v>
      </c>
      <c r="S788" s="242">
        <f t="shared" si="18"/>
        <v>0.9907407407407407</v>
      </c>
      <c r="T788" s="218"/>
    </row>
    <row r="789" spans="1:24" ht="30" customHeight="1" thickBot="1" x14ac:dyDescent="0.4">
      <c r="A789" s="1183"/>
      <c r="B789" s="1184"/>
      <c r="C789" s="1184"/>
      <c r="D789" s="1184"/>
      <c r="E789" s="458"/>
      <c r="F789" s="458"/>
      <c r="G789" s="592" t="s">
        <v>2358</v>
      </c>
      <c r="H789" s="458"/>
      <c r="I789" s="458"/>
      <c r="J789" s="583">
        <f>VLOOKUP(B781,'Mil Cost Premiums for PUCs'!$A$4:$R$272,18,FALSE)</f>
        <v>1.0485669999999998</v>
      </c>
      <c r="K789" s="591">
        <f>+K788*J789</f>
        <v>5997.2597652843024</v>
      </c>
      <c r="L789" s="243" t="s">
        <v>37</v>
      </c>
      <c r="M789" s="173"/>
      <c r="N789" s="241">
        <v>85110</v>
      </c>
      <c r="O789" s="423" t="s">
        <v>583</v>
      </c>
      <c r="P789" s="45">
        <v>19.2</v>
      </c>
      <c r="Q789" s="2" t="s">
        <v>3</v>
      </c>
      <c r="R789" s="46">
        <f>+'2021 MILCON Inflation Table'!$F$20</f>
        <v>0.9432470865927236</v>
      </c>
      <c r="S789" s="242"/>
      <c r="T789" s="218"/>
    </row>
    <row r="790" spans="1:24" ht="30" customHeight="1" thickBot="1" x14ac:dyDescent="0.4">
      <c r="A790" s="1086"/>
      <c r="B790" s="1086"/>
      <c r="C790" s="1086"/>
      <c r="D790" s="1086"/>
      <c r="E790" s="1086"/>
      <c r="F790" s="1086"/>
      <c r="G790" s="1086"/>
      <c r="H790" s="1086"/>
      <c r="I790" s="1086"/>
      <c r="J790" s="1086"/>
      <c r="K790" s="1086"/>
      <c r="L790" s="1103"/>
      <c r="M790" s="173"/>
      <c r="N790" s="241">
        <v>85110</v>
      </c>
      <c r="O790" s="423" t="s">
        <v>585</v>
      </c>
      <c r="P790" s="45">
        <v>60</v>
      </c>
      <c r="Q790" s="2" t="s">
        <v>3</v>
      </c>
      <c r="R790" s="46">
        <f>+'2021 MILCON Inflation Table'!$F$20</f>
        <v>0.9432470865927236</v>
      </c>
      <c r="S790" s="242"/>
      <c r="T790" s="218"/>
    </row>
    <row r="791" spans="1:24" ht="60" customHeight="1" x14ac:dyDescent="0.35">
      <c r="A791" s="465" t="s">
        <v>278</v>
      </c>
      <c r="B791" s="539">
        <v>1752</v>
      </c>
      <c r="C791" s="1017" t="s">
        <v>571</v>
      </c>
      <c r="D791" s="1017"/>
      <c r="E791" s="541" t="s">
        <v>280</v>
      </c>
      <c r="F791" s="542" t="s">
        <v>37</v>
      </c>
      <c r="G791" s="553" t="s">
        <v>2814</v>
      </c>
      <c r="H791" s="587">
        <v>32</v>
      </c>
      <c r="I791" s="541" t="s">
        <v>281</v>
      </c>
      <c r="J791" s="1019" t="s">
        <v>2843</v>
      </c>
      <c r="K791" s="1019"/>
      <c r="L791" s="1020"/>
      <c r="M791" s="173"/>
      <c r="N791" s="241">
        <v>93410</v>
      </c>
      <c r="O791" s="423" t="s">
        <v>2740</v>
      </c>
      <c r="P791" s="45">
        <v>8.5</v>
      </c>
      <c r="Q791" s="2" t="s">
        <v>283</v>
      </c>
      <c r="R791" s="46">
        <f>+'2021 MILCON Inflation Table'!$F$20</f>
        <v>0.9432470865927236</v>
      </c>
      <c r="S791" s="243"/>
      <c r="T791" s="218"/>
    </row>
    <row r="792" spans="1:24" ht="30" customHeight="1" x14ac:dyDescent="0.35">
      <c r="A792" s="545" t="s">
        <v>541</v>
      </c>
      <c r="B792" s="1038" t="s">
        <v>321</v>
      </c>
      <c r="C792" s="1038"/>
      <c r="D792" s="1038"/>
      <c r="E792" s="23" t="s">
        <v>290</v>
      </c>
      <c r="F792" s="23" t="s">
        <v>322</v>
      </c>
      <c r="G792" s="1034" t="s">
        <v>323</v>
      </c>
      <c r="H792" s="1034"/>
      <c r="I792" s="509" t="s">
        <v>299</v>
      </c>
      <c r="J792" s="201" t="s">
        <v>302</v>
      </c>
      <c r="K792" s="1012" t="s">
        <v>292</v>
      </c>
      <c r="L792" s="1023"/>
      <c r="M792" s="173"/>
      <c r="N792" s="241">
        <v>93410</v>
      </c>
      <c r="O792" s="423" t="s">
        <v>2309</v>
      </c>
      <c r="P792" s="45">
        <v>1.1000000000000001</v>
      </c>
      <c r="Q792" s="2" t="s">
        <v>3</v>
      </c>
      <c r="R792" s="46">
        <f>+'2021 MILCON Inflation Table'!$F$20</f>
        <v>0.9432470865927236</v>
      </c>
      <c r="S792" s="243"/>
      <c r="T792" s="218"/>
      <c r="U792" s="208"/>
      <c r="V792" s="208"/>
      <c r="W792" s="208"/>
      <c r="X792" s="208"/>
    </row>
    <row r="793" spans="1:24" s="208" customFormat="1" ht="30" customHeight="1" x14ac:dyDescent="0.35">
      <c r="A793" s="241" t="s">
        <v>493</v>
      </c>
      <c r="B793" s="1082" t="s">
        <v>573</v>
      </c>
      <c r="C793" s="1082"/>
      <c r="D793" s="1082"/>
      <c r="E793" s="680">
        <f>+P770</f>
        <v>9.6300000000000008</v>
      </c>
      <c r="F793" s="446" t="s">
        <v>8</v>
      </c>
      <c r="G793" s="727">
        <f>3*62</f>
        <v>186</v>
      </c>
      <c r="H793" s="655" t="s">
        <v>543</v>
      </c>
      <c r="I793" s="665">
        <f>+R770</f>
        <v>1.02</v>
      </c>
      <c r="J793" s="665">
        <f>+S770</f>
        <v>0.9907407407407407</v>
      </c>
      <c r="K793" s="453">
        <f>+E793*G793*I793*J793</f>
        <v>1810.0869</v>
      </c>
      <c r="L793" s="243" t="s">
        <v>37</v>
      </c>
      <c r="M793" s="173"/>
      <c r="N793" s="241">
        <v>93210</v>
      </c>
      <c r="O793" s="1" t="s">
        <v>2741</v>
      </c>
      <c r="P793" s="45">
        <v>47.6</v>
      </c>
      <c r="Q793" s="2" t="s">
        <v>283</v>
      </c>
      <c r="R793" s="46">
        <f>+'2021 MILCON Inflation Table'!$F$20</f>
        <v>0.9432470865927236</v>
      </c>
      <c r="S793" s="243"/>
      <c r="T793" s="218"/>
      <c r="U793" s="203"/>
      <c r="V793" s="203"/>
      <c r="W793" s="203"/>
      <c r="X793" s="203"/>
    </row>
    <row r="794" spans="1:24" ht="30" customHeight="1" thickBot="1" x14ac:dyDescent="0.4">
      <c r="A794" s="241" t="s">
        <v>544</v>
      </c>
      <c r="B794" s="1082" t="s">
        <v>545</v>
      </c>
      <c r="C794" s="1082"/>
      <c r="D794" s="1082"/>
      <c r="E794" s="680">
        <f>+P776</f>
        <v>475.5</v>
      </c>
      <c r="F794" s="639" t="s">
        <v>10</v>
      </c>
      <c r="G794" s="727">
        <v>3</v>
      </c>
      <c r="H794" s="655" t="s">
        <v>546</v>
      </c>
      <c r="I794" s="665">
        <f>+R776</f>
        <v>1.01</v>
      </c>
      <c r="J794" s="665">
        <f>+S776</f>
        <v>0.9907407407407407</v>
      </c>
      <c r="K794" s="453">
        <f>+E794*G794*I794*J794</f>
        <v>1427.4245833333334</v>
      </c>
      <c r="L794" s="243" t="s">
        <v>37</v>
      </c>
      <c r="M794" s="173"/>
      <c r="N794" s="244">
        <v>85110</v>
      </c>
      <c r="O794" s="245" t="s">
        <v>588</v>
      </c>
      <c r="P794" s="246">
        <v>72</v>
      </c>
      <c r="Q794" s="193" t="s">
        <v>3</v>
      </c>
      <c r="R794" s="398">
        <f>+'2021 MILCON Inflation Table'!$F$20</f>
        <v>0.9432470865927236</v>
      </c>
      <c r="S794" s="247"/>
      <c r="T794" s="217"/>
    </row>
    <row r="795" spans="1:24" ht="30" customHeight="1" x14ac:dyDescent="0.35">
      <c r="A795" s="241" t="s">
        <v>544</v>
      </c>
      <c r="B795" s="1082" t="s">
        <v>547</v>
      </c>
      <c r="C795" s="1082"/>
      <c r="D795" s="1082"/>
      <c r="E795" s="680">
        <f>+P778</f>
        <v>341</v>
      </c>
      <c r="F795" s="639" t="s">
        <v>10</v>
      </c>
      <c r="G795" s="727">
        <v>3</v>
      </c>
      <c r="H795" s="655" t="s">
        <v>546</v>
      </c>
      <c r="I795" s="665">
        <f>+R778</f>
        <v>1.01</v>
      </c>
      <c r="J795" s="665">
        <f>+S778</f>
        <v>0.9907407407407407</v>
      </c>
      <c r="K795" s="453">
        <f>+E795*G795*I795*J795</f>
        <v>1023.6630555555555</v>
      </c>
      <c r="L795" s="243" t="s">
        <v>37</v>
      </c>
      <c r="M795" s="173"/>
      <c r="N795" s="68"/>
      <c r="O795" s="203"/>
      <c r="P795" s="218"/>
      <c r="Q795" s="68"/>
      <c r="R795" s="68"/>
      <c r="S795" s="68"/>
      <c r="T795" s="217"/>
    </row>
    <row r="796" spans="1:24" ht="30" customHeight="1" x14ac:dyDescent="0.35">
      <c r="A796" s="241" t="s">
        <v>548</v>
      </c>
      <c r="B796" s="1082" t="s">
        <v>549</v>
      </c>
      <c r="C796" s="1082"/>
      <c r="D796" s="1082"/>
      <c r="E796" s="680">
        <f>+P781</f>
        <v>148.79</v>
      </c>
      <c r="F796" s="639" t="s">
        <v>10</v>
      </c>
      <c r="G796" s="727">
        <v>12</v>
      </c>
      <c r="H796" s="655" t="s">
        <v>546</v>
      </c>
      <c r="I796" s="665">
        <f>+R781</f>
        <v>1.01</v>
      </c>
      <c r="J796" s="665">
        <f>+S781</f>
        <v>0.9907407407407407</v>
      </c>
      <c r="K796" s="453">
        <f>+E796*G796*I796*J796</f>
        <v>1786.6372555555556</v>
      </c>
      <c r="L796" s="243" t="s">
        <v>37</v>
      </c>
      <c r="M796" s="173"/>
      <c r="N796" s="68"/>
      <c r="O796" s="203"/>
      <c r="P796" s="218"/>
      <c r="Q796" s="68"/>
      <c r="R796" s="68"/>
      <c r="S796" s="68"/>
      <c r="T796" s="217"/>
    </row>
    <row r="797" spans="1:24" ht="30" customHeight="1" x14ac:dyDescent="0.35">
      <c r="A797" s="241" t="s">
        <v>550</v>
      </c>
      <c r="B797" s="1082" t="s">
        <v>551</v>
      </c>
      <c r="C797" s="1082"/>
      <c r="D797" s="1082"/>
      <c r="E797" s="680">
        <f>+P782</f>
        <v>18.47</v>
      </c>
      <c r="F797" s="639" t="s">
        <v>6</v>
      </c>
      <c r="G797" s="716">
        <v>2653</v>
      </c>
      <c r="H797" s="655" t="s">
        <v>552</v>
      </c>
      <c r="I797" s="665">
        <f>+R782</f>
        <v>1.01</v>
      </c>
      <c r="J797" s="665">
        <f>+S782</f>
        <v>0.9907407407407407</v>
      </c>
      <c r="K797" s="453">
        <f>+E797*G797*I797*J797</f>
        <v>49032.669849074075</v>
      </c>
      <c r="L797" s="243" t="s">
        <v>37</v>
      </c>
      <c r="M797" s="173"/>
      <c r="N797" s="68"/>
      <c r="O797" s="203"/>
      <c r="P797" s="218"/>
      <c r="Q797" s="68"/>
      <c r="T797" s="217"/>
    </row>
    <row r="798" spans="1:24" ht="30" customHeight="1" x14ac:dyDescent="0.35">
      <c r="A798" s="241" t="s">
        <v>331</v>
      </c>
      <c r="B798" s="1082" t="s">
        <v>557</v>
      </c>
      <c r="C798" s="1082"/>
      <c r="D798" s="1082"/>
      <c r="E798" s="680">
        <f>+P786</f>
        <v>458.24</v>
      </c>
      <c r="F798" s="639" t="s">
        <v>10</v>
      </c>
      <c r="G798" s="727"/>
      <c r="H798" s="655"/>
      <c r="I798" s="665">
        <f>+R769</f>
        <v>1.03</v>
      </c>
      <c r="J798" s="665">
        <f>+S769</f>
        <v>0.9907407407407407</v>
      </c>
      <c r="K798" s="453">
        <f>+E798*J798*I798</f>
        <v>467.6169481481482</v>
      </c>
      <c r="L798" s="243" t="s">
        <v>37</v>
      </c>
      <c r="M798" s="173"/>
      <c r="N798" s="68"/>
      <c r="O798" s="203"/>
      <c r="P798" s="218"/>
      <c r="Q798" s="68"/>
      <c r="T798" s="217"/>
    </row>
    <row r="799" spans="1:24" ht="30" customHeight="1" x14ac:dyDescent="0.35">
      <c r="A799" s="241">
        <v>93410</v>
      </c>
      <c r="B799" s="1082" t="s">
        <v>576</v>
      </c>
      <c r="C799" s="1082"/>
      <c r="D799" s="1082"/>
      <c r="E799" s="680">
        <f>+P791</f>
        <v>8.5</v>
      </c>
      <c r="F799" s="639" t="s">
        <v>283</v>
      </c>
      <c r="G799" s="728">
        <v>277.9375</v>
      </c>
      <c r="H799" s="655" t="s">
        <v>554</v>
      </c>
      <c r="I799" s="731">
        <f>+R791</f>
        <v>0.9432470865927236</v>
      </c>
      <c r="J799" s="446"/>
      <c r="K799" s="453">
        <f>+E799*G799*I799</f>
        <v>2228.3917656038534</v>
      </c>
      <c r="L799" s="243" t="s">
        <v>37</v>
      </c>
      <c r="M799" s="173"/>
      <c r="N799" s="68"/>
      <c r="O799" s="203"/>
      <c r="P799" s="218"/>
      <c r="Q799" s="68"/>
      <c r="T799" s="217"/>
    </row>
    <row r="800" spans="1:24" ht="30" customHeight="1" x14ac:dyDescent="0.35">
      <c r="A800" s="241">
        <v>93210</v>
      </c>
      <c r="B800" s="1082" t="s">
        <v>578</v>
      </c>
      <c r="C800" s="1082"/>
      <c r="D800" s="1082"/>
      <c r="E800" s="680">
        <f>+P793</f>
        <v>47.6</v>
      </c>
      <c r="F800" s="639" t="s">
        <v>283</v>
      </c>
      <c r="G800" s="728">
        <v>32.625</v>
      </c>
      <c r="H800" s="655" t="s">
        <v>554</v>
      </c>
      <c r="I800" s="731">
        <f>+R793</f>
        <v>0.9432470865927236</v>
      </c>
      <c r="J800" s="446"/>
      <c r="K800" s="453">
        <f>+E800*G800*I800</f>
        <v>1464.8155631241702</v>
      </c>
      <c r="L800" s="243" t="s">
        <v>37</v>
      </c>
      <c r="M800" s="173"/>
      <c r="N800" s="68"/>
      <c r="O800" s="203"/>
      <c r="P800" s="218"/>
      <c r="Q800" s="68"/>
      <c r="T800" s="217"/>
    </row>
    <row r="801" spans="1:24" ht="30" customHeight="1" x14ac:dyDescent="0.35">
      <c r="A801" s="1183" t="s">
        <v>2804</v>
      </c>
      <c r="B801" s="1184"/>
      <c r="C801" s="1184"/>
      <c r="D801" s="1184"/>
      <c r="E801" s="453"/>
      <c r="F801" s="446"/>
      <c r="G801" s="519"/>
      <c r="H801" s="508"/>
      <c r="I801" s="446"/>
      <c r="J801" s="446" t="s">
        <v>362</v>
      </c>
      <c r="K801" s="453">
        <f>SUM(K793:K800)</f>
        <v>59241.30592039469</v>
      </c>
      <c r="L801" s="243" t="s">
        <v>37</v>
      </c>
      <c r="M801" s="173"/>
      <c r="N801" s="68"/>
      <c r="O801" s="203"/>
      <c r="P801" s="218"/>
      <c r="Q801" s="68"/>
      <c r="T801" s="217"/>
    </row>
    <row r="802" spans="1:24" ht="45" customHeight="1" thickBot="1" x14ac:dyDescent="0.4">
      <c r="A802" s="1183"/>
      <c r="B802" s="1184"/>
      <c r="C802" s="1184"/>
      <c r="D802" s="1184"/>
      <c r="E802" s="458"/>
      <c r="F802" s="458"/>
      <c r="G802" s="592" t="s">
        <v>2358</v>
      </c>
      <c r="H802" s="458"/>
      <c r="I802" s="458"/>
      <c r="J802" s="583">
        <f>VLOOKUP(B791,'Mil Cost Premiums for PUCs'!$A$4:$R$272,18,FALSE)</f>
        <v>1.0485669999999998</v>
      </c>
      <c r="K802" s="591">
        <f>+K801*J802</f>
        <v>62118.478425030487</v>
      </c>
      <c r="L802" s="243" t="s">
        <v>37</v>
      </c>
      <c r="M802" s="173"/>
      <c r="N802" s="68"/>
      <c r="O802" s="203"/>
      <c r="P802" s="218"/>
      <c r="Q802" s="68"/>
      <c r="T802" s="217"/>
    </row>
    <row r="803" spans="1:24" ht="30" customHeight="1" thickBot="1" x14ac:dyDescent="0.4">
      <c r="A803" s="1086"/>
      <c r="B803" s="1086"/>
      <c r="C803" s="1086"/>
      <c r="D803" s="1086"/>
      <c r="E803" s="1086"/>
      <c r="F803" s="1086"/>
      <c r="G803" s="1086"/>
      <c r="H803" s="1086"/>
      <c r="I803" s="1086"/>
      <c r="J803" s="1086"/>
      <c r="K803" s="1086"/>
      <c r="L803" s="1103"/>
      <c r="M803" s="173"/>
      <c r="N803" s="68"/>
      <c r="O803" s="203"/>
      <c r="P803" s="218"/>
      <c r="Q803" s="68"/>
      <c r="T803" s="217"/>
    </row>
    <row r="804" spans="1:24" ht="60" customHeight="1" x14ac:dyDescent="0.35">
      <c r="A804" s="465" t="s">
        <v>278</v>
      </c>
      <c r="B804" s="539">
        <v>1753</v>
      </c>
      <c r="C804" s="1017" t="s">
        <v>581</v>
      </c>
      <c r="D804" s="1017"/>
      <c r="E804" s="541" t="s">
        <v>280</v>
      </c>
      <c r="F804" s="542" t="s">
        <v>37</v>
      </c>
      <c r="G804" s="553" t="s">
        <v>2813</v>
      </c>
      <c r="H804" s="587">
        <v>16</v>
      </c>
      <c r="I804" s="541" t="s">
        <v>281</v>
      </c>
      <c r="J804" s="1019" t="s">
        <v>2843</v>
      </c>
      <c r="K804" s="1019"/>
      <c r="L804" s="1020"/>
      <c r="M804" s="173"/>
      <c r="N804" s="68"/>
      <c r="O804" s="203"/>
      <c r="P804" s="218"/>
      <c r="Q804" s="68"/>
      <c r="T804" s="217"/>
    </row>
    <row r="805" spans="1:24" ht="30" customHeight="1" x14ac:dyDescent="0.35">
      <c r="A805" s="545" t="s">
        <v>541</v>
      </c>
      <c r="B805" s="1038" t="s">
        <v>321</v>
      </c>
      <c r="C805" s="1038"/>
      <c r="D805" s="1038"/>
      <c r="E805" s="23" t="s">
        <v>290</v>
      </c>
      <c r="F805" s="23" t="s">
        <v>322</v>
      </c>
      <c r="G805" s="1034" t="s">
        <v>323</v>
      </c>
      <c r="H805" s="1034"/>
      <c r="I805" s="509" t="s">
        <v>299</v>
      </c>
      <c r="J805" s="201" t="s">
        <v>302</v>
      </c>
      <c r="K805" s="1012" t="s">
        <v>292</v>
      </c>
      <c r="L805" s="1023"/>
      <c r="M805" s="173"/>
      <c r="N805" s="68"/>
      <c r="O805" s="203"/>
      <c r="P805" s="218"/>
      <c r="Q805" s="68"/>
      <c r="T805" s="217"/>
      <c r="U805" s="208"/>
      <c r="V805" s="208"/>
      <c r="W805" s="208"/>
      <c r="X805" s="208"/>
    </row>
    <row r="806" spans="1:24" s="208" customFormat="1" ht="30" customHeight="1" x14ac:dyDescent="0.35">
      <c r="A806" s="241" t="s">
        <v>493</v>
      </c>
      <c r="B806" s="1082" t="s">
        <v>584</v>
      </c>
      <c r="C806" s="1082"/>
      <c r="D806" s="1082"/>
      <c r="E806" s="680">
        <f>+P770</f>
        <v>9.6300000000000008</v>
      </c>
      <c r="F806" s="446" t="s">
        <v>8</v>
      </c>
      <c r="G806" s="727">
        <f>7*62</f>
        <v>434</v>
      </c>
      <c r="H806" s="655" t="s">
        <v>543</v>
      </c>
      <c r="I806" s="665">
        <f>+R770</f>
        <v>1.02</v>
      </c>
      <c r="J806" s="665">
        <f>+S770</f>
        <v>0.9907407407407407</v>
      </c>
      <c r="K806" s="453">
        <f>+E806*G806*I806*J806</f>
        <v>4223.5360999999994</v>
      </c>
      <c r="L806" s="243" t="s">
        <v>37</v>
      </c>
      <c r="M806" s="173"/>
      <c r="N806" s="68"/>
      <c r="O806" s="203"/>
      <c r="P806" s="218"/>
      <c r="Q806" s="68"/>
      <c r="R806" s="203"/>
      <c r="S806" s="203"/>
      <c r="T806" s="217"/>
      <c r="U806" s="203"/>
      <c r="V806" s="203"/>
      <c r="W806" s="203"/>
      <c r="X806" s="203"/>
    </row>
    <row r="807" spans="1:24" ht="30" customHeight="1" x14ac:dyDescent="0.35">
      <c r="A807" s="241" t="s">
        <v>544</v>
      </c>
      <c r="B807" s="1082" t="s">
        <v>545</v>
      </c>
      <c r="C807" s="1082"/>
      <c r="D807" s="1082"/>
      <c r="E807" s="680">
        <f>+P776</f>
        <v>475.5</v>
      </c>
      <c r="F807" s="639" t="s">
        <v>10</v>
      </c>
      <c r="G807" s="727">
        <v>7</v>
      </c>
      <c r="H807" s="655" t="s">
        <v>546</v>
      </c>
      <c r="I807" s="665">
        <f>+R776</f>
        <v>1.01</v>
      </c>
      <c r="J807" s="665">
        <f>+S776</f>
        <v>0.9907407407407407</v>
      </c>
      <c r="K807" s="453">
        <f>+E807*G807*I807*J807</f>
        <v>3330.6573611111107</v>
      </c>
      <c r="L807" s="243" t="s">
        <v>37</v>
      </c>
      <c r="M807" s="173"/>
      <c r="N807" s="68"/>
      <c r="O807" s="208"/>
      <c r="P807" s="218"/>
      <c r="Q807" s="68"/>
      <c r="R807" s="208"/>
      <c r="S807" s="208"/>
      <c r="T807" s="217"/>
    </row>
    <row r="808" spans="1:24" ht="30" customHeight="1" x14ac:dyDescent="0.35">
      <c r="A808" s="241" t="s">
        <v>544</v>
      </c>
      <c r="B808" s="1082" t="s">
        <v>547</v>
      </c>
      <c r="C808" s="1082"/>
      <c r="D808" s="1082"/>
      <c r="E808" s="680">
        <f>+P778</f>
        <v>341</v>
      </c>
      <c r="F808" s="639" t="s">
        <v>10</v>
      </c>
      <c r="G808" s="727">
        <v>7</v>
      </c>
      <c r="H808" s="655" t="s">
        <v>546</v>
      </c>
      <c r="I808" s="665">
        <f>+R778</f>
        <v>1.01</v>
      </c>
      <c r="J808" s="665">
        <f>+S778</f>
        <v>0.9907407407407407</v>
      </c>
      <c r="K808" s="453">
        <f>+E808*G808*I808*J808</f>
        <v>2388.5471296296296</v>
      </c>
      <c r="L808" s="243" t="s">
        <v>37</v>
      </c>
      <c r="M808" s="173"/>
      <c r="N808" s="68"/>
      <c r="O808" s="203"/>
      <c r="P808" s="218"/>
      <c r="Q808" s="68"/>
      <c r="T808" s="217"/>
    </row>
    <row r="809" spans="1:24" ht="30" customHeight="1" x14ac:dyDescent="0.35">
      <c r="A809" s="241" t="s">
        <v>548</v>
      </c>
      <c r="B809" s="1082" t="s">
        <v>549</v>
      </c>
      <c r="C809" s="1082"/>
      <c r="D809" s="1082"/>
      <c r="E809" s="680">
        <f>+P781</f>
        <v>148.79</v>
      </c>
      <c r="F809" s="639" t="s">
        <v>10</v>
      </c>
      <c r="G809" s="727">
        <v>28</v>
      </c>
      <c r="H809" s="655" t="s">
        <v>546</v>
      </c>
      <c r="I809" s="665">
        <f>+R781</f>
        <v>1.01</v>
      </c>
      <c r="J809" s="665">
        <f>+S781</f>
        <v>0.9907407407407407</v>
      </c>
      <c r="K809" s="453">
        <f>+E809*G809*I809*J809</f>
        <v>4168.8202629629632</v>
      </c>
      <c r="L809" s="243" t="s">
        <v>37</v>
      </c>
      <c r="M809" s="173"/>
      <c r="N809" s="68"/>
      <c r="O809" s="203"/>
      <c r="P809" s="218"/>
      <c r="Q809" s="68"/>
      <c r="T809" s="217"/>
    </row>
    <row r="810" spans="1:24" ht="30" customHeight="1" x14ac:dyDescent="0.35">
      <c r="A810" s="241" t="s">
        <v>550</v>
      </c>
      <c r="B810" s="1082" t="s">
        <v>587</v>
      </c>
      <c r="C810" s="1082"/>
      <c r="D810" s="1082"/>
      <c r="E810" s="680">
        <f>+P782</f>
        <v>18.47</v>
      </c>
      <c r="F810" s="639" t="s">
        <v>6</v>
      </c>
      <c r="G810" s="716">
        <f>574*7</f>
        <v>4018</v>
      </c>
      <c r="H810" s="655" t="s">
        <v>552</v>
      </c>
      <c r="I810" s="665">
        <f>+R782</f>
        <v>1.01</v>
      </c>
      <c r="J810" s="665">
        <f>+S782</f>
        <v>0.9907407407407407</v>
      </c>
      <c r="K810" s="453">
        <f>+E810*G810*I810*J810</f>
        <v>74260.560668518505</v>
      </c>
      <c r="L810" s="243" t="s">
        <v>37</v>
      </c>
      <c r="M810" s="173"/>
      <c r="N810" s="68"/>
      <c r="O810" s="203"/>
      <c r="P810" s="218"/>
      <c r="Q810" s="68"/>
      <c r="T810" s="217"/>
    </row>
    <row r="811" spans="1:24" ht="30" customHeight="1" x14ac:dyDescent="0.35">
      <c r="A811" s="241" t="s">
        <v>331</v>
      </c>
      <c r="B811" s="1082" t="s">
        <v>557</v>
      </c>
      <c r="C811" s="1082"/>
      <c r="D811" s="1082"/>
      <c r="E811" s="680">
        <f>+P786</f>
        <v>458.24</v>
      </c>
      <c r="F811" s="639" t="s">
        <v>10</v>
      </c>
      <c r="G811" s="716"/>
      <c r="H811" s="655"/>
      <c r="I811" s="665">
        <f>+R769</f>
        <v>1.03</v>
      </c>
      <c r="J811" s="665">
        <f>+S769</f>
        <v>0.9907407407407407</v>
      </c>
      <c r="K811" s="453">
        <f>+E811*J811*I811</f>
        <v>467.6169481481482</v>
      </c>
      <c r="L811" s="243" t="s">
        <v>37</v>
      </c>
      <c r="M811" s="173"/>
      <c r="N811" s="68"/>
      <c r="O811" s="203"/>
      <c r="P811" s="218"/>
      <c r="Q811" s="68"/>
      <c r="T811" s="217"/>
    </row>
    <row r="812" spans="1:24" ht="30" customHeight="1" x14ac:dyDescent="0.35">
      <c r="A812" s="241">
        <v>93410</v>
      </c>
      <c r="B812" s="1082" t="s">
        <v>589</v>
      </c>
      <c r="C812" s="1082"/>
      <c r="D812" s="1082"/>
      <c r="E812" s="680">
        <f>+P791</f>
        <v>8.5</v>
      </c>
      <c r="F812" s="639" t="s">
        <v>283</v>
      </c>
      <c r="G812" s="728">
        <v>277.9375</v>
      </c>
      <c r="H812" s="655" t="s">
        <v>554</v>
      </c>
      <c r="I812" s="731">
        <f>+R791</f>
        <v>0.9432470865927236</v>
      </c>
      <c r="J812" s="446"/>
      <c r="K812" s="453">
        <f>+E812*G812*I812</f>
        <v>2228.3917656038534</v>
      </c>
      <c r="L812" s="243" t="s">
        <v>37</v>
      </c>
      <c r="M812" s="173"/>
      <c r="N812" s="68"/>
      <c r="O812" s="203"/>
      <c r="P812" s="218"/>
      <c r="Q812" s="68"/>
      <c r="T812" s="217"/>
    </row>
    <row r="813" spans="1:24" ht="30" customHeight="1" x14ac:dyDescent="0.35">
      <c r="A813" s="241">
        <v>93210</v>
      </c>
      <c r="B813" s="1082" t="s">
        <v>590</v>
      </c>
      <c r="C813" s="1082"/>
      <c r="D813" s="1082"/>
      <c r="E813" s="680">
        <f>+P793</f>
        <v>47.6</v>
      </c>
      <c r="F813" s="639" t="s">
        <v>283</v>
      </c>
      <c r="G813" s="728">
        <v>27.8125</v>
      </c>
      <c r="H813" s="655" t="s">
        <v>554</v>
      </c>
      <c r="I813" s="731">
        <f>+R793</f>
        <v>0.9432470865927236</v>
      </c>
      <c r="J813" s="446"/>
      <c r="K813" s="453">
        <f>+E813*G813*I813</f>
        <v>1248.741236762942</v>
      </c>
      <c r="L813" s="243" t="s">
        <v>37</v>
      </c>
      <c r="M813" s="173"/>
      <c r="N813" s="68"/>
      <c r="O813" s="203"/>
      <c r="P813" s="218"/>
      <c r="Q813" s="68"/>
      <c r="T813" s="217"/>
    </row>
    <row r="814" spans="1:24" ht="30" customHeight="1" x14ac:dyDescent="0.35">
      <c r="A814" s="1183" t="s">
        <v>2804</v>
      </c>
      <c r="B814" s="1184"/>
      <c r="C814" s="1184"/>
      <c r="D814" s="1184"/>
      <c r="E814" s="453"/>
      <c r="F814" s="446"/>
      <c r="G814" s="519"/>
      <c r="H814" s="508"/>
      <c r="I814" s="446"/>
      <c r="J814" s="446" t="s">
        <v>362</v>
      </c>
      <c r="K814" s="453">
        <f>SUM(K806:K813)</f>
        <v>92316.871472737155</v>
      </c>
      <c r="L814" s="243" t="s">
        <v>37</v>
      </c>
      <c r="M814" s="173"/>
      <c r="N814" s="68"/>
      <c r="O814" s="203"/>
      <c r="P814" s="218"/>
      <c r="Q814" s="68"/>
      <c r="T814" s="217"/>
    </row>
    <row r="815" spans="1:24" ht="45" customHeight="1" thickBot="1" x14ac:dyDescent="0.4">
      <c r="A815" s="1183"/>
      <c r="B815" s="1184"/>
      <c r="C815" s="1184"/>
      <c r="D815" s="1184"/>
      <c r="E815" s="458"/>
      <c r="F815" s="458"/>
      <c r="G815" s="592" t="s">
        <v>2358</v>
      </c>
      <c r="H815" s="458"/>
      <c r="I815" s="458"/>
      <c r="J815" s="583">
        <f>VLOOKUP(B804,'Mil Cost Premiums for PUCs'!$A$4:$R$272,18,FALSE)</f>
        <v>1.0485669999999998</v>
      </c>
      <c r="K815" s="591">
        <f>+K814*J815</f>
        <v>96800.424969553569</v>
      </c>
      <c r="L815" s="243" t="s">
        <v>37</v>
      </c>
      <c r="M815" s="173"/>
      <c r="N815" s="68"/>
      <c r="O815" s="203"/>
      <c r="P815" s="218"/>
      <c r="Q815" s="68"/>
      <c r="T815" s="217"/>
    </row>
    <row r="816" spans="1:24" ht="30" customHeight="1" thickBot="1" x14ac:dyDescent="0.4">
      <c r="A816" s="1086"/>
      <c r="B816" s="1086"/>
      <c r="C816" s="1086"/>
      <c r="D816" s="1086"/>
      <c r="E816" s="1086"/>
      <c r="F816" s="1086"/>
      <c r="G816" s="1086"/>
      <c r="H816" s="1086"/>
      <c r="I816" s="1086"/>
      <c r="J816" s="1086"/>
      <c r="K816" s="1086"/>
      <c r="L816" s="1103"/>
      <c r="M816" s="173"/>
      <c r="N816" s="68"/>
      <c r="O816" s="203"/>
      <c r="P816" s="218"/>
      <c r="Q816" s="68"/>
      <c r="T816" s="217"/>
    </row>
    <row r="817" spans="1:24" ht="60" customHeight="1" x14ac:dyDescent="0.35">
      <c r="A817" s="467" t="s">
        <v>278</v>
      </c>
      <c r="B817" s="502">
        <v>1754</v>
      </c>
      <c r="C817" s="1049" t="s">
        <v>591</v>
      </c>
      <c r="D817" s="1049"/>
      <c r="E817" s="396" t="s">
        <v>280</v>
      </c>
      <c r="F817" s="67" t="s">
        <v>37</v>
      </c>
      <c r="G817" s="554" t="s">
        <v>2366</v>
      </c>
      <c r="H817" s="202">
        <v>32</v>
      </c>
      <c r="I817" s="396" t="s">
        <v>281</v>
      </c>
      <c r="J817" s="1019" t="s">
        <v>2843</v>
      </c>
      <c r="K817" s="1019"/>
      <c r="L817" s="1020"/>
      <c r="M817" s="173"/>
      <c r="N817" s="68"/>
      <c r="O817" s="203"/>
      <c r="P817" s="218"/>
      <c r="Q817" s="68"/>
      <c r="T817" s="217"/>
    </row>
    <row r="818" spans="1:24" ht="30" customHeight="1" x14ac:dyDescent="0.35">
      <c r="A818" s="545" t="s">
        <v>541</v>
      </c>
      <c r="B818" s="1038" t="s">
        <v>321</v>
      </c>
      <c r="C818" s="1038"/>
      <c r="D818" s="1038"/>
      <c r="E818" s="23" t="s">
        <v>290</v>
      </c>
      <c r="F818" s="23" t="s">
        <v>322</v>
      </c>
      <c r="G818" s="1034" t="s">
        <v>323</v>
      </c>
      <c r="H818" s="1034"/>
      <c r="I818" s="509" t="s">
        <v>299</v>
      </c>
      <c r="J818" s="201" t="s">
        <v>302</v>
      </c>
      <c r="K818" s="1012" t="s">
        <v>292</v>
      </c>
      <c r="L818" s="1023"/>
      <c r="M818" s="173"/>
      <c r="N818" s="68"/>
      <c r="O818" s="203"/>
      <c r="P818" s="218"/>
      <c r="Q818" s="68"/>
      <c r="T818" s="217"/>
      <c r="U818" s="208"/>
      <c r="V818" s="208"/>
      <c r="W818" s="208"/>
      <c r="X818" s="208"/>
    </row>
    <row r="819" spans="1:24" s="208" customFormat="1" ht="30" customHeight="1" x14ac:dyDescent="0.35">
      <c r="A819" s="241" t="s">
        <v>493</v>
      </c>
      <c r="B819" s="1082" t="s">
        <v>592</v>
      </c>
      <c r="C819" s="1082"/>
      <c r="D819" s="1082"/>
      <c r="E819" s="680">
        <f>+P770</f>
        <v>9.6300000000000008</v>
      </c>
      <c r="F819" s="446" t="s">
        <v>8</v>
      </c>
      <c r="G819" s="727">
        <f>2*62</f>
        <v>124</v>
      </c>
      <c r="H819" s="655" t="s">
        <v>543</v>
      </c>
      <c r="I819" s="665">
        <f>+R770</f>
        <v>1.02</v>
      </c>
      <c r="J819" s="665">
        <f>+S770</f>
        <v>0.9907407407407407</v>
      </c>
      <c r="K819" s="453">
        <f>+E819*G819*I819*J819</f>
        <v>1206.7246</v>
      </c>
      <c r="L819" s="243" t="s">
        <v>37</v>
      </c>
      <c r="M819" s="173"/>
      <c r="N819" s="68"/>
      <c r="O819" s="203"/>
      <c r="P819" s="218"/>
      <c r="Q819" s="68"/>
      <c r="R819" s="203"/>
      <c r="S819" s="203"/>
      <c r="T819" s="217"/>
      <c r="U819" s="203"/>
      <c r="V819" s="203"/>
      <c r="W819" s="203"/>
      <c r="X819" s="203"/>
    </row>
    <row r="820" spans="1:24" ht="30" customHeight="1" x14ac:dyDescent="0.35">
      <c r="A820" s="241" t="s">
        <v>544</v>
      </c>
      <c r="B820" s="1082" t="s">
        <v>547</v>
      </c>
      <c r="C820" s="1082"/>
      <c r="D820" s="1082"/>
      <c r="E820" s="680">
        <f>+P778</f>
        <v>341</v>
      </c>
      <c r="F820" s="639" t="s">
        <v>10</v>
      </c>
      <c r="G820" s="727">
        <v>2</v>
      </c>
      <c r="H820" s="655" t="s">
        <v>546</v>
      </c>
      <c r="I820" s="665">
        <f>+R778</f>
        <v>1.01</v>
      </c>
      <c r="J820" s="665">
        <f>+S778</f>
        <v>0.9907407407407407</v>
      </c>
      <c r="K820" s="453">
        <f>+E820*G820*I820*J820</f>
        <v>682.44203703703704</v>
      </c>
      <c r="L820" s="243" t="s">
        <v>37</v>
      </c>
      <c r="M820" s="173"/>
      <c r="N820" s="68"/>
      <c r="O820" s="208"/>
      <c r="P820" s="218"/>
      <c r="Q820" s="68"/>
      <c r="R820" s="208"/>
      <c r="S820" s="208"/>
      <c r="T820" s="217"/>
    </row>
    <row r="821" spans="1:24" ht="30" customHeight="1" x14ac:dyDescent="0.35">
      <c r="A821" s="241" t="s">
        <v>548</v>
      </c>
      <c r="B821" s="1082" t="s">
        <v>549</v>
      </c>
      <c r="C821" s="1082"/>
      <c r="D821" s="1082"/>
      <c r="E821" s="680">
        <f>+P781</f>
        <v>148.79</v>
      </c>
      <c r="F821" s="639" t="s">
        <v>10</v>
      </c>
      <c r="G821" s="727">
        <v>4</v>
      </c>
      <c r="H821" s="655" t="s">
        <v>546</v>
      </c>
      <c r="I821" s="665">
        <f>+R781</f>
        <v>1.01</v>
      </c>
      <c r="J821" s="665">
        <f>+S781</f>
        <v>0.9907407407407407</v>
      </c>
      <c r="K821" s="453">
        <f>+E821*G821*I821*J821</f>
        <v>595.54575185185183</v>
      </c>
      <c r="L821" s="243" t="s">
        <v>37</v>
      </c>
      <c r="M821" s="173"/>
      <c r="N821" s="68"/>
      <c r="O821" s="203"/>
      <c r="P821" s="218"/>
      <c r="Q821" s="68"/>
      <c r="T821" s="217"/>
    </row>
    <row r="822" spans="1:24" ht="30" customHeight="1" x14ac:dyDescent="0.35">
      <c r="A822" s="241" t="s">
        <v>550</v>
      </c>
      <c r="B822" s="1082" t="s">
        <v>593</v>
      </c>
      <c r="C822" s="1082"/>
      <c r="D822" s="1082"/>
      <c r="E822" s="680">
        <f>+P782</f>
        <v>18.47</v>
      </c>
      <c r="F822" s="639" t="s">
        <v>6</v>
      </c>
      <c r="G822" s="727">
        <v>82</v>
      </c>
      <c r="H822" s="655" t="s">
        <v>552</v>
      </c>
      <c r="I822" s="665">
        <f>+R782</f>
        <v>1.01</v>
      </c>
      <c r="J822" s="665">
        <f>+S782</f>
        <v>0.9907407407407407</v>
      </c>
      <c r="K822" s="453">
        <f>+E822*G822*I822*J822</f>
        <v>1515.5216462962962</v>
      </c>
      <c r="L822" s="243" t="s">
        <v>37</v>
      </c>
      <c r="M822" s="173"/>
      <c r="N822" s="68"/>
      <c r="O822" s="203"/>
      <c r="P822" s="218"/>
      <c r="Q822" s="68"/>
      <c r="T822" s="217"/>
    </row>
    <row r="823" spans="1:24" ht="30" customHeight="1" x14ac:dyDescent="0.35">
      <c r="A823" s="241" t="s">
        <v>331</v>
      </c>
      <c r="B823" s="1082" t="s">
        <v>557</v>
      </c>
      <c r="C823" s="1082"/>
      <c r="D823" s="1082"/>
      <c r="E823" s="680">
        <f>+P786</f>
        <v>458.24</v>
      </c>
      <c r="F823" s="639" t="s">
        <v>10</v>
      </c>
      <c r="G823" s="727"/>
      <c r="H823" s="655"/>
      <c r="I823" s="665">
        <f>+R769</f>
        <v>1.03</v>
      </c>
      <c r="J823" s="665">
        <f>+S769</f>
        <v>0.9907407407407407</v>
      </c>
      <c r="K823" s="453">
        <f>+E823*J823*I823</f>
        <v>467.6169481481482</v>
      </c>
      <c r="L823" s="243" t="s">
        <v>37</v>
      </c>
      <c r="M823" s="173"/>
      <c r="N823" s="68"/>
      <c r="O823" s="203"/>
      <c r="P823" s="218"/>
      <c r="Q823" s="68"/>
      <c r="T823" s="217"/>
    </row>
    <row r="824" spans="1:24" ht="30" customHeight="1" x14ac:dyDescent="0.35">
      <c r="A824" s="241">
        <v>93410</v>
      </c>
      <c r="B824" s="1082" t="s">
        <v>594</v>
      </c>
      <c r="C824" s="1082"/>
      <c r="D824" s="1082"/>
      <c r="E824" s="680">
        <f>+P791</f>
        <v>8.5</v>
      </c>
      <c r="F824" s="639" t="s">
        <v>283</v>
      </c>
      <c r="G824" s="716">
        <f>4096/32</f>
        <v>128</v>
      </c>
      <c r="H824" s="655" t="s">
        <v>554</v>
      </c>
      <c r="I824" s="731">
        <f>+R791</f>
        <v>0.9432470865927236</v>
      </c>
      <c r="J824" s="446"/>
      <c r="K824" s="453">
        <f>+E824*G824*I824</f>
        <v>1026.2528302128833</v>
      </c>
      <c r="L824" s="243" t="s">
        <v>37</v>
      </c>
      <c r="M824" s="173"/>
      <c r="N824" s="68"/>
      <c r="O824" s="203"/>
      <c r="P824" s="218"/>
      <c r="Q824" s="68"/>
      <c r="T824" s="217"/>
    </row>
    <row r="825" spans="1:24" ht="30" customHeight="1" x14ac:dyDescent="0.35">
      <c r="A825" s="241">
        <v>93210</v>
      </c>
      <c r="B825" s="1082" t="s">
        <v>586</v>
      </c>
      <c r="C825" s="1082"/>
      <c r="D825" s="1082"/>
      <c r="E825" s="680">
        <f>+P793</f>
        <v>47.6</v>
      </c>
      <c r="F825" s="639" t="s">
        <v>283</v>
      </c>
      <c r="G825" s="728">
        <v>12.78125</v>
      </c>
      <c r="H825" s="655" t="s">
        <v>554</v>
      </c>
      <c r="I825" s="731">
        <f>+R793</f>
        <v>0.9432470865927236</v>
      </c>
      <c r="J825" s="446"/>
      <c r="K825" s="453">
        <f>+E825*G825*I825</f>
        <v>573.85973689443063</v>
      </c>
      <c r="L825" s="243" t="s">
        <v>37</v>
      </c>
      <c r="M825" s="173"/>
      <c r="N825" s="68"/>
      <c r="O825" s="203"/>
      <c r="P825" s="218"/>
      <c r="Q825" s="68"/>
      <c r="T825" s="217"/>
    </row>
    <row r="826" spans="1:24" ht="30" customHeight="1" x14ac:dyDescent="0.35">
      <c r="A826" s="1183" t="s">
        <v>2804</v>
      </c>
      <c r="B826" s="1184"/>
      <c r="C826" s="1184"/>
      <c r="D826" s="1184"/>
      <c r="E826" s="453"/>
      <c r="F826" s="446"/>
      <c r="G826" s="519"/>
      <c r="H826" s="508"/>
      <c r="I826" s="446"/>
      <c r="J826" s="446" t="s">
        <v>362</v>
      </c>
      <c r="K826" s="453">
        <f>SUM(K819:K825)</f>
        <v>6067.9635504406469</v>
      </c>
      <c r="L826" s="243" t="s">
        <v>37</v>
      </c>
      <c r="M826" s="173"/>
      <c r="N826" s="68"/>
      <c r="O826" s="203"/>
      <c r="P826" s="218"/>
      <c r="Q826" s="68"/>
      <c r="T826" s="217"/>
    </row>
    <row r="827" spans="1:24" ht="30" customHeight="1" thickBot="1" x14ac:dyDescent="0.4">
      <c r="A827" s="1183"/>
      <c r="B827" s="1184"/>
      <c r="C827" s="1184"/>
      <c r="D827" s="1184"/>
      <c r="E827" s="458"/>
      <c r="F827" s="458"/>
      <c r="G827" s="592" t="s">
        <v>2358</v>
      </c>
      <c r="H827" s="458"/>
      <c r="I827" s="458"/>
      <c r="J827" s="583">
        <f>VLOOKUP(B817,'Mil Cost Premiums for PUCs'!$A$4:$R$272,18,FALSE)</f>
        <v>1.0485669999999998</v>
      </c>
      <c r="K827" s="591">
        <f>+K826*J827</f>
        <v>6362.6663361948968</v>
      </c>
      <c r="L827" s="243" t="s">
        <v>37</v>
      </c>
      <c r="M827" s="173"/>
      <c r="N827" s="68"/>
      <c r="O827" s="203"/>
      <c r="P827" s="218"/>
      <c r="Q827" s="68"/>
      <c r="T827" s="217"/>
    </row>
    <row r="828" spans="1:24" ht="30" customHeight="1" thickBot="1" x14ac:dyDescent="0.4">
      <c r="A828" s="1086"/>
      <c r="B828" s="1086"/>
      <c r="C828" s="1086"/>
      <c r="D828" s="1086"/>
      <c r="E828" s="1086"/>
      <c r="F828" s="1086"/>
      <c r="G828" s="1086"/>
      <c r="H828" s="1086"/>
      <c r="I828" s="1086"/>
      <c r="J828" s="1086"/>
      <c r="K828" s="1086"/>
      <c r="L828" s="1103"/>
      <c r="M828" s="173"/>
      <c r="N828" s="68"/>
      <c r="O828" s="203"/>
      <c r="P828" s="218"/>
      <c r="Q828" s="68"/>
      <c r="T828" s="217"/>
    </row>
    <row r="829" spans="1:24" ht="60" customHeight="1" x14ac:dyDescent="0.35">
      <c r="A829" s="465" t="s">
        <v>278</v>
      </c>
      <c r="B829" s="539">
        <v>1755</v>
      </c>
      <c r="C829" s="1017" t="s">
        <v>595</v>
      </c>
      <c r="D829" s="1017"/>
      <c r="E829" s="541" t="s">
        <v>280</v>
      </c>
      <c r="F829" s="542" t="s">
        <v>37</v>
      </c>
      <c r="G829" s="554" t="s">
        <v>2366</v>
      </c>
      <c r="H829" s="587">
        <v>32</v>
      </c>
      <c r="I829" s="541" t="s">
        <v>281</v>
      </c>
      <c r="J829" s="1019" t="s">
        <v>2843</v>
      </c>
      <c r="K829" s="1019"/>
      <c r="L829" s="1020"/>
      <c r="M829" s="173"/>
      <c r="N829" s="68"/>
      <c r="O829" s="203"/>
      <c r="P829" s="218"/>
      <c r="Q829" s="68"/>
      <c r="T829" s="217"/>
    </row>
    <row r="830" spans="1:24" ht="30" customHeight="1" x14ac:dyDescent="0.35">
      <c r="A830" s="545" t="s">
        <v>541</v>
      </c>
      <c r="B830" s="1038" t="s">
        <v>321</v>
      </c>
      <c r="C830" s="1038"/>
      <c r="D830" s="1038"/>
      <c r="E830" s="23" t="s">
        <v>290</v>
      </c>
      <c r="F830" s="23" t="s">
        <v>322</v>
      </c>
      <c r="G830" s="1034" t="s">
        <v>323</v>
      </c>
      <c r="H830" s="1034"/>
      <c r="I830" s="201" t="s">
        <v>299</v>
      </c>
      <c r="J830" s="201" t="s">
        <v>302</v>
      </c>
      <c r="K830" s="1012" t="s">
        <v>292</v>
      </c>
      <c r="L830" s="1023"/>
      <c r="M830" s="173"/>
      <c r="N830" s="68"/>
      <c r="O830" s="203"/>
      <c r="P830" s="218"/>
      <c r="Q830" s="68"/>
      <c r="T830" s="217"/>
      <c r="U830" s="208"/>
      <c r="V830" s="208"/>
      <c r="W830" s="208"/>
      <c r="X830" s="208"/>
    </row>
    <row r="831" spans="1:24" s="208" customFormat="1" ht="30" customHeight="1" x14ac:dyDescent="0.35">
      <c r="A831" s="241" t="s">
        <v>544</v>
      </c>
      <c r="B831" s="1082" t="s">
        <v>547</v>
      </c>
      <c r="C831" s="1082"/>
      <c r="D831" s="1082"/>
      <c r="E831" s="680">
        <f>+P778</f>
        <v>341</v>
      </c>
      <c r="F831" s="639" t="s">
        <v>10</v>
      </c>
      <c r="G831" s="727">
        <v>1</v>
      </c>
      <c r="H831" s="655" t="s">
        <v>546</v>
      </c>
      <c r="I831" s="665">
        <f>+R778</f>
        <v>1.01</v>
      </c>
      <c r="J831" s="665">
        <f>+S778</f>
        <v>0.9907407407407407</v>
      </c>
      <c r="K831" s="453">
        <f>+E831*G831*I831*J831</f>
        <v>341.22101851851852</v>
      </c>
      <c r="L831" s="243" t="s">
        <v>37</v>
      </c>
      <c r="M831" s="173"/>
      <c r="N831" s="68"/>
      <c r="O831" s="203"/>
      <c r="P831" s="218"/>
      <c r="Q831" s="68"/>
      <c r="R831" s="203"/>
      <c r="S831" s="203"/>
      <c r="T831" s="217"/>
      <c r="U831" s="203"/>
      <c r="V831" s="203"/>
      <c r="W831" s="203"/>
      <c r="X831" s="203"/>
    </row>
    <row r="832" spans="1:24" ht="30" customHeight="1" x14ac:dyDescent="0.35">
      <c r="A832" s="241" t="s">
        <v>548</v>
      </c>
      <c r="B832" s="1082" t="s">
        <v>549</v>
      </c>
      <c r="C832" s="1082"/>
      <c r="D832" s="1082"/>
      <c r="E832" s="680">
        <f>+P781</f>
        <v>148.79</v>
      </c>
      <c r="F832" s="639" t="s">
        <v>10</v>
      </c>
      <c r="G832" s="727">
        <v>4</v>
      </c>
      <c r="H832" s="655" t="s">
        <v>546</v>
      </c>
      <c r="I832" s="665">
        <f>+R781</f>
        <v>1.01</v>
      </c>
      <c r="J832" s="665">
        <f>+S781</f>
        <v>0.9907407407407407</v>
      </c>
      <c r="K832" s="453">
        <f>+E832*G832*I832*J832</f>
        <v>595.54575185185183</v>
      </c>
      <c r="L832" s="243" t="s">
        <v>37</v>
      </c>
      <c r="M832" s="173"/>
      <c r="N832" s="68"/>
      <c r="O832" s="208"/>
      <c r="P832" s="218"/>
      <c r="Q832" s="68"/>
      <c r="R832" s="208"/>
      <c r="S832" s="208"/>
      <c r="T832" s="217"/>
    </row>
    <row r="833" spans="1:24" ht="30" customHeight="1" x14ac:dyDescent="0.35">
      <c r="A833" s="241" t="s">
        <v>550</v>
      </c>
      <c r="B833" s="1082" t="s">
        <v>596</v>
      </c>
      <c r="C833" s="1082"/>
      <c r="D833" s="1082"/>
      <c r="E833" s="680">
        <f>+P783</f>
        <v>15.75</v>
      </c>
      <c r="F833" s="639" t="s">
        <v>6</v>
      </c>
      <c r="G833" s="727">
        <v>525</v>
      </c>
      <c r="H833" s="655" t="s">
        <v>552</v>
      </c>
      <c r="I833" s="665">
        <f>+R783</f>
        <v>1.01</v>
      </c>
      <c r="J833" s="665">
        <f>+S783</f>
        <v>0.9907407407407407</v>
      </c>
      <c r="K833" s="453">
        <f>+E833*G833*I833*J833</f>
        <v>8274.109375</v>
      </c>
      <c r="L833" s="243" t="s">
        <v>37</v>
      </c>
      <c r="M833" s="173"/>
      <c r="N833" s="68"/>
      <c r="O833" s="203"/>
      <c r="P833" s="218"/>
      <c r="Q833" s="68"/>
      <c r="T833" s="217"/>
    </row>
    <row r="834" spans="1:24" ht="30" customHeight="1" x14ac:dyDescent="0.35">
      <c r="A834" s="241">
        <v>93410</v>
      </c>
      <c r="B834" s="1082" t="s">
        <v>597</v>
      </c>
      <c r="C834" s="1082"/>
      <c r="D834" s="1082"/>
      <c r="E834" s="680">
        <f>+P791</f>
        <v>8.5</v>
      </c>
      <c r="F834" s="639" t="s">
        <v>283</v>
      </c>
      <c r="G834" s="728">
        <v>277.9375</v>
      </c>
      <c r="H834" s="655" t="s">
        <v>554</v>
      </c>
      <c r="I834" s="731">
        <f>+R791</f>
        <v>0.9432470865927236</v>
      </c>
      <c r="J834" s="446"/>
      <c r="K834" s="453">
        <f>+E834*G834*I834</f>
        <v>2228.3917656038534</v>
      </c>
      <c r="L834" s="243" t="s">
        <v>37</v>
      </c>
      <c r="M834" s="173"/>
      <c r="N834" s="68"/>
      <c r="O834" s="203"/>
      <c r="P834" s="218"/>
      <c r="Q834" s="68"/>
      <c r="T834" s="217"/>
    </row>
    <row r="835" spans="1:24" ht="30" customHeight="1" x14ac:dyDescent="0.35">
      <c r="A835" s="1183" t="s">
        <v>2804</v>
      </c>
      <c r="B835" s="1184"/>
      <c r="C835" s="1184"/>
      <c r="D835" s="1184"/>
      <c r="E835" s="453"/>
      <c r="F835" s="446"/>
      <c r="G835" s="519"/>
      <c r="H835" s="508"/>
      <c r="I835" s="446"/>
      <c r="J835" s="446" t="s">
        <v>362</v>
      </c>
      <c r="K835" s="453">
        <f>SUM(K831:K834)</f>
        <v>11439.267910974224</v>
      </c>
      <c r="L835" s="243" t="s">
        <v>37</v>
      </c>
      <c r="M835" s="173"/>
      <c r="N835" s="68"/>
      <c r="O835" s="203"/>
      <c r="P835" s="218"/>
      <c r="Q835" s="68"/>
      <c r="T835" s="217"/>
    </row>
    <row r="836" spans="1:24" ht="30" customHeight="1" thickBot="1" x14ac:dyDescent="0.4">
      <c r="A836" s="1183"/>
      <c r="B836" s="1184"/>
      <c r="C836" s="1184"/>
      <c r="D836" s="1184"/>
      <c r="E836" s="458"/>
      <c r="F836" s="458"/>
      <c r="G836" s="592" t="s">
        <v>2358</v>
      </c>
      <c r="H836" s="458"/>
      <c r="I836" s="458"/>
      <c r="J836" s="583">
        <f>VLOOKUP(B829,'Mil Cost Premiums for PUCs'!$A$4:$R$272,18,FALSE)</f>
        <v>1.0485669999999998</v>
      </c>
      <c r="K836" s="591">
        <f>+K835*J836</f>
        <v>11994.838835606506</v>
      </c>
      <c r="L836" s="243" t="s">
        <v>37</v>
      </c>
      <c r="M836" s="173"/>
      <c r="N836" s="68"/>
      <c r="O836" s="203"/>
      <c r="P836" s="218"/>
      <c r="Q836" s="68"/>
      <c r="T836" s="217"/>
    </row>
    <row r="837" spans="1:24" ht="30" customHeight="1" thickBot="1" x14ac:dyDescent="0.4">
      <c r="A837" s="1086"/>
      <c r="B837" s="1086"/>
      <c r="C837" s="1086"/>
      <c r="D837" s="1086"/>
      <c r="E837" s="1086"/>
      <c r="F837" s="1086"/>
      <c r="G837" s="1086"/>
      <c r="H837" s="1086"/>
      <c r="I837" s="1086"/>
      <c r="J837" s="1086"/>
      <c r="K837" s="1086"/>
      <c r="L837" s="1103"/>
      <c r="M837" s="173"/>
      <c r="N837" s="68"/>
      <c r="O837" s="203"/>
      <c r="P837" s="218"/>
      <c r="Q837" s="68"/>
      <c r="T837" s="217"/>
    </row>
    <row r="838" spans="1:24" ht="60" customHeight="1" x14ac:dyDescent="0.35">
      <c r="A838" s="465" t="s">
        <v>278</v>
      </c>
      <c r="B838" s="539">
        <v>1756</v>
      </c>
      <c r="C838" s="1017" t="s">
        <v>598</v>
      </c>
      <c r="D838" s="1017"/>
      <c r="E838" s="541" t="s">
        <v>280</v>
      </c>
      <c r="F838" s="542" t="s">
        <v>37</v>
      </c>
      <c r="G838" s="553" t="s">
        <v>2812</v>
      </c>
      <c r="H838" s="587">
        <v>4</v>
      </c>
      <c r="I838" s="541" t="s">
        <v>281</v>
      </c>
      <c r="J838" s="1019" t="s">
        <v>2843</v>
      </c>
      <c r="K838" s="1019"/>
      <c r="L838" s="1020"/>
      <c r="M838" s="173"/>
      <c r="N838" s="68"/>
      <c r="O838" s="203"/>
      <c r="P838" s="218"/>
      <c r="Q838" s="68"/>
      <c r="T838" s="217"/>
    </row>
    <row r="839" spans="1:24" ht="30" customHeight="1" x14ac:dyDescent="0.35">
      <c r="A839" s="545" t="s">
        <v>541</v>
      </c>
      <c r="B839" s="1038" t="s">
        <v>321</v>
      </c>
      <c r="C839" s="1038"/>
      <c r="D839" s="1038"/>
      <c r="E839" s="23" t="s">
        <v>290</v>
      </c>
      <c r="F839" s="23" t="s">
        <v>322</v>
      </c>
      <c r="G839" s="1034" t="s">
        <v>323</v>
      </c>
      <c r="H839" s="1034"/>
      <c r="I839" s="509" t="s">
        <v>299</v>
      </c>
      <c r="J839" s="201" t="s">
        <v>302</v>
      </c>
      <c r="K839" s="1012" t="s">
        <v>292</v>
      </c>
      <c r="L839" s="1023"/>
      <c r="M839" s="173"/>
      <c r="N839" s="68"/>
      <c r="O839" s="203"/>
      <c r="P839" s="218"/>
      <c r="Q839" s="68"/>
      <c r="T839" s="217"/>
      <c r="U839" s="208"/>
      <c r="V839" s="208"/>
      <c r="W839" s="208"/>
      <c r="X839" s="208"/>
    </row>
    <row r="840" spans="1:24" s="208" customFormat="1" ht="30" customHeight="1" x14ac:dyDescent="0.35">
      <c r="A840" s="545"/>
      <c r="B840" s="1059" t="s">
        <v>599</v>
      </c>
      <c r="C840" s="1059"/>
      <c r="D840" s="1059"/>
      <c r="E840" s="23"/>
      <c r="F840" s="23"/>
      <c r="G840" s="486"/>
      <c r="H840" s="487"/>
      <c r="I840" s="647"/>
      <c r="J840" s="647"/>
      <c r="K840" s="23"/>
      <c r="L840" s="715"/>
      <c r="M840" s="173"/>
      <c r="N840" s="68"/>
      <c r="O840" s="203"/>
      <c r="P840" s="218"/>
      <c r="Q840" s="68"/>
      <c r="R840" s="203"/>
      <c r="S840" s="203"/>
      <c r="T840" s="217"/>
      <c r="U840" s="203"/>
      <c r="V840" s="203"/>
      <c r="W840" s="203"/>
      <c r="X840" s="203"/>
    </row>
    <row r="841" spans="1:24" ht="30" customHeight="1" x14ac:dyDescent="0.35">
      <c r="A841" s="241" t="s">
        <v>493</v>
      </c>
      <c r="B841" s="1059" t="s">
        <v>600</v>
      </c>
      <c r="C841" s="1059"/>
      <c r="D841" s="1059"/>
      <c r="E841" s="680">
        <f>+P770</f>
        <v>9.6300000000000008</v>
      </c>
      <c r="F841" s="446" t="s">
        <v>8</v>
      </c>
      <c r="G841" s="727">
        <f>4*62</f>
        <v>248</v>
      </c>
      <c r="H841" s="655" t="s">
        <v>543</v>
      </c>
      <c r="I841" s="665">
        <f>+R770</f>
        <v>1.02</v>
      </c>
      <c r="J841" s="665">
        <f>+S770</f>
        <v>0.9907407407407407</v>
      </c>
      <c r="K841" s="453">
        <f t="shared" ref="K841:K849" si="19">+E841*G841*I841*J841</f>
        <v>2413.4492</v>
      </c>
      <c r="L841" s="243" t="s">
        <v>37</v>
      </c>
      <c r="M841" s="173"/>
      <c r="N841" s="68"/>
      <c r="O841" s="208"/>
      <c r="P841" s="218"/>
      <c r="Q841" s="68"/>
      <c r="R841" s="208"/>
      <c r="S841" s="208"/>
      <c r="T841" s="217"/>
    </row>
    <row r="842" spans="1:24" ht="30" customHeight="1" x14ac:dyDescent="0.35">
      <c r="A842" s="241" t="s">
        <v>449</v>
      </c>
      <c r="B842" s="1059" t="s">
        <v>601</v>
      </c>
      <c r="C842" s="1059"/>
      <c r="D842" s="1059"/>
      <c r="E842" s="680">
        <f>+P774</f>
        <v>19</v>
      </c>
      <c r="F842" s="446" t="s">
        <v>8</v>
      </c>
      <c r="G842" s="727">
        <f>80.7*6</f>
        <v>484.20000000000005</v>
      </c>
      <c r="H842" s="655" t="s">
        <v>543</v>
      </c>
      <c r="I842" s="665">
        <f>+R774</f>
        <v>1.05</v>
      </c>
      <c r="J842" s="665">
        <f>+S774</f>
        <v>0.9907407407407407</v>
      </c>
      <c r="K842" s="453">
        <f t="shared" si="19"/>
        <v>9570.3474999999999</v>
      </c>
      <c r="L842" s="243" t="s">
        <v>37</v>
      </c>
      <c r="M842" s="173"/>
      <c r="N842" s="68"/>
      <c r="O842" s="203"/>
      <c r="P842" s="218"/>
      <c r="Q842" s="68"/>
      <c r="T842" s="217"/>
    </row>
    <row r="843" spans="1:24" ht="30" customHeight="1" x14ac:dyDescent="0.35">
      <c r="A843" s="241" t="s">
        <v>544</v>
      </c>
      <c r="B843" s="1059" t="s">
        <v>545</v>
      </c>
      <c r="C843" s="1059"/>
      <c r="D843" s="1059"/>
      <c r="E843" s="680">
        <f>+P776</f>
        <v>475.5</v>
      </c>
      <c r="F843" s="639" t="s">
        <v>10</v>
      </c>
      <c r="G843" s="727">
        <v>10</v>
      </c>
      <c r="H843" s="655" t="s">
        <v>546</v>
      </c>
      <c r="I843" s="665">
        <f>+R776</f>
        <v>1.01</v>
      </c>
      <c r="J843" s="665">
        <f>+S776</f>
        <v>0.9907407407407407</v>
      </c>
      <c r="K843" s="453">
        <f t="shared" si="19"/>
        <v>4758.0819444444442</v>
      </c>
      <c r="L843" s="243" t="s">
        <v>37</v>
      </c>
      <c r="M843" s="173"/>
      <c r="N843" s="68"/>
      <c r="O843" s="203"/>
      <c r="P843" s="218"/>
      <c r="Q843" s="68"/>
      <c r="T843" s="217"/>
    </row>
    <row r="844" spans="1:24" ht="30" customHeight="1" x14ac:dyDescent="0.35">
      <c r="A844" s="241" t="s">
        <v>436</v>
      </c>
      <c r="B844" s="1059" t="s">
        <v>579</v>
      </c>
      <c r="C844" s="1059"/>
      <c r="D844" s="1059"/>
      <c r="E844" s="680">
        <f>+P784</f>
        <v>18.324999999999999</v>
      </c>
      <c r="F844" s="639" t="s">
        <v>6</v>
      </c>
      <c r="G844" s="727">
        <f>6*50</f>
        <v>300</v>
      </c>
      <c r="H844" s="655" t="s">
        <v>552</v>
      </c>
      <c r="I844" s="665">
        <f>+R784</f>
        <v>1.02</v>
      </c>
      <c r="J844" s="665">
        <f>+S784</f>
        <v>0.9907407407407407</v>
      </c>
      <c r="K844" s="453">
        <f t="shared" si="19"/>
        <v>5555.5291666666662</v>
      </c>
      <c r="L844" s="243" t="s">
        <v>37</v>
      </c>
      <c r="M844" s="173"/>
      <c r="N844" s="68"/>
      <c r="O844" s="203"/>
      <c r="P844" s="218"/>
      <c r="Q844" s="68"/>
      <c r="T844" s="217"/>
    </row>
    <row r="845" spans="1:24" ht="30" customHeight="1" x14ac:dyDescent="0.35">
      <c r="A845" s="241" t="s">
        <v>436</v>
      </c>
      <c r="B845" s="1059" t="s">
        <v>602</v>
      </c>
      <c r="C845" s="1059"/>
      <c r="D845" s="1059"/>
      <c r="E845" s="680">
        <f>+P785</f>
        <v>2797.5</v>
      </c>
      <c r="F845" s="639" t="s">
        <v>10</v>
      </c>
      <c r="G845" s="727">
        <v>6</v>
      </c>
      <c r="H845" s="655" t="s">
        <v>559</v>
      </c>
      <c r="I845" s="665">
        <f>+R785</f>
        <v>1.02</v>
      </c>
      <c r="J845" s="665">
        <f>+S785</f>
        <v>0.9907407407407407</v>
      </c>
      <c r="K845" s="453">
        <f t="shared" si="19"/>
        <v>16962.174999999999</v>
      </c>
      <c r="L845" s="243" t="s">
        <v>37</v>
      </c>
      <c r="M845" s="173"/>
      <c r="N845" s="68"/>
      <c r="O845" s="203"/>
      <c r="P845" s="218"/>
      <c r="Q845" s="68"/>
      <c r="T845" s="217"/>
    </row>
    <row r="846" spans="1:24" ht="30" customHeight="1" x14ac:dyDescent="0.35">
      <c r="A846" s="241" t="s">
        <v>544</v>
      </c>
      <c r="B846" s="1059" t="s">
        <v>547</v>
      </c>
      <c r="C846" s="1059"/>
      <c r="D846" s="1059"/>
      <c r="E846" s="680">
        <f>+P778</f>
        <v>341</v>
      </c>
      <c r="F846" s="639" t="s">
        <v>10</v>
      </c>
      <c r="G846" s="727">
        <v>10</v>
      </c>
      <c r="H846" s="655" t="s">
        <v>546</v>
      </c>
      <c r="I846" s="665">
        <f>+R778</f>
        <v>1.01</v>
      </c>
      <c r="J846" s="665">
        <f>+S778</f>
        <v>0.9907407407407407</v>
      </c>
      <c r="K846" s="453">
        <f t="shared" si="19"/>
        <v>3412.2101851851849</v>
      </c>
      <c r="L846" s="243" t="s">
        <v>37</v>
      </c>
      <c r="M846" s="173"/>
      <c r="N846" s="68"/>
      <c r="O846" s="203"/>
      <c r="P846" s="218"/>
      <c r="Q846" s="68"/>
      <c r="T846" s="217"/>
    </row>
    <row r="847" spans="1:24" ht="30" customHeight="1" x14ac:dyDescent="0.35">
      <c r="A847" s="241" t="s">
        <v>548</v>
      </c>
      <c r="B847" s="1059" t="s">
        <v>603</v>
      </c>
      <c r="C847" s="1059"/>
      <c r="D847" s="1059"/>
      <c r="E847" s="680">
        <f>+P781</f>
        <v>148.79</v>
      </c>
      <c r="F847" s="639" t="s">
        <v>10</v>
      </c>
      <c r="G847" s="727">
        <v>40</v>
      </c>
      <c r="H847" s="655" t="s">
        <v>546</v>
      </c>
      <c r="I847" s="665">
        <f>+R781</f>
        <v>1.01</v>
      </c>
      <c r="J847" s="665">
        <f>+S781</f>
        <v>0.9907407407407407</v>
      </c>
      <c r="K847" s="453">
        <f t="shared" si="19"/>
        <v>5955.4575185185176</v>
      </c>
      <c r="L847" s="243" t="s">
        <v>37</v>
      </c>
      <c r="M847" s="173"/>
      <c r="N847" s="68"/>
      <c r="O847" s="203"/>
      <c r="P847" s="218"/>
      <c r="Q847" s="68"/>
      <c r="T847" s="217"/>
    </row>
    <row r="848" spans="1:24" ht="30" customHeight="1" x14ac:dyDescent="0.35">
      <c r="A848" s="241" t="s">
        <v>550</v>
      </c>
      <c r="B848" s="1059" t="s">
        <v>604</v>
      </c>
      <c r="C848" s="1059"/>
      <c r="D848" s="1059"/>
      <c r="E848" s="680">
        <f>+P782</f>
        <v>18.47</v>
      </c>
      <c r="F848" s="639" t="s">
        <v>6</v>
      </c>
      <c r="G848" s="716">
        <v>6412</v>
      </c>
      <c r="H848" s="655" t="s">
        <v>552</v>
      </c>
      <c r="I848" s="665">
        <f>+R782</f>
        <v>1.01</v>
      </c>
      <c r="J848" s="665">
        <f>+S782</f>
        <v>0.9907407407407407</v>
      </c>
      <c r="K848" s="453">
        <f t="shared" si="19"/>
        <v>118506.39995185185</v>
      </c>
      <c r="L848" s="243" t="s">
        <v>37</v>
      </c>
      <c r="M848" s="173"/>
      <c r="N848" s="68"/>
      <c r="O848" s="203"/>
      <c r="P848" s="218"/>
      <c r="Q848" s="68"/>
      <c r="T848" s="217"/>
    </row>
    <row r="849" spans="1:24" ht="30" customHeight="1" x14ac:dyDescent="0.35">
      <c r="A849" s="241" t="s">
        <v>331</v>
      </c>
      <c r="B849" s="1082" t="s">
        <v>605</v>
      </c>
      <c r="C849" s="1082"/>
      <c r="D849" s="1082"/>
      <c r="E849" s="645">
        <f>+P775</f>
        <v>4.9550000000000001</v>
      </c>
      <c r="F849" s="639" t="s">
        <v>8</v>
      </c>
      <c r="G849" s="727">
        <f>32*9</f>
        <v>288</v>
      </c>
      <c r="H849" s="655" t="s">
        <v>543</v>
      </c>
      <c r="I849" s="665">
        <f>+R769</f>
        <v>1.03</v>
      </c>
      <c r="J849" s="665">
        <f>+S775</f>
        <v>0.9907407407407407</v>
      </c>
      <c r="K849" s="453">
        <f t="shared" si="19"/>
        <v>1456.2414666666666</v>
      </c>
      <c r="L849" s="243" t="s">
        <v>37</v>
      </c>
      <c r="M849" s="173"/>
      <c r="N849" s="68"/>
      <c r="O849" s="203"/>
      <c r="P849" s="218"/>
      <c r="Q849" s="68"/>
      <c r="T849" s="217"/>
    </row>
    <row r="850" spans="1:24" ht="30" customHeight="1" x14ac:dyDescent="0.35">
      <c r="A850" s="241">
        <v>93410</v>
      </c>
      <c r="B850" s="1082" t="s">
        <v>606</v>
      </c>
      <c r="C850" s="1082"/>
      <c r="D850" s="1082"/>
      <c r="E850" s="680">
        <f>+P791</f>
        <v>8.5</v>
      </c>
      <c r="F850" s="639" t="s">
        <v>283</v>
      </c>
      <c r="G850" s="728">
        <v>261.5</v>
      </c>
      <c r="H850" s="655" t="s">
        <v>554</v>
      </c>
      <c r="I850" s="731">
        <f>+R791</f>
        <v>0.9432470865927236</v>
      </c>
      <c r="J850" s="665"/>
      <c r="K850" s="453">
        <f>+E850*G850*I850</f>
        <v>2096.6024617239764</v>
      </c>
      <c r="L850" s="243" t="s">
        <v>37</v>
      </c>
      <c r="M850" s="173"/>
      <c r="N850" s="68"/>
      <c r="O850" s="203"/>
      <c r="P850" s="218"/>
      <c r="Q850" s="68"/>
      <c r="T850" s="217"/>
    </row>
    <row r="851" spans="1:24" ht="30" customHeight="1" x14ac:dyDescent="0.35">
      <c r="A851" s="1183" t="s">
        <v>2804</v>
      </c>
      <c r="B851" s="1184"/>
      <c r="C851" s="1184"/>
      <c r="D851" s="1184"/>
      <c r="E851" s="453"/>
      <c r="F851" s="446"/>
      <c r="G851" s="519"/>
      <c r="H851" s="508"/>
      <c r="I851" s="446"/>
      <c r="J851" s="446" t="s">
        <v>362</v>
      </c>
      <c r="K851" s="453">
        <f>SUM(K841:K850)</f>
        <v>170686.49439505732</v>
      </c>
      <c r="L851" s="243" t="s">
        <v>37</v>
      </c>
      <c r="M851" s="173"/>
      <c r="N851" s="68"/>
      <c r="O851" s="203"/>
      <c r="P851" s="218"/>
      <c r="Q851" s="68"/>
      <c r="T851" s="217"/>
    </row>
    <row r="852" spans="1:24" ht="30" customHeight="1" thickBot="1" x14ac:dyDescent="0.4">
      <c r="A852" s="1183"/>
      <c r="B852" s="1184"/>
      <c r="C852" s="1184"/>
      <c r="D852" s="1184"/>
      <c r="E852" s="458"/>
      <c r="F852" s="458"/>
      <c r="G852" s="592" t="s">
        <v>2358</v>
      </c>
      <c r="H852" s="458"/>
      <c r="I852" s="458"/>
      <c r="J852" s="583">
        <f>VLOOKUP(B838,'Mil Cost Premiums for PUCs'!$A$4:$R$272,18,FALSE)</f>
        <v>1.0485669999999998</v>
      </c>
      <c r="K852" s="591">
        <f>+K851*J852</f>
        <v>178976.22536834204</v>
      </c>
      <c r="L852" s="243" t="s">
        <v>37</v>
      </c>
      <c r="M852" s="173"/>
      <c r="N852" s="68"/>
      <c r="O852" s="203"/>
      <c r="P852" s="218"/>
      <c r="Q852" s="68"/>
      <c r="T852" s="217"/>
    </row>
    <row r="853" spans="1:24" ht="30" customHeight="1" thickBot="1" x14ac:dyDescent="0.4">
      <c r="A853" s="1086"/>
      <c r="B853" s="1086"/>
      <c r="C853" s="1086"/>
      <c r="D853" s="1086"/>
      <c r="E853" s="1086"/>
      <c r="F853" s="1086"/>
      <c r="G853" s="1086"/>
      <c r="H853" s="1086"/>
      <c r="I853" s="1086"/>
      <c r="J853" s="1086"/>
      <c r="K853" s="1086"/>
      <c r="L853" s="1103"/>
      <c r="M853" s="173"/>
      <c r="N853" s="68"/>
      <c r="O853" s="203"/>
      <c r="P853" s="218"/>
      <c r="Q853" s="68"/>
      <c r="T853" s="217"/>
    </row>
    <row r="854" spans="1:24" ht="60" customHeight="1" x14ac:dyDescent="0.35">
      <c r="A854" s="465" t="s">
        <v>278</v>
      </c>
      <c r="B854" s="539">
        <v>1757</v>
      </c>
      <c r="C854" s="1017" t="s">
        <v>607</v>
      </c>
      <c r="D854" s="1017"/>
      <c r="E854" s="541" t="s">
        <v>280</v>
      </c>
      <c r="F854" s="542" t="s">
        <v>37</v>
      </c>
      <c r="G854" s="553" t="s">
        <v>2811</v>
      </c>
      <c r="H854" s="587">
        <v>15</v>
      </c>
      <c r="I854" s="541" t="s">
        <v>281</v>
      </c>
      <c r="J854" s="1019" t="s">
        <v>2843</v>
      </c>
      <c r="K854" s="1019"/>
      <c r="L854" s="1020"/>
      <c r="M854" s="173"/>
      <c r="N854" s="68"/>
      <c r="O854" s="203"/>
      <c r="P854" s="218"/>
      <c r="Q854" s="68"/>
      <c r="T854" s="217"/>
    </row>
    <row r="855" spans="1:24" ht="30" customHeight="1" x14ac:dyDescent="0.35">
      <c r="A855" s="545" t="s">
        <v>541</v>
      </c>
      <c r="B855" s="1038" t="s">
        <v>321</v>
      </c>
      <c r="C855" s="1038"/>
      <c r="D855" s="1038"/>
      <c r="E855" s="23" t="s">
        <v>290</v>
      </c>
      <c r="F855" s="23" t="s">
        <v>322</v>
      </c>
      <c r="G855" s="1034" t="s">
        <v>323</v>
      </c>
      <c r="H855" s="1034"/>
      <c r="I855" s="509" t="s">
        <v>299</v>
      </c>
      <c r="J855" s="201" t="s">
        <v>302</v>
      </c>
      <c r="K855" s="1012" t="s">
        <v>292</v>
      </c>
      <c r="L855" s="1023"/>
      <c r="M855" s="173"/>
      <c r="N855" s="68"/>
      <c r="O855" s="203"/>
      <c r="P855" s="218"/>
      <c r="Q855" s="68"/>
      <c r="T855" s="217"/>
      <c r="U855" s="208"/>
      <c r="V855" s="208"/>
      <c r="W855" s="208"/>
      <c r="X855" s="208"/>
    </row>
    <row r="856" spans="1:24" s="208" customFormat="1" ht="30" customHeight="1" x14ac:dyDescent="0.35">
      <c r="A856" s="241" t="s">
        <v>493</v>
      </c>
      <c r="B856" s="1082" t="s">
        <v>608</v>
      </c>
      <c r="C856" s="1082"/>
      <c r="D856" s="1082"/>
      <c r="E856" s="680">
        <f>+P770</f>
        <v>9.6300000000000008</v>
      </c>
      <c r="F856" s="446" t="s">
        <v>8</v>
      </c>
      <c r="G856" s="727">
        <f>8*62</f>
        <v>496</v>
      </c>
      <c r="H856" s="655" t="s">
        <v>543</v>
      </c>
      <c r="I856" s="665">
        <f>+R770</f>
        <v>1.02</v>
      </c>
      <c r="J856" s="665">
        <f>+S770</f>
        <v>0.9907407407407407</v>
      </c>
      <c r="K856" s="453">
        <f>+E856*G856*I856*J856</f>
        <v>4826.8984</v>
      </c>
      <c r="L856" s="243" t="s">
        <v>37</v>
      </c>
      <c r="M856" s="173"/>
      <c r="N856" s="68"/>
      <c r="O856" s="203"/>
      <c r="P856" s="218"/>
      <c r="Q856" s="68"/>
      <c r="R856" s="203"/>
      <c r="S856" s="203"/>
      <c r="T856" s="217"/>
      <c r="U856" s="203"/>
      <c r="V856" s="203"/>
      <c r="W856" s="203"/>
      <c r="X856" s="203"/>
    </row>
    <row r="857" spans="1:24" ht="30" customHeight="1" x14ac:dyDescent="0.35">
      <c r="A857" s="241" t="s">
        <v>544</v>
      </c>
      <c r="B857" s="1082" t="s">
        <v>545</v>
      </c>
      <c r="C857" s="1082"/>
      <c r="D857" s="1082"/>
      <c r="E857" s="680">
        <f>+P776</f>
        <v>475.5</v>
      </c>
      <c r="F857" s="639" t="s">
        <v>10</v>
      </c>
      <c r="G857" s="727">
        <v>8</v>
      </c>
      <c r="H857" s="655" t="s">
        <v>546</v>
      </c>
      <c r="I857" s="665">
        <f>+R776</f>
        <v>1.01</v>
      </c>
      <c r="J857" s="665">
        <f>+S776</f>
        <v>0.9907407407407407</v>
      </c>
      <c r="K857" s="453">
        <f>+E857*G857*I857*J857</f>
        <v>3806.4655555555555</v>
      </c>
      <c r="L857" s="243" t="s">
        <v>37</v>
      </c>
      <c r="M857" s="173"/>
      <c r="N857" s="68"/>
      <c r="O857" s="208"/>
      <c r="P857" s="218"/>
      <c r="Q857" s="68"/>
      <c r="R857" s="208"/>
      <c r="S857" s="208"/>
      <c r="T857" s="217"/>
    </row>
    <row r="858" spans="1:24" ht="30" customHeight="1" x14ac:dyDescent="0.35">
      <c r="A858" s="241" t="s">
        <v>544</v>
      </c>
      <c r="B858" s="1082" t="s">
        <v>547</v>
      </c>
      <c r="C858" s="1082"/>
      <c r="D858" s="1082"/>
      <c r="E858" s="680">
        <f>+P778</f>
        <v>341</v>
      </c>
      <c r="F858" s="639" t="s">
        <v>10</v>
      </c>
      <c r="G858" s="727">
        <v>8</v>
      </c>
      <c r="H858" s="655" t="s">
        <v>546</v>
      </c>
      <c r="I858" s="665">
        <f>+R778</f>
        <v>1.01</v>
      </c>
      <c r="J858" s="665">
        <f>+S778</f>
        <v>0.9907407407407407</v>
      </c>
      <c r="K858" s="453">
        <f>+E858*G858*I858*J858</f>
        <v>2729.7681481481482</v>
      </c>
      <c r="L858" s="243" t="s">
        <v>37</v>
      </c>
      <c r="M858" s="173"/>
      <c r="N858" s="68"/>
      <c r="O858" s="203"/>
      <c r="P858" s="218"/>
      <c r="Q858" s="68"/>
      <c r="T858" s="217"/>
    </row>
    <row r="859" spans="1:24" ht="30" customHeight="1" x14ac:dyDescent="0.35">
      <c r="A859" s="241" t="s">
        <v>548</v>
      </c>
      <c r="B859" s="1082" t="s">
        <v>549</v>
      </c>
      <c r="C859" s="1082"/>
      <c r="D859" s="1082"/>
      <c r="E859" s="680">
        <f>+P781</f>
        <v>148.79</v>
      </c>
      <c r="F859" s="639" t="s">
        <v>10</v>
      </c>
      <c r="G859" s="727">
        <v>32</v>
      </c>
      <c r="H859" s="655" t="s">
        <v>546</v>
      </c>
      <c r="I859" s="665">
        <f>+R781</f>
        <v>1.01</v>
      </c>
      <c r="J859" s="665">
        <f>+S781</f>
        <v>0.9907407407407407</v>
      </c>
      <c r="K859" s="453">
        <f>+E859*G859*I859*J859</f>
        <v>4764.3660148148147</v>
      </c>
      <c r="L859" s="243" t="s">
        <v>37</v>
      </c>
      <c r="M859" s="173"/>
      <c r="N859" s="68"/>
      <c r="O859" s="203"/>
      <c r="P859" s="218"/>
      <c r="Q859" s="68"/>
      <c r="T859" s="217"/>
    </row>
    <row r="860" spans="1:24" ht="30" customHeight="1" x14ac:dyDescent="0.35">
      <c r="A860" s="241" t="s">
        <v>550</v>
      </c>
      <c r="B860" s="1082" t="s">
        <v>609</v>
      </c>
      <c r="C860" s="1082"/>
      <c r="D860" s="1082"/>
      <c r="E860" s="680">
        <f>+P782</f>
        <v>18.47</v>
      </c>
      <c r="F860" s="639" t="s">
        <v>6</v>
      </c>
      <c r="G860" s="727">
        <f>8*101</f>
        <v>808</v>
      </c>
      <c r="H860" s="655" t="s">
        <v>552</v>
      </c>
      <c r="I860" s="665">
        <f>+R782</f>
        <v>1.01</v>
      </c>
      <c r="J860" s="665">
        <f>+S782</f>
        <v>0.9907407407407407</v>
      </c>
      <c r="K860" s="453">
        <f>+E860*G860*I860*J860</f>
        <v>14933.432807407406</v>
      </c>
      <c r="L860" s="243" t="s">
        <v>37</v>
      </c>
      <c r="M860" s="173"/>
      <c r="N860" s="68"/>
      <c r="O860" s="203"/>
      <c r="P860" s="218"/>
      <c r="Q860" s="68"/>
      <c r="T860" s="217"/>
    </row>
    <row r="861" spans="1:24" ht="30" customHeight="1" x14ac:dyDescent="0.35">
      <c r="A861" s="241">
        <v>93210</v>
      </c>
      <c r="B861" s="1082" t="s">
        <v>610</v>
      </c>
      <c r="C861" s="1082"/>
      <c r="D861" s="1082"/>
      <c r="E861" s="680">
        <f>+P793</f>
        <v>47.6</v>
      </c>
      <c r="F861" s="639" t="s">
        <v>283</v>
      </c>
      <c r="G861" s="728">
        <v>27.8125</v>
      </c>
      <c r="H861" s="655" t="s">
        <v>554</v>
      </c>
      <c r="I861" s="731">
        <f>+R793</f>
        <v>0.9432470865927236</v>
      </c>
      <c r="J861" s="446"/>
      <c r="K861" s="453">
        <f>+E861*G861*I861</f>
        <v>1248.741236762942</v>
      </c>
      <c r="L861" s="243" t="s">
        <v>37</v>
      </c>
      <c r="M861" s="173"/>
      <c r="N861" s="68"/>
      <c r="O861" s="203"/>
      <c r="P861" s="218"/>
      <c r="Q861" s="68"/>
      <c r="T861" s="217"/>
    </row>
    <row r="862" spans="1:24" ht="30" customHeight="1" x14ac:dyDescent="0.35">
      <c r="A862" s="241">
        <v>93410</v>
      </c>
      <c r="B862" s="1082" t="s">
        <v>611</v>
      </c>
      <c r="C862" s="1082"/>
      <c r="D862" s="1082"/>
      <c r="E862" s="680">
        <f>+P791</f>
        <v>8.5</v>
      </c>
      <c r="F862" s="639" t="s">
        <v>283</v>
      </c>
      <c r="G862" s="728">
        <f>2.61*8</f>
        <v>20.88</v>
      </c>
      <c r="H862" s="655" t="s">
        <v>554</v>
      </c>
      <c r="I862" s="731">
        <f>+R791</f>
        <v>0.9432470865927236</v>
      </c>
      <c r="J862" s="446"/>
      <c r="K862" s="453">
        <f>+E862*G862*I862</f>
        <v>167.40749292847659</v>
      </c>
      <c r="L862" s="243" t="s">
        <v>37</v>
      </c>
      <c r="M862" s="173"/>
      <c r="N862" s="68"/>
      <c r="O862" s="203"/>
      <c r="P862" s="218"/>
      <c r="Q862" s="68"/>
      <c r="T862" s="217"/>
    </row>
    <row r="863" spans="1:24" ht="30" customHeight="1" x14ac:dyDescent="0.35">
      <c r="A863" s="1183" t="s">
        <v>2804</v>
      </c>
      <c r="B863" s="1184"/>
      <c r="C863" s="1184"/>
      <c r="D863" s="1184"/>
      <c r="E863" s="453"/>
      <c r="F863" s="446"/>
      <c r="G863" s="519"/>
      <c r="H863" s="508"/>
      <c r="I863" s="446"/>
      <c r="J863" s="446" t="s">
        <v>362</v>
      </c>
      <c r="K863" s="453">
        <f>SUM(K856:K862)</f>
        <v>32477.079655617341</v>
      </c>
      <c r="L863" s="243" t="s">
        <v>37</v>
      </c>
      <c r="M863" s="173"/>
      <c r="N863" s="68"/>
      <c r="O863" s="203"/>
      <c r="P863" s="218"/>
      <c r="Q863" s="68"/>
      <c r="T863" s="217"/>
    </row>
    <row r="864" spans="1:24" ht="30" customHeight="1" thickBot="1" x14ac:dyDescent="0.4">
      <c r="A864" s="1183"/>
      <c r="B864" s="1184"/>
      <c r="C864" s="1184"/>
      <c r="D864" s="1184"/>
      <c r="E864" s="458"/>
      <c r="F864" s="458"/>
      <c r="G864" s="592" t="s">
        <v>2358</v>
      </c>
      <c r="H864" s="458"/>
      <c r="I864" s="458"/>
      <c r="J864" s="583">
        <f>VLOOKUP(B854,'Mil Cost Premiums for PUCs'!$A$4:$R$272,18,FALSE)</f>
        <v>1.0485669999999998</v>
      </c>
      <c r="K864" s="591">
        <f>+K863*J864</f>
        <v>34054.393983251699</v>
      </c>
      <c r="L864" s="243" t="s">
        <v>37</v>
      </c>
      <c r="M864" s="173"/>
      <c r="N864" s="68"/>
      <c r="O864" s="203"/>
      <c r="P864" s="218"/>
      <c r="Q864" s="68"/>
      <c r="T864" s="217"/>
    </row>
    <row r="865" spans="1:24" ht="30" customHeight="1" thickBot="1" x14ac:dyDescent="0.4">
      <c r="A865" s="1086"/>
      <c r="B865" s="1086"/>
      <c r="C865" s="1086"/>
      <c r="D865" s="1086"/>
      <c r="E865" s="1086"/>
      <c r="F865" s="1086"/>
      <c r="G865" s="1086"/>
      <c r="H865" s="1086"/>
      <c r="I865" s="1086"/>
      <c r="J865" s="1086"/>
      <c r="K865" s="1086"/>
      <c r="L865" s="1103"/>
      <c r="M865" s="173"/>
      <c r="N865" s="68"/>
      <c r="O865" s="203"/>
      <c r="P865" s="218"/>
      <c r="Q865" s="68"/>
      <c r="T865" s="217"/>
    </row>
    <row r="866" spans="1:24" ht="60" customHeight="1" x14ac:dyDescent="0.35">
      <c r="A866" s="465" t="s">
        <v>278</v>
      </c>
      <c r="B866" s="539">
        <v>1758</v>
      </c>
      <c r="C866" s="1017" t="s">
        <v>612</v>
      </c>
      <c r="D866" s="1017"/>
      <c r="E866" s="541" t="s">
        <v>280</v>
      </c>
      <c r="F866" s="542" t="s">
        <v>37</v>
      </c>
      <c r="G866" s="553" t="s">
        <v>2810</v>
      </c>
      <c r="H866" s="587">
        <v>10</v>
      </c>
      <c r="I866" s="541" t="s">
        <v>281</v>
      </c>
      <c r="J866" s="1019" t="s">
        <v>2843</v>
      </c>
      <c r="K866" s="1019"/>
      <c r="L866" s="1020"/>
      <c r="M866" s="173"/>
      <c r="N866" s="68"/>
      <c r="O866" s="203"/>
      <c r="P866" s="218"/>
      <c r="Q866" s="68"/>
      <c r="T866" s="217"/>
    </row>
    <row r="867" spans="1:24" ht="30" customHeight="1" x14ac:dyDescent="0.35">
      <c r="A867" s="545" t="s">
        <v>541</v>
      </c>
      <c r="B867" s="1038" t="s">
        <v>321</v>
      </c>
      <c r="C867" s="1038"/>
      <c r="D867" s="1038"/>
      <c r="E867" s="23" t="s">
        <v>290</v>
      </c>
      <c r="F867" s="23" t="s">
        <v>322</v>
      </c>
      <c r="G867" s="1034" t="s">
        <v>323</v>
      </c>
      <c r="H867" s="1034"/>
      <c r="I867" s="509" t="s">
        <v>299</v>
      </c>
      <c r="J867" s="201" t="s">
        <v>302</v>
      </c>
      <c r="K867" s="1012" t="s">
        <v>292</v>
      </c>
      <c r="L867" s="1023"/>
      <c r="M867" s="173"/>
      <c r="N867" s="68"/>
      <c r="O867" s="203"/>
      <c r="P867" s="218"/>
      <c r="Q867" s="68"/>
      <c r="T867" s="217"/>
      <c r="U867" s="208"/>
      <c r="V867" s="208"/>
      <c r="W867" s="208"/>
      <c r="X867" s="208"/>
    </row>
    <row r="868" spans="1:24" s="208" customFormat="1" ht="30" customHeight="1" x14ac:dyDescent="0.35">
      <c r="A868" s="545"/>
      <c r="B868" s="1059" t="s">
        <v>613</v>
      </c>
      <c r="C868" s="1059"/>
      <c r="D868" s="1059"/>
      <c r="E868" s="23"/>
      <c r="F868" s="23"/>
      <c r="G868" s="486"/>
      <c r="H868" s="487"/>
      <c r="I868" s="647"/>
      <c r="J868" s="647"/>
      <c r="K868" s="23"/>
      <c r="L868" s="715"/>
      <c r="M868" s="173"/>
      <c r="N868" s="68"/>
      <c r="O868" s="203"/>
      <c r="P868" s="218"/>
      <c r="Q868" s="68"/>
      <c r="R868" s="203"/>
      <c r="S868" s="203"/>
      <c r="T868" s="217"/>
      <c r="U868" s="203"/>
      <c r="V868" s="203"/>
      <c r="W868" s="203"/>
      <c r="X868" s="203"/>
    </row>
    <row r="869" spans="1:24" ht="30" customHeight="1" x14ac:dyDescent="0.35">
      <c r="A869" s="241" t="s">
        <v>493</v>
      </c>
      <c r="B869" s="1059" t="s">
        <v>614</v>
      </c>
      <c r="C869" s="1059"/>
      <c r="D869" s="1059"/>
      <c r="E869" s="680">
        <f>+P770</f>
        <v>9.6300000000000008</v>
      </c>
      <c r="F869" s="446" t="s">
        <v>8</v>
      </c>
      <c r="G869" s="716">
        <f>3*62</f>
        <v>186</v>
      </c>
      <c r="H869" s="655" t="s">
        <v>543</v>
      </c>
      <c r="I869" s="665">
        <f>+R770</f>
        <v>1.02</v>
      </c>
      <c r="J869" s="665">
        <f>+S770</f>
        <v>0.9907407407407407</v>
      </c>
      <c r="K869" s="453">
        <f t="shared" ref="K869:K879" si="20">+E869*G869*I869*J869</f>
        <v>1810.0869</v>
      </c>
      <c r="L869" s="243" t="s">
        <v>37</v>
      </c>
      <c r="M869" s="173"/>
      <c r="N869" s="68"/>
      <c r="O869" s="208"/>
      <c r="P869" s="218"/>
      <c r="Q869" s="68"/>
      <c r="R869" s="208"/>
      <c r="S869" s="208"/>
      <c r="T869" s="217"/>
    </row>
    <row r="870" spans="1:24" ht="30" customHeight="1" x14ac:dyDescent="0.35">
      <c r="A870" s="241" t="s">
        <v>493</v>
      </c>
      <c r="B870" s="1059" t="s">
        <v>615</v>
      </c>
      <c r="C870" s="1059"/>
      <c r="D870" s="1059"/>
      <c r="E870" s="680">
        <f>+P770</f>
        <v>9.6300000000000008</v>
      </c>
      <c r="F870" s="446" t="s">
        <v>8</v>
      </c>
      <c r="G870" s="716">
        <f>5*94</f>
        <v>470</v>
      </c>
      <c r="H870" s="655" t="s">
        <v>543</v>
      </c>
      <c r="I870" s="665">
        <f>+R770</f>
        <v>1.02</v>
      </c>
      <c r="J870" s="665">
        <f>+S770</f>
        <v>0.9907407407407407</v>
      </c>
      <c r="K870" s="453">
        <f t="shared" si="20"/>
        <v>4573.8755000000001</v>
      </c>
      <c r="L870" s="243" t="s">
        <v>37</v>
      </c>
      <c r="M870" s="173"/>
      <c r="N870" s="68"/>
      <c r="O870" s="203"/>
      <c r="P870" s="218"/>
      <c r="Q870" s="68"/>
      <c r="T870" s="217"/>
    </row>
    <row r="871" spans="1:24" ht="30" customHeight="1" x14ac:dyDescent="0.35">
      <c r="A871" s="241" t="s">
        <v>493</v>
      </c>
      <c r="B871" s="1059" t="s">
        <v>616</v>
      </c>
      <c r="C871" s="1059"/>
      <c r="D871" s="1059"/>
      <c r="E871" s="680">
        <f>+P773</f>
        <v>11.77</v>
      </c>
      <c r="F871" s="446" t="s">
        <v>8</v>
      </c>
      <c r="G871" s="716">
        <f>2*468</f>
        <v>936</v>
      </c>
      <c r="H871" s="655" t="s">
        <v>543</v>
      </c>
      <c r="I871" s="665">
        <f>+R773</f>
        <v>1.02</v>
      </c>
      <c r="J871" s="665">
        <f>+S773</f>
        <v>0.9907407407407407</v>
      </c>
      <c r="K871" s="453">
        <f t="shared" si="20"/>
        <v>11133.007599999999</v>
      </c>
      <c r="L871" s="243" t="s">
        <v>37</v>
      </c>
      <c r="M871" s="173"/>
      <c r="N871" s="68"/>
      <c r="O871" s="203"/>
      <c r="P871" s="218"/>
      <c r="Q871" s="68"/>
      <c r="T871" s="217"/>
    </row>
    <row r="872" spans="1:24" ht="30" customHeight="1" x14ac:dyDescent="0.35">
      <c r="A872" s="241" t="s">
        <v>449</v>
      </c>
      <c r="B872" s="1059" t="s">
        <v>617</v>
      </c>
      <c r="C872" s="1059"/>
      <c r="D872" s="1059"/>
      <c r="E872" s="680">
        <f>+P774</f>
        <v>19</v>
      </c>
      <c r="F872" s="446" t="s">
        <v>8</v>
      </c>
      <c r="G872" s="732">
        <f>80.7*2</f>
        <v>161.4</v>
      </c>
      <c r="H872" s="655" t="s">
        <v>543</v>
      </c>
      <c r="I872" s="665">
        <f>+R774</f>
        <v>1.05</v>
      </c>
      <c r="J872" s="665">
        <f>+S774</f>
        <v>0.9907407407407407</v>
      </c>
      <c r="K872" s="453">
        <f t="shared" si="20"/>
        <v>3190.1158333333328</v>
      </c>
      <c r="L872" s="243" t="s">
        <v>37</v>
      </c>
      <c r="M872" s="173"/>
      <c r="N872" s="68"/>
      <c r="O872" s="203"/>
      <c r="P872" s="218"/>
      <c r="Q872" s="68"/>
      <c r="T872" s="217"/>
    </row>
    <row r="873" spans="1:24" ht="30" customHeight="1" x14ac:dyDescent="0.35">
      <c r="A873" s="241" t="s">
        <v>544</v>
      </c>
      <c r="B873" s="1059" t="s">
        <v>574</v>
      </c>
      <c r="C873" s="1059"/>
      <c r="D873" s="1059"/>
      <c r="E873" s="680">
        <f>+P777</f>
        <v>862.5</v>
      </c>
      <c r="F873" s="639" t="s">
        <v>10</v>
      </c>
      <c r="G873" s="716">
        <v>12</v>
      </c>
      <c r="H873" s="655" t="s">
        <v>546</v>
      </c>
      <c r="I873" s="665">
        <f>+R777</f>
        <v>1.01</v>
      </c>
      <c r="J873" s="665">
        <f>+S777</f>
        <v>0.9907407407407407</v>
      </c>
      <c r="K873" s="453">
        <f t="shared" si="20"/>
        <v>10356.708333333332</v>
      </c>
      <c r="L873" s="243" t="s">
        <v>37</v>
      </c>
      <c r="M873" s="173"/>
      <c r="N873" s="68"/>
      <c r="O873" s="203"/>
      <c r="P873" s="218"/>
      <c r="Q873" s="68"/>
      <c r="T873" s="217"/>
    </row>
    <row r="874" spans="1:24" ht="30" customHeight="1" x14ac:dyDescent="0.35">
      <c r="A874" s="241" t="s">
        <v>436</v>
      </c>
      <c r="B874" s="1059" t="s">
        <v>579</v>
      </c>
      <c r="C874" s="1059"/>
      <c r="D874" s="1059"/>
      <c r="E874" s="680">
        <f>+P784</f>
        <v>18.324999999999999</v>
      </c>
      <c r="F874" s="639" t="s">
        <v>6</v>
      </c>
      <c r="G874" s="716">
        <f>2*50</f>
        <v>100</v>
      </c>
      <c r="H874" s="655" t="s">
        <v>552</v>
      </c>
      <c r="I874" s="665">
        <f>+R784</f>
        <v>1.02</v>
      </c>
      <c r="J874" s="665">
        <f>+S784</f>
        <v>0.9907407407407407</v>
      </c>
      <c r="K874" s="453">
        <f t="shared" si="20"/>
        <v>1851.8430555555556</v>
      </c>
      <c r="L874" s="243" t="s">
        <v>37</v>
      </c>
      <c r="M874" s="173"/>
      <c r="N874" s="68"/>
      <c r="O874" s="203"/>
      <c r="P874" s="218"/>
      <c r="Q874" s="68"/>
      <c r="T874" s="217"/>
    </row>
    <row r="875" spans="1:24" ht="30" customHeight="1" x14ac:dyDescent="0.35">
      <c r="A875" s="241" t="s">
        <v>436</v>
      </c>
      <c r="B875" s="1059" t="s">
        <v>602</v>
      </c>
      <c r="C875" s="1059"/>
      <c r="D875" s="1059"/>
      <c r="E875" s="680">
        <f>+P785</f>
        <v>2797.5</v>
      </c>
      <c r="F875" s="639" t="s">
        <v>10</v>
      </c>
      <c r="G875" s="716">
        <v>2</v>
      </c>
      <c r="H875" s="655" t="s">
        <v>559</v>
      </c>
      <c r="I875" s="665">
        <f>+R785</f>
        <v>1.02</v>
      </c>
      <c r="J875" s="665">
        <f>+S785</f>
        <v>0.9907407407407407</v>
      </c>
      <c r="K875" s="453">
        <f t="shared" si="20"/>
        <v>5654.0583333333334</v>
      </c>
      <c r="L875" s="243" t="s">
        <v>37</v>
      </c>
      <c r="M875" s="173"/>
      <c r="N875" s="68"/>
      <c r="O875" s="203"/>
      <c r="P875" s="218"/>
      <c r="Q875" s="68"/>
      <c r="T875" s="217"/>
    </row>
    <row r="876" spans="1:24" ht="30" customHeight="1" x14ac:dyDescent="0.35">
      <c r="A876" s="241" t="s">
        <v>544</v>
      </c>
      <c r="B876" s="1059" t="s">
        <v>618</v>
      </c>
      <c r="C876" s="1059"/>
      <c r="D876" s="1059"/>
      <c r="E876" s="680">
        <f>+P780</f>
        <v>1060</v>
      </c>
      <c r="F876" s="639" t="s">
        <v>10</v>
      </c>
      <c r="G876" s="716">
        <v>12</v>
      </c>
      <c r="H876" s="655" t="s">
        <v>546</v>
      </c>
      <c r="I876" s="665">
        <f t="shared" ref="I876:J878" si="21">+R780</f>
        <v>1.01</v>
      </c>
      <c r="J876" s="665">
        <f t="shared" si="21"/>
        <v>0.9907407407407407</v>
      </c>
      <c r="K876" s="453">
        <f t="shared" si="20"/>
        <v>12728.244444444445</v>
      </c>
      <c r="L876" s="243" t="s">
        <v>37</v>
      </c>
      <c r="M876" s="173"/>
      <c r="N876" s="68"/>
      <c r="O876" s="203"/>
      <c r="P876" s="218"/>
      <c r="Q876" s="68"/>
      <c r="T876" s="217"/>
    </row>
    <row r="877" spans="1:24" ht="30" customHeight="1" x14ac:dyDescent="0.35">
      <c r="A877" s="241" t="s">
        <v>548</v>
      </c>
      <c r="B877" s="1059" t="s">
        <v>619</v>
      </c>
      <c r="C877" s="1059"/>
      <c r="D877" s="1059"/>
      <c r="E877" s="680">
        <f>+P781</f>
        <v>148.79</v>
      </c>
      <c r="F877" s="639" t="s">
        <v>10</v>
      </c>
      <c r="G877" s="716">
        <f>5*12</f>
        <v>60</v>
      </c>
      <c r="H877" s="655" t="s">
        <v>546</v>
      </c>
      <c r="I877" s="665">
        <f t="shared" si="21"/>
        <v>1.01</v>
      </c>
      <c r="J877" s="665">
        <f t="shared" si="21"/>
        <v>0.9907407407407407</v>
      </c>
      <c r="K877" s="453">
        <f t="shared" si="20"/>
        <v>8933.1862777777769</v>
      </c>
      <c r="L877" s="243" t="s">
        <v>37</v>
      </c>
      <c r="M877" s="173"/>
      <c r="N877" s="68"/>
      <c r="O877" s="203"/>
      <c r="P877" s="218"/>
      <c r="Q877" s="68"/>
      <c r="T877" s="217"/>
    </row>
    <row r="878" spans="1:24" ht="30" customHeight="1" x14ac:dyDescent="0.35">
      <c r="A878" s="241" t="s">
        <v>550</v>
      </c>
      <c r="B878" s="1082" t="s">
        <v>620</v>
      </c>
      <c r="C878" s="1082"/>
      <c r="D878" s="1082"/>
      <c r="E878" s="680">
        <f>+P782</f>
        <v>18.47</v>
      </c>
      <c r="F878" s="639" t="s">
        <v>6</v>
      </c>
      <c r="G878" s="716">
        <v>2961</v>
      </c>
      <c r="H878" s="655" t="s">
        <v>552</v>
      </c>
      <c r="I878" s="665">
        <f t="shared" si="21"/>
        <v>1.01</v>
      </c>
      <c r="J878" s="665">
        <f t="shared" si="21"/>
        <v>0.9907407407407407</v>
      </c>
      <c r="K878" s="453">
        <f t="shared" si="20"/>
        <v>54725.117008333327</v>
      </c>
      <c r="L878" s="243" t="s">
        <v>37</v>
      </c>
      <c r="M878" s="173"/>
      <c r="N878" s="68"/>
      <c r="O878" s="203"/>
      <c r="P878" s="218"/>
      <c r="Q878" s="68"/>
      <c r="T878" s="217"/>
    </row>
    <row r="879" spans="1:24" ht="30" customHeight="1" x14ac:dyDescent="0.35">
      <c r="A879" s="241" t="s">
        <v>331</v>
      </c>
      <c r="B879" s="1082" t="s">
        <v>605</v>
      </c>
      <c r="C879" s="1082"/>
      <c r="D879" s="1082"/>
      <c r="E879" s="645">
        <f>+P775</f>
        <v>4.9550000000000001</v>
      </c>
      <c r="F879" s="639" t="s">
        <v>8</v>
      </c>
      <c r="G879" s="716">
        <f>32*9</f>
        <v>288</v>
      </c>
      <c r="H879" s="655" t="s">
        <v>543</v>
      </c>
      <c r="I879" s="665">
        <f>+R769</f>
        <v>1.03</v>
      </c>
      <c r="J879" s="665">
        <f>+S775</f>
        <v>0.9907407407407407</v>
      </c>
      <c r="K879" s="453">
        <f t="shared" si="20"/>
        <v>1456.2414666666666</v>
      </c>
      <c r="L879" s="243" t="s">
        <v>37</v>
      </c>
      <c r="M879" s="173"/>
      <c r="N879" s="68"/>
      <c r="O879" s="203"/>
      <c r="P879" s="218"/>
      <c r="Q879" s="68"/>
      <c r="T879" s="217"/>
    </row>
    <row r="880" spans="1:24" ht="30" customHeight="1" x14ac:dyDescent="0.35">
      <c r="A880" s="241">
        <v>93410</v>
      </c>
      <c r="B880" s="1082" t="s">
        <v>621</v>
      </c>
      <c r="C880" s="1082"/>
      <c r="D880" s="1082"/>
      <c r="E880" s="680">
        <f>+P791</f>
        <v>8.5</v>
      </c>
      <c r="F880" s="639" t="s">
        <v>283</v>
      </c>
      <c r="G880" s="732">
        <v>39.200000000000003</v>
      </c>
      <c r="H880" s="655" t="s">
        <v>554</v>
      </c>
      <c r="I880" s="731">
        <f>+R791</f>
        <v>0.9432470865927236</v>
      </c>
      <c r="J880" s="665"/>
      <c r="K880" s="453">
        <f>+E880*G880*I880</f>
        <v>314.28992925269557</v>
      </c>
      <c r="L880" s="243" t="s">
        <v>37</v>
      </c>
      <c r="M880" s="173"/>
      <c r="N880" s="68"/>
      <c r="O880" s="203"/>
      <c r="P880" s="218"/>
      <c r="Q880" s="68"/>
      <c r="T880" s="217"/>
    </row>
    <row r="881" spans="1:24" ht="30" customHeight="1" x14ac:dyDescent="0.35">
      <c r="A881" s="241">
        <v>93210</v>
      </c>
      <c r="B881" s="1082" t="s">
        <v>622</v>
      </c>
      <c r="C881" s="1082"/>
      <c r="D881" s="1082"/>
      <c r="E881" s="680">
        <f>+P793</f>
        <v>47.6</v>
      </c>
      <c r="F881" s="639" t="s">
        <v>283</v>
      </c>
      <c r="G881" s="732">
        <v>3.9</v>
      </c>
      <c r="H881" s="655" t="s">
        <v>554</v>
      </c>
      <c r="I881" s="731">
        <f>+R793</f>
        <v>0.9432470865927236</v>
      </c>
      <c r="J881" s="665"/>
      <c r="K881" s="453">
        <f>+E881*G881*I881</f>
        <v>175.10438915507322</v>
      </c>
      <c r="L881" s="243" t="s">
        <v>37</v>
      </c>
      <c r="M881" s="173"/>
      <c r="N881" s="68"/>
      <c r="O881" s="203"/>
      <c r="P881" s="218"/>
      <c r="Q881" s="68"/>
      <c r="T881" s="217"/>
    </row>
    <row r="882" spans="1:24" ht="30" customHeight="1" x14ac:dyDescent="0.35">
      <c r="A882" s="1183" t="s">
        <v>2804</v>
      </c>
      <c r="B882" s="1184"/>
      <c r="C882" s="1184"/>
      <c r="D882" s="1184"/>
      <c r="E882" s="453"/>
      <c r="F882" s="446"/>
      <c r="G882" s="519"/>
      <c r="H882" s="508"/>
      <c r="I882" s="446"/>
      <c r="J882" s="446" t="s">
        <v>362</v>
      </c>
      <c r="K882" s="453">
        <f>SUM(K869:K880)</f>
        <v>116726.77468203047</v>
      </c>
      <c r="L882" s="243" t="s">
        <v>37</v>
      </c>
      <c r="M882" s="173"/>
      <c r="N882" s="68"/>
      <c r="O882" s="203"/>
      <c r="P882" s="218"/>
      <c r="Q882" s="68"/>
      <c r="T882" s="217"/>
    </row>
    <row r="883" spans="1:24" ht="30" customHeight="1" thickBot="1" x14ac:dyDescent="0.4">
      <c r="A883" s="1183"/>
      <c r="B883" s="1184"/>
      <c r="C883" s="1184"/>
      <c r="D883" s="1184"/>
      <c r="E883" s="458"/>
      <c r="F883" s="458"/>
      <c r="G883" s="592" t="s">
        <v>2358</v>
      </c>
      <c r="H883" s="458"/>
      <c r="I883" s="458"/>
      <c r="J883" s="583">
        <f>VLOOKUP(B866,'Mil Cost Premiums for PUCs'!$A$4:$R$272,18,FALSE)</f>
        <v>1.0485669999999998</v>
      </c>
      <c r="K883" s="591">
        <f>+K882*J883</f>
        <v>122395.84394801263</v>
      </c>
      <c r="L883" s="243" t="s">
        <v>37</v>
      </c>
      <c r="M883" s="173"/>
      <c r="N883" s="68"/>
      <c r="O883" s="203"/>
      <c r="P883" s="218"/>
      <c r="Q883" s="68"/>
      <c r="T883" s="217"/>
    </row>
    <row r="884" spans="1:24" ht="30" customHeight="1" thickBot="1" x14ac:dyDescent="0.4">
      <c r="A884" s="1086"/>
      <c r="B884" s="1086"/>
      <c r="C884" s="1086"/>
      <c r="D884" s="1086"/>
      <c r="E884" s="1086"/>
      <c r="F884" s="1086"/>
      <c r="G884" s="1086"/>
      <c r="H884" s="1086"/>
      <c r="I884" s="1086"/>
      <c r="J884" s="1086"/>
      <c r="K884" s="1086"/>
      <c r="L884" s="1103"/>
      <c r="M884" s="173"/>
      <c r="N884" s="68"/>
      <c r="O884" s="203"/>
      <c r="P884" s="218"/>
      <c r="Q884" s="68"/>
      <c r="T884" s="217"/>
    </row>
    <row r="885" spans="1:24" ht="60" customHeight="1" x14ac:dyDescent="0.35">
      <c r="A885" s="465" t="s">
        <v>278</v>
      </c>
      <c r="B885" s="539">
        <v>1760</v>
      </c>
      <c r="C885" s="1017" t="s">
        <v>623</v>
      </c>
      <c r="D885" s="1017"/>
      <c r="E885" s="541" t="s">
        <v>280</v>
      </c>
      <c r="F885" s="542" t="s">
        <v>37</v>
      </c>
      <c r="G885" s="554" t="s">
        <v>2366</v>
      </c>
      <c r="H885" s="587">
        <v>4</v>
      </c>
      <c r="I885" s="541" t="s">
        <v>281</v>
      </c>
      <c r="J885" s="1019" t="s">
        <v>2843</v>
      </c>
      <c r="K885" s="1019"/>
      <c r="L885" s="1020"/>
      <c r="M885" s="173"/>
      <c r="N885" s="68"/>
      <c r="O885" s="203"/>
      <c r="P885" s="218"/>
      <c r="Q885" s="68"/>
      <c r="T885" s="217"/>
    </row>
    <row r="886" spans="1:24" ht="30" customHeight="1" x14ac:dyDescent="0.35">
      <c r="A886" s="545" t="s">
        <v>541</v>
      </c>
      <c r="B886" s="1038" t="s">
        <v>321</v>
      </c>
      <c r="C886" s="1038"/>
      <c r="D886" s="1038"/>
      <c r="E886" s="23" t="s">
        <v>290</v>
      </c>
      <c r="F886" s="23" t="s">
        <v>322</v>
      </c>
      <c r="G886" s="1034" t="s">
        <v>323</v>
      </c>
      <c r="H886" s="1034"/>
      <c r="I886" s="201" t="s">
        <v>299</v>
      </c>
      <c r="J886" s="201"/>
      <c r="K886" s="1012" t="s">
        <v>292</v>
      </c>
      <c r="L886" s="1023"/>
      <c r="M886" s="173"/>
      <c r="N886" s="68"/>
      <c r="O886" s="203"/>
      <c r="P886" s="218"/>
      <c r="Q886" s="68"/>
      <c r="T886" s="217"/>
      <c r="U886" s="208"/>
      <c r="V886" s="208"/>
      <c r="W886" s="208"/>
      <c r="X886" s="208"/>
    </row>
    <row r="887" spans="1:24" s="208" customFormat="1" ht="30" customHeight="1" x14ac:dyDescent="0.35">
      <c r="A887" s="241">
        <v>85110</v>
      </c>
      <c r="B887" s="1082" t="s">
        <v>624</v>
      </c>
      <c r="C887" s="1082"/>
      <c r="D887" s="1082"/>
      <c r="E887" s="680">
        <f>+P794/9</f>
        <v>8</v>
      </c>
      <c r="F887" s="446" t="s">
        <v>8</v>
      </c>
      <c r="G887" s="716">
        <v>481</v>
      </c>
      <c r="H887" s="655" t="s">
        <v>543</v>
      </c>
      <c r="I887" s="731">
        <f>+R790</f>
        <v>0.9432470865927236</v>
      </c>
      <c r="J887" s="665"/>
      <c r="K887" s="453">
        <f>+E887*G887*I887</f>
        <v>3629.6147892088006</v>
      </c>
      <c r="L887" s="243" t="s">
        <v>37</v>
      </c>
      <c r="M887" s="173"/>
      <c r="N887" s="68"/>
      <c r="O887" s="203"/>
      <c r="P887" s="218"/>
      <c r="Q887" s="68"/>
      <c r="R887" s="203"/>
      <c r="S887" s="203"/>
      <c r="T887" s="217"/>
      <c r="U887" s="203"/>
      <c r="V887" s="203"/>
      <c r="W887" s="203"/>
      <c r="X887" s="203"/>
    </row>
    <row r="888" spans="1:24" ht="30" customHeight="1" x14ac:dyDescent="0.35">
      <c r="A888" s="241">
        <v>93410</v>
      </c>
      <c r="B888" s="1082" t="s">
        <v>625</v>
      </c>
      <c r="C888" s="1082"/>
      <c r="D888" s="1082"/>
      <c r="E888" s="680">
        <f>+P791</f>
        <v>8.5</v>
      </c>
      <c r="F888" s="639" t="s">
        <v>283</v>
      </c>
      <c r="G888" s="716">
        <f>1936/4</f>
        <v>484</v>
      </c>
      <c r="H888" s="655" t="s">
        <v>554</v>
      </c>
      <c r="I888" s="731">
        <f>+R791</f>
        <v>0.9432470865927236</v>
      </c>
      <c r="J888" s="446"/>
      <c r="K888" s="453">
        <f>+E888*G888*I888</f>
        <v>3880.5185142424648</v>
      </c>
      <c r="L888" s="243" t="s">
        <v>37</v>
      </c>
      <c r="M888" s="173"/>
      <c r="N888" s="68"/>
      <c r="O888" s="208"/>
      <c r="P888" s="218"/>
      <c r="Q888" s="68"/>
      <c r="R888" s="208"/>
      <c r="S888" s="208"/>
      <c r="T888" s="217"/>
    </row>
    <row r="889" spans="1:24" ht="30" customHeight="1" x14ac:dyDescent="0.35">
      <c r="A889" s="241">
        <v>93210</v>
      </c>
      <c r="B889" s="1082" t="s">
        <v>626</v>
      </c>
      <c r="C889" s="1082"/>
      <c r="D889" s="1082"/>
      <c r="E889" s="680">
        <f>+P793</f>
        <v>47.6</v>
      </c>
      <c r="F889" s="639" t="s">
        <v>283</v>
      </c>
      <c r="G889" s="716">
        <f>327/4</f>
        <v>81.75</v>
      </c>
      <c r="H889" s="655" t="s">
        <v>554</v>
      </c>
      <c r="I889" s="731">
        <f>+R793</f>
        <v>0.9432470865927236</v>
      </c>
      <c r="J889" s="446"/>
      <c r="K889" s="453">
        <f>+E889*G889*I889</f>
        <v>3670.4573880582657</v>
      </c>
      <c r="L889" s="243" t="s">
        <v>37</v>
      </c>
      <c r="M889" s="173"/>
      <c r="N889" s="68"/>
      <c r="O889" s="203"/>
      <c r="P889" s="218"/>
      <c r="Q889" s="68"/>
      <c r="T889" s="217"/>
    </row>
    <row r="890" spans="1:24" ht="30" customHeight="1" x14ac:dyDescent="0.35">
      <c r="A890" s="1183" t="s">
        <v>2804</v>
      </c>
      <c r="B890" s="1184"/>
      <c r="C890" s="1184"/>
      <c r="D890" s="1184"/>
      <c r="E890" s="453"/>
      <c r="F890" s="446"/>
      <c r="G890" s="519"/>
      <c r="H890" s="508"/>
      <c r="I890" s="446"/>
      <c r="J890" s="446" t="s">
        <v>362</v>
      </c>
      <c r="K890" s="453">
        <f>SUM(K887:K889)</f>
        <v>11180.590691509531</v>
      </c>
      <c r="L890" s="243" t="s">
        <v>37</v>
      </c>
      <c r="M890" s="173"/>
      <c r="N890" s="68"/>
      <c r="O890" s="203"/>
      <c r="P890" s="218"/>
      <c r="Q890" s="68"/>
      <c r="T890" s="217"/>
    </row>
    <row r="891" spans="1:24" ht="30" customHeight="1" thickBot="1" x14ac:dyDescent="0.4">
      <c r="A891" s="1183"/>
      <c r="B891" s="1184"/>
      <c r="C891" s="1184"/>
      <c r="D891" s="1184"/>
      <c r="E891" s="458"/>
      <c r="F891" s="458"/>
      <c r="G891" s="592" t="s">
        <v>2358</v>
      </c>
      <c r="H891" s="458"/>
      <c r="I891" s="458"/>
      <c r="J891" s="583">
        <f>VLOOKUP(B885,'Mil Cost Premiums for PUCs'!$A$4:$R$272,18,FALSE)</f>
        <v>1.0485669999999998</v>
      </c>
      <c r="K891" s="591">
        <f>+K890*J891</f>
        <v>11723.598439624073</v>
      </c>
      <c r="L891" s="243" t="s">
        <v>37</v>
      </c>
      <c r="M891" s="173"/>
      <c r="N891" s="68"/>
      <c r="O891" s="203"/>
      <c r="P891" s="218"/>
      <c r="Q891" s="68"/>
      <c r="T891" s="217"/>
    </row>
    <row r="892" spans="1:24" ht="30" customHeight="1" thickBot="1" x14ac:dyDescent="0.4">
      <c r="A892" s="1086"/>
      <c r="B892" s="1086"/>
      <c r="C892" s="1086"/>
      <c r="D892" s="1086"/>
      <c r="E892" s="1086"/>
      <c r="F892" s="1086"/>
      <c r="G892" s="1086"/>
      <c r="H892" s="1086"/>
      <c r="I892" s="1086"/>
      <c r="J892" s="1086"/>
      <c r="K892" s="1086"/>
      <c r="L892" s="1103"/>
      <c r="M892" s="173"/>
      <c r="N892" s="68"/>
      <c r="O892" s="203"/>
      <c r="P892" s="218"/>
      <c r="Q892" s="68"/>
      <c r="T892" s="217"/>
    </row>
    <row r="893" spans="1:24" ht="60" customHeight="1" x14ac:dyDescent="0.35">
      <c r="A893" s="465" t="s">
        <v>278</v>
      </c>
      <c r="B893" s="539">
        <v>1761</v>
      </c>
      <c r="C893" s="1017" t="s">
        <v>627</v>
      </c>
      <c r="D893" s="1017"/>
      <c r="E893" s="541" t="s">
        <v>280</v>
      </c>
      <c r="F893" s="542" t="s">
        <v>37</v>
      </c>
      <c r="G893" s="554" t="s">
        <v>2366</v>
      </c>
      <c r="H893" s="587">
        <v>4</v>
      </c>
      <c r="I893" s="541" t="s">
        <v>281</v>
      </c>
      <c r="J893" s="1019" t="s">
        <v>2843</v>
      </c>
      <c r="K893" s="1019"/>
      <c r="L893" s="1020"/>
      <c r="M893" s="173"/>
      <c r="N893" s="68"/>
      <c r="O893" s="203"/>
      <c r="P893" s="218"/>
      <c r="Q893" s="68"/>
      <c r="T893" s="217"/>
    </row>
    <row r="894" spans="1:24" ht="30" customHeight="1" x14ac:dyDescent="0.35">
      <c r="A894" s="545" t="s">
        <v>541</v>
      </c>
      <c r="B894" s="1038" t="s">
        <v>321</v>
      </c>
      <c r="C894" s="1038"/>
      <c r="D894" s="1038"/>
      <c r="E894" s="23" t="s">
        <v>290</v>
      </c>
      <c r="F894" s="23" t="s">
        <v>322</v>
      </c>
      <c r="G894" s="1034" t="s">
        <v>323</v>
      </c>
      <c r="H894" s="1034"/>
      <c r="I894" s="201" t="s">
        <v>299</v>
      </c>
      <c r="J894" s="201" t="s">
        <v>302</v>
      </c>
      <c r="K894" s="1012" t="s">
        <v>292</v>
      </c>
      <c r="L894" s="1023"/>
      <c r="M894" s="173"/>
      <c r="N894" s="68"/>
      <c r="O894" s="203"/>
      <c r="P894" s="218"/>
      <c r="Q894" s="68"/>
      <c r="T894" s="217"/>
      <c r="U894" s="208"/>
      <c r="V894" s="208"/>
      <c r="W894" s="208"/>
      <c r="X894" s="208"/>
    </row>
    <row r="895" spans="1:24" s="208" customFormat="1" ht="30" customHeight="1" x14ac:dyDescent="0.35">
      <c r="A895" s="241" t="s">
        <v>331</v>
      </c>
      <c r="B895" s="1082" t="s">
        <v>568</v>
      </c>
      <c r="C895" s="1082"/>
      <c r="D895" s="1082"/>
      <c r="E895" s="645">
        <f>+P769</f>
        <v>3269</v>
      </c>
      <c r="F895" s="639" t="s">
        <v>10</v>
      </c>
      <c r="G895" s="727"/>
      <c r="H895" s="655"/>
      <c r="I895" s="446">
        <f>+R769</f>
        <v>1.03</v>
      </c>
      <c r="J895" s="665">
        <v>1.06</v>
      </c>
      <c r="K895" s="453">
        <f>+E895*J895*I895</f>
        <v>3569.0942000000005</v>
      </c>
      <c r="L895" s="243" t="s">
        <v>37</v>
      </c>
      <c r="M895" s="173"/>
      <c r="N895" s="68"/>
      <c r="O895" s="203"/>
      <c r="P895" s="218"/>
      <c r="Q895" s="68"/>
      <c r="R895" s="203"/>
      <c r="S895" s="203"/>
      <c r="T895" s="217"/>
      <c r="U895" s="203"/>
      <c r="V895" s="203"/>
      <c r="W895" s="203"/>
      <c r="X895" s="203"/>
    </row>
    <row r="896" spans="1:24" ht="30" customHeight="1" x14ac:dyDescent="0.35">
      <c r="A896" s="241">
        <v>93410</v>
      </c>
      <c r="B896" s="1082" t="s">
        <v>628</v>
      </c>
      <c r="C896" s="1082"/>
      <c r="D896" s="1082"/>
      <c r="E896" s="680">
        <f>+P791</f>
        <v>8.5</v>
      </c>
      <c r="F896" s="639" t="s">
        <v>283</v>
      </c>
      <c r="G896" s="716">
        <f>2.6*4</f>
        <v>10.4</v>
      </c>
      <c r="H896" s="655" t="s">
        <v>554</v>
      </c>
      <c r="I896" s="731">
        <f>+R791</f>
        <v>0.9432470865927236</v>
      </c>
      <c r="J896" s="446"/>
      <c r="K896" s="453">
        <f>+E896*G896*I896</f>
        <v>83.383042454796765</v>
      </c>
      <c r="L896" s="243" t="s">
        <v>37</v>
      </c>
      <c r="M896" s="173"/>
      <c r="N896" s="68"/>
      <c r="O896" s="208"/>
      <c r="P896" s="218"/>
      <c r="Q896" s="68"/>
      <c r="R896" s="208"/>
      <c r="S896" s="208"/>
      <c r="T896" s="217"/>
    </row>
    <row r="897" spans="1:24" ht="30" customHeight="1" x14ac:dyDescent="0.35">
      <c r="A897" s="241">
        <v>93410</v>
      </c>
      <c r="B897" s="1082" t="s">
        <v>629</v>
      </c>
      <c r="C897" s="1082"/>
      <c r="D897" s="1082"/>
      <c r="E897" s="680">
        <f>+P791</f>
        <v>8.5</v>
      </c>
      <c r="F897" s="639" t="s">
        <v>283</v>
      </c>
      <c r="G897" s="716">
        <v>26</v>
      </c>
      <c r="H897" s="655" t="s">
        <v>554</v>
      </c>
      <c r="I897" s="731">
        <f>+R791</f>
        <v>0.9432470865927236</v>
      </c>
      <c r="J897" s="446"/>
      <c r="K897" s="453">
        <f>+E897*G897*I897</f>
        <v>208.45760613699193</v>
      </c>
      <c r="L897" s="243" t="s">
        <v>37</v>
      </c>
      <c r="M897" s="173"/>
      <c r="N897" s="68"/>
      <c r="O897" s="203"/>
      <c r="P897" s="218"/>
      <c r="Q897" s="68"/>
      <c r="T897" s="217"/>
    </row>
    <row r="898" spans="1:24" ht="30" customHeight="1" x14ac:dyDescent="0.35">
      <c r="A898" s="241">
        <v>93210</v>
      </c>
      <c r="B898" s="1082" t="s">
        <v>630</v>
      </c>
      <c r="C898" s="1082"/>
      <c r="D898" s="1082"/>
      <c r="E898" s="680">
        <f>+P793</f>
        <v>47.6</v>
      </c>
      <c r="F898" s="639" t="s">
        <v>283</v>
      </c>
      <c r="G898" s="716">
        <v>26</v>
      </c>
      <c r="H898" s="655" t="s">
        <v>554</v>
      </c>
      <c r="I898" s="731">
        <f>+R793</f>
        <v>0.9432470865927236</v>
      </c>
      <c r="J898" s="446"/>
      <c r="K898" s="453">
        <f>+E898*G898*I898</f>
        <v>1167.3625943671548</v>
      </c>
      <c r="L898" s="243" t="s">
        <v>37</v>
      </c>
      <c r="M898" s="173"/>
      <c r="N898" s="68"/>
      <c r="O898" s="203"/>
      <c r="P898" s="218"/>
      <c r="Q898" s="68"/>
      <c r="T898" s="217"/>
    </row>
    <row r="899" spans="1:24" ht="30" customHeight="1" x14ac:dyDescent="0.35">
      <c r="A899" s="1183" t="s">
        <v>2804</v>
      </c>
      <c r="B899" s="1184"/>
      <c r="C899" s="1184"/>
      <c r="D899" s="1184"/>
      <c r="E899" s="453"/>
      <c r="F899" s="446"/>
      <c r="G899" s="519"/>
      <c r="H899" s="508"/>
      <c r="I899" s="446"/>
      <c r="J899" s="446" t="s">
        <v>362</v>
      </c>
      <c r="K899" s="453">
        <f>SUM(K895:K898)</f>
        <v>5028.297442958944</v>
      </c>
      <c r="L899" s="243" t="s">
        <v>37</v>
      </c>
      <c r="M899" s="173"/>
      <c r="N899" s="68"/>
      <c r="O899" s="203"/>
      <c r="P899" s="218"/>
      <c r="Q899" s="68"/>
      <c r="T899" s="217"/>
    </row>
    <row r="900" spans="1:24" ht="30" customHeight="1" thickBot="1" x14ac:dyDescent="0.4">
      <c r="A900" s="1183"/>
      <c r="B900" s="1184"/>
      <c r="C900" s="1184"/>
      <c r="D900" s="1184"/>
      <c r="E900" s="458"/>
      <c r="F900" s="458"/>
      <c r="G900" s="592" t="s">
        <v>2358</v>
      </c>
      <c r="H900" s="458"/>
      <c r="I900" s="458"/>
      <c r="J900" s="583">
        <f>VLOOKUP(B893,'Mil Cost Premiums for PUCs'!$A$4:$R$272,18,FALSE)</f>
        <v>1.0485669999999998</v>
      </c>
      <c r="K900" s="591">
        <f>+K899*J900</f>
        <v>5272.5067648711301</v>
      </c>
      <c r="L900" s="243" t="s">
        <v>37</v>
      </c>
      <c r="M900" s="173"/>
      <c r="N900" s="68"/>
      <c r="O900" s="203"/>
      <c r="P900" s="218"/>
      <c r="Q900" s="68"/>
      <c r="T900" s="217"/>
    </row>
    <row r="901" spans="1:24" ht="30" customHeight="1" thickBot="1" x14ac:dyDescent="0.4">
      <c r="A901" s="1086"/>
      <c r="B901" s="1086"/>
      <c r="C901" s="1086"/>
      <c r="D901" s="1086"/>
      <c r="E901" s="1086"/>
      <c r="F901" s="1086"/>
      <c r="G901" s="1086"/>
      <c r="H901" s="1086"/>
      <c r="I901" s="1086"/>
      <c r="J901" s="1086"/>
      <c r="K901" s="1086"/>
      <c r="L901" s="1103"/>
      <c r="M901" s="173"/>
      <c r="N901" s="68"/>
      <c r="O901" s="203"/>
      <c r="P901" s="218"/>
      <c r="Q901" s="68"/>
      <c r="T901" s="217"/>
    </row>
    <row r="902" spans="1:24" ht="60" customHeight="1" x14ac:dyDescent="0.35">
      <c r="A902" s="465" t="s">
        <v>278</v>
      </c>
      <c r="B902" s="539">
        <v>1762</v>
      </c>
      <c r="C902" s="1096" t="s">
        <v>631</v>
      </c>
      <c r="D902" s="1096"/>
      <c r="E902" s="541" t="s">
        <v>280</v>
      </c>
      <c r="F902" s="542" t="s">
        <v>49</v>
      </c>
      <c r="G902" s="554" t="s">
        <v>2366</v>
      </c>
      <c r="H902" s="587">
        <v>2</v>
      </c>
      <c r="I902" s="541" t="s">
        <v>281</v>
      </c>
      <c r="J902" s="1019" t="s">
        <v>2843</v>
      </c>
      <c r="K902" s="1019"/>
      <c r="L902" s="1020"/>
      <c r="M902" s="173"/>
      <c r="N902" s="68"/>
      <c r="O902" s="203"/>
      <c r="P902" s="218"/>
      <c r="Q902" s="68"/>
      <c r="T902" s="217"/>
    </row>
    <row r="903" spans="1:24" ht="30" customHeight="1" x14ac:dyDescent="0.35">
      <c r="A903" s="545" t="s">
        <v>288</v>
      </c>
      <c r="B903" s="1038" t="s">
        <v>321</v>
      </c>
      <c r="C903" s="1038"/>
      <c r="D903" s="1038"/>
      <c r="E903" s="23" t="s">
        <v>290</v>
      </c>
      <c r="F903" s="23" t="s">
        <v>322</v>
      </c>
      <c r="G903" s="1034" t="s">
        <v>323</v>
      </c>
      <c r="H903" s="1034"/>
      <c r="I903" s="201" t="s">
        <v>299</v>
      </c>
      <c r="J903" s="201"/>
      <c r="K903" s="1012" t="s">
        <v>292</v>
      </c>
      <c r="L903" s="1023"/>
      <c r="M903" s="173"/>
      <c r="N903" s="68"/>
      <c r="O903" s="203"/>
      <c r="P903" s="218"/>
      <c r="Q903" s="68"/>
      <c r="T903" s="217"/>
      <c r="U903" s="208"/>
      <c r="V903" s="208"/>
      <c r="W903" s="208"/>
      <c r="X903" s="208"/>
    </row>
    <row r="904" spans="1:24" s="208" customFormat="1" ht="30" customHeight="1" x14ac:dyDescent="0.35">
      <c r="A904" s="241">
        <v>85110</v>
      </c>
      <c r="B904" s="1082" t="s">
        <v>632</v>
      </c>
      <c r="C904" s="1082"/>
      <c r="D904" s="1082"/>
      <c r="E904" s="680">
        <f>+P790/9</f>
        <v>6.666666666666667</v>
      </c>
      <c r="F904" s="446" t="s">
        <v>8</v>
      </c>
      <c r="G904" s="716">
        <v>128</v>
      </c>
      <c r="H904" s="655" t="s">
        <v>633</v>
      </c>
      <c r="I904" s="731">
        <f>+'2021 MILCON Inflation Table'!F17</f>
        <v>1</v>
      </c>
      <c r="J904" s="446"/>
      <c r="K904" s="453">
        <f>+E904*G904*I904</f>
        <v>853.33333333333337</v>
      </c>
      <c r="L904" s="243" t="s">
        <v>49</v>
      </c>
      <c r="M904" s="173"/>
      <c r="N904" s="68"/>
      <c r="O904" s="203"/>
      <c r="P904" s="218"/>
      <c r="Q904" s="68"/>
      <c r="R904" s="203"/>
      <c r="S904" s="203"/>
      <c r="T904" s="217"/>
      <c r="U904" s="203"/>
      <c r="V904" s="203"/>
      <c r="W904" s="203"/>
      <c r="X904" s="203"/>
    </row>
    <row r="905" spans="1:24" ht="30" customHeight="1" x14ac:dyDescent="0.35">
      <c r="A905" s="241">
        <v>93410</v>
      </c>
      <c r="B905" s="1082" t="s">
        <v>634</v>
      </c>
      <c r="C905" s="1082"/>
      <c r="D905" s="1082"/>
      <c r="E905" s="680">
        <f>+P791</f>
        <v>8.5</v>
      </c>
      <c r="F905" s="639" t="s">
        <v>283</v>
      </c>
      <c r="G905" s="716">
        <v>52</v>
      </c>
      <c r="H905" s="655" t="s">
        <v>635</v>
      </c>
      <c r="I905" s="731">
        <f>+'2021 MILCON Inflation Table'!F17</f>
        <v>1</v>
      </c>
      <c r="J905" s="446"/>
      <c r="K905" s="453">
        <f>+E905*G905*I905</f>
        <v>442</v>
      </c>
      <c r="L905" s="243" t="s">
        <v>49</v>
      </c>
      <c r="M905" s="173"/>
      <c r="N905" s="68"/>
      <c r="O905" s="208"/>
      <c r="P905" s="218"/>
      <c r="Q905" s="68"/>
      <c r="R905" s="208"/>
      <c r="S905" s="208"/>
      <c r="T905" s="217"/>
    </row>
    <row r="906" spans="1:24" ht="30" customHeight="1" x14ac:dyDescent="0.35">
      <c r="A906" s="241">
        <v>93210</v>
      </c>
      <c r="B906" s="1082" t="s">
        <v>636</v>
      </c>
      <c r="C906" s="1082"/>
      <c r="D906" s="1082"/>
      <c r="E906" s="680">
        <f>+P793</f>
        <v>47.6</v>
      </c>
      <c r="F906" s="639" t="s">
        <v>283</v>
      </c>
      <c r="G906" s="716">
        <v>20</v>
      </c>
      <c r="H906" s="655" t="s">
        <v>635</v>
      </c>
      <c r="I906" s="731">
        <f>+'2021 MILCON Inflation Table'!F17</f>
        <v>1</v>
      </c>
      <c r="J906" s="446"/>
      <c r="K906" s="453">
        <f>+E906*G906*I906</f>
        <v>952</v>
      </c>
      <c r="L906" s="243" t="s">
        <v>49</v>
      </c>
      <c r="M906" s="173"/>
      <c r="N906" s="68"/>
      <c r="O906" s="203"/>
      <c r="P906" s="218"/>
      <c r="Q906" s="68"/>
      <c r="T906" s="217"/>
    </row>
    <row r="907" spans="1:24" ht="30" customHeight="1" x14ac:dyDescent="0.35">
      <c r="A907" s="1183" t="s">
        <v>2804</v>
      </c>
      <c r="B907" s="1184"/>
      <c r="C907" s="1184"/>
      <c r="D907" s="1184"/>
      <c r="E907" s="453"/>
      <c r="F907" s="446"/>
      <c r="G907" s="519"/>
      <c r="H907" s="508"/>
      <c r="I907" s="446"/>
      <c r="J907" s="446" t="s">
        <v>362</v>
      </c>
      <c r="K907" s="453">
        <f>SUM(K904:K906)</f>
        <v>2247.3333333333335</v>
      </c>
      <c r="L907" s="243" t="s">
        <v>49</v>
      </c>
      <c r="M907" s="173"/>
      <c r="N907" s="68"/>
      <c r="O907" s="203"/>
      <c r="P907" s="218"/>
      <c r="Q907" s="68"/>
      <c r="T907" s="217"/>
    </row>
    <row r="908" spans="1:24" ht="30" customHeight="1" x14ac:dyDescent="0.35">
      <c r="A908" s="1183"/>
      <c r="B908" s="1184"/>
      <c r="C908" s="1184"/>
      <c r="D908" s="1184"/>
      <c r="E908" s="458"/>
      <c r="F908" s="458"/>
      <c r="G908" s="458"/>
      <c r="H908" s="458"/>
      <c r="I908" s="458"/>
      <c r="J908" s="446" t="s">
        <v>2356</v>
      </c>
      <c r="K908" s="591">
        <f>+K907</f>
        <v>2247.3333333333335</v>
      </c>
      <c r="L908" s="243" t="s">
        <v>49</v>
      </c>
      <c r="M908" s="173"/>
      <c r="N908" s="68"/>
      <c r="O908" s="203"/>
      <c r="P908" s="218"/>
      <c r="Q908" s="68"/>
      <c r="T908" s="217"/>
    </row>
    <row r="909" spans="1:24" ht="30" customHeight="1" x14ac:dyDescent="0.35">
      <c r="A909" s="1136" t="s">
        <v>306</v>
      </c>
      <c r="B909" s="1137"/>
      <c r="C909" s="1137"/>
      <c r="D909" s="1067" t="s">
        <v>637</v>
      </c>
      <c r="E909" s="1067"/>
      <c r="F909" s="1067"/>
      <c r="G909" s="1067"/>
      <c r="H909" s="1067"/>
      <c r="I909" s="1067"/>
      <c r="J909" s="1067"/>
      <c r="K909" s="1067"/>
      <c r="L909" s="1126"/>
      <c r="M909" s="173"/>
      <c r="N909" s="68"/>
      <c r="O909" s="203"/>
      <c r="P909" s="218"/>
      <c r="Q909" s="68"/>
      <c r="T909" s="217"/>
    </row>
    <row r="910" spans="1:24" ht="30" customHeight="1" x14ac:dyDescent="0.35">
      <c r="A910" s="1136" t="s">
        <v>307</v>
      </c>
      <c r="B910" s="1137"/>
      <c r="C910" s="1137"/>
      <c r="D910" s="1067" t="s">
        <v>638</v>
      </c>
      <c r="E910" s="1067"/>
      <c r="F910" s="1067"/>
      <c r="G910" s="1067"/>
      <c r="H910" s="1067"/>
      <c r="I910" s="1067"/>
      <c r="J910" s="1067"/>
      <c r="K910" s="1067"/>
      <c r="L910" s="1126"/>
      <c r="M910" s="173"/>
      <c r="N910" s="68"/>
      <c r="O910" s="203"/>
      <c r="P910" s="218"/>
      <c r="Q910" s="68"/>
      <c r="T910" s="217"/>
    </row>
    <row r="911" spans="1:24" ht="45" customHeight="1" x14ac:dyDescent="0.35">
      <c r="A911" s="1136" t="s">
        <v>308</v>
      </c>
      <c r="B911" s="1137"/>
      <c r="C911" s="1137"/>
      <c r="D911" s="1067" t="s">
        <v>2189</v>
      </c>
      <c r="E911" s="1067"/>
      <c r="F911" s="1067"/>
      <c r="G911" s="1067"/>
      <c r="H911" s="1067"/>
      <c r="I911" s="1067"/>
      <c r="J911" s="1067"/>
      <c r="K911" s="1067"/>
      <c r="L911" s="1126"/>
      <c r="M911" s="173"/>
      <c r="N911" s="68"/>
      <c r="O911" s="203"/>
      <c r="P911" s="218"/>
      <c r="Q911" s="68"/>
      <c r="T911" s="217"/>
    </row>
    <row r="912" spans="1:24" ht="30" customHeight="1" x14ac:dyDescent="0.35">
      <c r="A912" s="1136" t="s">
        <v>309</v>
      </c>
      <c r="B912" s="1137"/>
      <c r="C912" s="1137"/>
      <c r="D912" s="1067" t="s">
        <v>639</v>
      </c>
      <c r="E912" s="1067"/>
      <c r="F912" s="1067"/>
      <c r="G912" s="1067"/>
      <c r="H912" s="1067"/>
      <c r="I912" s="1067"/>
      <c r="J912" s="1067"/>
      <c r="K912" s="1067"/>
      <c r="L912" s="1126"/>
      <c r="M912" s="173"/>
      <c r="N912" s="68"/>
      <c r="O912" s="203"/>
      <c r="P912" s="218"/>
      <c r="Q912" s="68"/>
      <c r="T912" s="217"/>
    </row>
    <row r="913" spans="1:24" ht="30" customHeight="1" x14ac:dyDescent="0.35">
      <c r="A913" s="1136" t="s">
        <v>311</v>
      </c>
      <c r="B913" s="1137"/>
      <c r="C913" s="1137"/>
      <c r="D913" s="1067" t="s">
        <v>640</v>
      </c>
      <c r="E913" s="1067"/>
      <c r="F913" s="1067"/>
      <c r="G913" s="1067"/>
      <c r="H913" s="1067"/>
      <c r="I913" s="1067"/>
      <c r="J913" s="1067"/>
      <c r="K913" s="1067"/>
      <c r="L913" s="1126"/>
      <c r="M913" s="173"/>
      <c r="O913" s="203"/>
      <c r="P913" s="218"/>
      <c r="Q913" s="68"/>
      <c r="T913" s="217"/>
    </row>
    <row r="914" spans="1:24" ht="30" customHeight="1" x14ac:dyDescent="0.35">
      <c r="A914" s="1136" t="s">
        <v>313</v>
      </c>
      <c r="B914" s="1137"/>
      <c r="C914" s="1137"/>
      <c r="D914" s="1067" t="s">
        <v>641</v>
      </c>
      <c r="E914" s="1067"/>
      <c r="F914" s="1067"/>
      <c r="G914" s="1067"/>
      <c r="H914" s="1067"/>
      <c r="I914" s="1067"/>
      <c r="J914" s="1067"/>
      <c r="K914" s="1067"/>
      <c r="L914" s="1126"/>
      <c r="M914" s="173"/>
      <c r="O914" s="203"/>
      <c r="P914" s="218"/>
      <c r="Q914" s="68"/>
      <c r="T914" s="217"/>
    </row>
    <row r="915" spans="1:24" ht="30" customHeight="1" x14ac:dyDescent="0.35">
      <c r="A915" s="1136" t="s">
        <v>315</v>
      </c>
      <c r="B915" s="1137"/>
      <c r="C915" s="1137"/>
      <c r="D915" s="1067" t="s">
        <v>642</v>
      </c>
      <c r="E915" s="1067"/>
      <c r="F915" s="1067"/>
      <c r="G915" s="1067"/>
      <c r="H915" s="1067"/>
      <c r="I915" s="1067"/>
      <c r="J915" s="1067"/>
      <c r="K915" s="1067"/>
      <c r="L915" s="1126"/>
      <c r="M915" s="173"/>
      <c r="N915" s="68"/>
      <c r="O915" s="203"/>
      <c r="P915" s="218"/>
      <c r="Q915" s="68"/>
      <c r="T915" s="217"/>
    </row>
    <row r="916" spans="1:24" ht="45" customHeight="1" x14ac:dyDescent="0.35">
      <c r="A916" s="1136" t="s">
        <v>643</v>
      </c>
      <c r="B916" s="1137"/>
      <c r="C916" s="1137"/>
      <c r="D916" s="1118" t="s">
        <v>644</v>
      </c>
      <c r="E916" s="1118"/>
      <c r="F916" s="1118"/>
      <c r="G916" s="1118"/>
      <c r="H916" s="1118"/>
      <c r="I916" s="1118"/>
      <c r="J916" s="1118"/>
      <c r="K916" s="1118"/>
      <c r="L916" s="1119"/>
      <c r="M916" s="173"/>
      <c r="N916" s="68"/>
      <c r="O916" s="203"/>
      <c r="P916" s="218"/>
      <c r="Q916" s="68"/>
      <c r="T916" s="217"/>
    </row>
    <row r="917" spans="1:24" ht="30" customHeight="1" thickBot="1" x14ac:dyDescent="0.4">
      <c r="A917" s="1132" t="s">
        <v>318</v>
      </c>
      <c r="B917" s="1129"/>
      <c r="C917" s="1129"/>
      <c r="D917" s="1068" t="s">
        <v>2842</v>
      </c>
      <c r="E917" s="1068"/>
      <c r="F917" s="1068"/>
      <c r="G917" s="1068"/>
      <c r="H917" s="1068"/>
      <c r="I917" s="1068"/>
      <c r="J917" s="1068"/>
      <c r="K917" s="1068"/>
      <c r="L917" s="1120"/>
      <c r="M917" s="173"/>
      <c r="N917" s="68"/>
      <c r="O917" s="203"/>
      <c r="P917" s="218"/>
      <c r="Q917" s="68"/>
      <c r="T917" s="217"/>
    </row>
    <row r="918" spans="1:24" ht="30" customHeight="1" thickBot="1" x14ac:dyDescent="0.4">
      <c r="A918" s="1086"/>
      <c r="B918" s="1086"/>
      <c r="C918" s="1086"/>
      <c r="D918" s="1086"/>
      <c r="E918" s="1086"/>
      <c r="F918" s="1086"/>
      <c r="G918" s="1086"/>
      <c r="H918" s="1086"/>
      <c r="I918" s="1086"/>
      <c r="J918" s="1086"/>
      <c r="K918" s="1086"/>
      <c r="L918" s="1103"/>
      <c r="M918" s="173"/>
      <c r="N918" s="68"/>
      <c r="O918" s="203"/>
      <c r="P918" s="218"/>
      <c r="Q918" s="68"/>
      <c r="T918" s="217"/>
    </row>
    <row r="919" spans="1:24" ht="60" customHeight="1" x14ac:dyDescent="0.35">
      <c r="A919" s="465" t="s">
        <v>278</v>
      </c>
      <c r="B919" s="539">
        <v>1763</v>
      </c>
      <c r="C919" s="1017" t="s">
        <v>645</v>
      </c>
      <c r="D919" s="1017"/>
      <c r="E919" s="541" t="s">
        <v>280</v>
      </c>
      <c r="F919" s="542" t="s">
        <v>37</v>
      </c>
      <c r="G919" s="553" t="s">
        <v>2809</v>
      </c>
      <c r="H919" s="587">
        <v>1</v>
      </c>
      <c r="I919" s="541" t="s">
        <v>281</v>
      </c>
      <c r="J919" s="1019" t="s">
        <v>2843</v>
      </c>
      <c r="K919" s="1019"/>
      <c r="L919" s="1020"/>
      <c r="M919" s="173"/>
      <c r="N919" s="68"/>
      <c r="O919" s="203"/>
      <c r="P919" s="218"/>
      <c r="Q919" s="68"/>
      <c r="T919" s="217"/>
    </row>
    <row r="920" spans="1:24" ht="30" customHeight="1" x14ac:dyDescent="0.35">
      <c r="A920" s="545" t="s">
        <v>541</v>
      </c>
      <c r="B920" s="1038" t="s">
        <v>321</v>
      </c>
      <c r="C920" s="1038"/>
      <c r="D920" s="1038"/>
      <c r="E920" s="23" t="s">
        <v>290</v>
      </c>
      <c r="F920" s="23" t="s">
        <v>322</v>
      </c>
      <c r="G920" s="1034" t="s">
        <v>323</v>
      </c>
      <c r="H920" s="1034"/>
      <c r="I920" s="509" t="s">
        <v>299</v>
      </c>
      <c r="J920" s="509" t="s">
        <v>302</v>
      </c>
      <c r="K920" s="1012" t="s">
        <v>292</v>
      </c>
      <c r="L920" s="1023"/>
      <c r="M920" s="173"/>
      <c r="N920" s="68"/>
      <c r="O920" s="203"/>
      <c r="P920" s="218"/>
      <c r="Q920" s="68"/>
      <c r="T920" s="217"/>
      <c r="U920" s="208"/>
      <c r="V920" s="208"/>
      <c r="W920" s="208"/>
      <c r="X920" s="208"/>
    </row>
    <row r="921" spans="1:24" s="208" customFormat="1" ht="30" customHeight="1" x14ac:dyDescent="0.35">
      <c r="A921" s="545"/>
      <c r="B921" s="1102" t="s">
        <v>646</v>
      </c>
      <c r="C921" s="1102"/>
      <c r="D921" s="1102"/>
      <c r="E921" s="23"/>
      <c r="F921" s="23"/>
      <c r="G921" s="486"/>
      <c r="H921" s="487"/>
      <c r="I921" s="733"/>
      <c r="J921" s="733"/>
      <c r="K921" s="23"/>
      <c r="L921" s="715"/>
      <c r="M921" s="173"/>
      <c r="N921" s="135"/>
      <c r="O921" s="203"/>
      <c r="P921" s="218"/>
      <c r="Q921" s="68"/>
      <c r="R921" s="203"/>
      <c r="S921" s="203"/>
      <c r="T921" s="217"/>
      <c r="U921" s="203"/>
      <c r="V921" s="203"/>
      <c r="W921" s="203"/>
      <c r="X921" s="203"/>
    </row>
    <row r="922" spans="1:24" ht="45" customHeight="1" x14ac:dyDescent="0.35">
      <c r="A922" s="241" t="s">
        <v>493</v>
      </c>
      <c r="B922" s="1059" t="s">
        <v>647</v>
      </c>
      <c r="C922" s="1059"/>
      <c r="D922" s="1059"/>
      <c r="E922" s="680">
        <f>+P773</f>
        <v>11.77</v>
      </c>
      <c r="F922" s="446" t="s">
        <v>8</v>
      </c>
      <c r="G922" s="716">
        <f>9*468</f>
        <v>4212</v>
      </c>
      <c r="H922" s="655" t="s">
        <v>543</v>
      </c>
      <c r="I922" s="665">
        <f>+R773</f>
        <v>1.02</v>
      </c>
      <c r="J922" s="665">
        <f>+S773</f>
        <v>0.9907407407407407</v>
      </c>
      <c r="K922" s="453">
        <f t="shared" ref="K922:K930" si="22">+E922*G922*I922*J922</f>
        <v>50098.534200000002</v>
      </c>
      <c r="L922" s="243" t="s">
        <v>37</v>
      </c>
      <c r="M922" s="173"/>
      <c r="N922" s="135"/>
      <c r="O922" s="208"/>
      <c r="P922" s="218"/>
      <c r="Q922" s="68"/>
      <c r="R922" s="208"/>
      <c r="S922" s="208"/>
      <c r="T922" s="217"/>
    </row>
    <row r="923" spans="1:24" ht="30" customHeight="1" x14ac:dyDescent="0.35">
      <c r="A923" s="241" t="s">
        <v>449</v>
      </c>
      <c r="B923" s="1059" t="s">
        <v>648</v>
      </c>
      <c r="C923" s="1059"/>
      <c r="D923" s="1059"/>
      <c r="E923" s="680">
        <f>+P774</f>
        <v>19</v>
      </c>
      <c r="F923" s="446" t="s">
        <v>8</v>
      </c>
      <c r="G923" s="716">
        <f>2153*2</f>
        <v>4306</v>
      </c>
      <c r="H923" s="655" t="s">
        <v>543</v>
      </c>
      <c r="I923" s="665">
        <f>+R774</f>
        <v>1.05</v>
      </c>
      <c r="J923" s="665">
        <f>+S774</f>
        <v>0.9907407407407407</v>
      </c>
      <c r="K923" s="453">
        <f t="shared" si="22"/>
        <v>85109.286111111098</v>
      </c>
      <c r="L923" s="243" t="s">
        <v>37</v>
      </c>
      <c r="M923" s="173"/>
      <c r="N923" s="135"/>
      <c r="O923" s="203"/>
      <c r="P923" s="218"/>
      <c r="Q923" s="68"/>
      <c r="T923" s="217"/>
    </row>
    <row r="924" spans="1:24" ht="30" customHeight="1" x14ac:dyDescent="0.35">
      <c r="A924" s="241" t="s">
        <v>544</v>
      </c>
      <c r="B924" s="1059" t="s">
        <v>574</v>
      </c>
      <c r="C924" s="1059"/>
      <c r="D924" s="1059"/>
      <c r="E924" s="680">
        <f>+P777</f>
        <v>862.5</v>
      </c>
      <c r="F924" s="639" t="s">
        <v>10</v>
      </c>
      <c r="G924" s="716">
        <v>11</v>
      </c>
      <c r="H924" s="655" t="s">
        <v>546</v>
      </c>
      <c r="I924" s="665">
        <f>+R777</f>
        <v>1.01</v>
      </c>
      <c r="J924" s="665">
        <f>+S777</f>
        <v>0.9907407407407407</v>
      </c>
      <c r="K924" s="453">
        <f t="shared" si="22"/>
        <v>9493.6493055555547</v>
      </c>
      <c r="L924" s="243" t="s">
        <v>37</v>
      </c>
      <c r="M924" s="173"/>
      <c r="N924" s="135"/>
      <c r="O924" s="203"/>
      <c r="P924" s="218"/>
      <c r="Q924" s="68"/>
      <c r="T924" s="217"/>
    </row>
    <row r="925" spans="1:24" ht="30" customHeight="1" x14ac:dyDescent="0.35">
      <c r="A925" s="241" t="s">
        <v>436</v>
      </c>
      <c r="B925" s="1059" t="s">
        <v>649</v>
      </c>
      <c r="C925" s="1059"/>
      <c r="D925" s="1059"/>
      <c r="E925" s="680">
        <f>+P784</f>
        <v>18.324999999999999</v>
      </c>
      <c r="F925" s="639" t="s">
        <v>6</v>
      </c>
      <c r="G925" s="716">
        <f>656*2</f>
        <v>1312</v>
      </c>
      <c r="H925" s="655" t="s">
        <v>552</v>
      </c>
      <c r="I925" s="665">
        <f>+R784</f>
        <v>1.02</v>
      </c>
      <c r="J925" s="665">
        <f>+S784</f>
        <v>0.9907407407407407</v>
      </c>
      <c r="K925" s="453">
        <f t="shared" si="22"/>
        <v>24296.180888888888</v>
      </c>
      <c r="L925" s="243" t="s">
        <v>37</v>
      </c>
      <c r="M925" s="173"/>
      <c r="N925" s="68"/>
      <c r="O925" s="203"/>
      <c r="P925" s="218"/>
      <c r="Q925" s="68"/>
      <c r="T925" s="217"/>
    </row>
    <row r="926" spans="1:24" ht="30" customHeight="1" x14ac:dyDescent="0.35">
      <c r="A926" s="241" t="s">
        <v>436</v>
      </c>
      <c r="B926" s="1059" t="s">
        <v>650</v>
      </c>
      <c r="C926" s="1059"/>
      <c r="D926" s="1059"/>
      <c r="E926" s="680">
        <f>+P785</f>
        <v>2797.5</v>
      </c>
      <c r="F926" s="639" t="s">
        <v>10</v>
      </c>
      <c r="G926" s="716">
        <v>2</v>
      </c>
      <c r="H926" s="655" t="s">
        <v>559</v>
      </c>
      <c r="I926" s="665">
        <f>+R785</f>
        <v>1.02</v>
      </c>
      <c r="J926" s="665">
        <f>+S785</f>
        <v>0.9907407407407407</v>
      </c>
      <c r="K926" s="453">
        <f t="shared" si="22"/>
        <v>5654.0583333333334</v>
      </c>
      <c r="L926" s="243" t="s">
        <v>37</v>
      </c>
      <c r="M926" s="173"/>
      <c r="N926" s="68"/>
      <c r="O926" s="203"/>
      <c r="P926" s="218"/>
      <c r="Q926" s="68"/>
      <c r="T926" s="217"/>
    </row>
    <row r="927" spans="1:24" ht="30" customHeight="1" x14ac:dyDescent="0.35">
      <c r="A927" s="241" t="s">
        <v>544</v>
      </c>
      <c r="B927" s="1059" t="s">
        <v>618</v>
      </c>
      <c r="C927" s="1059"/>
      <c r="D927" s="1059"/>
      <c r="E927" s="680">
        <f>+P780</f>
        <v>1060</v>
      </c>
      <c r="F927" s="639" t="s">
        <v>10</v>
      </c>
      <c r="G927" s="716">
        <v>11</v>
      </c>
      <c r="H927" s="655" t="s">
        <v>546</v>
      </c>
      <c r="I927" s="665">
        <f t="shared" ref="I927:J929" si="23">+R780</f>
        <v>1.01</v>
      </c>
      <c r="J927" s="665">
        <f t="shared" si="23"/>
        <v>0.9907407407407407</v>
      </c>
      <c r="K927" s="453">
        <f t="shared" si="22"/>
        <v>11667.557407407407</v>
      </c>
      <c r="L927" s="243" t="s">
        <v>37</v>
      </c>
      <c r="M927" s="173"/>
      <c r="N927" s="68"/>
      <c r="O927" s="203"/>
      <c r="P927" s="218"/>
      <c r="Q927" s="68"/>
      <c r="T927" s="217"/>
    </row>
    <row r="928" spans="1:24" ht="30" customHeight="1" x14ac:dyDescent="0.35">
      <c r="A928" s="241" t="s">
        <v>548</v>
      </c>
      <c r="B928" s="1059" t="s">
        <v>651</v>
      </c>
      <c r="C928" s="1059"/>
      <c r="D928" s="1059"/>
      <c r="E928" s="680">
        <f>+P781</f>
        <v>148.79</v>
      </c>
      <c r="F928" s="639" t="s">
        <v>10</v>
      </c>
      <c r="G928" s="716">
        <v>53</v>
      </c>
      <c r="H928" s="655" t="s">
        <v>546</v>
      </c>
      <c r="I928" s="665">
        <f t="shared" si="23"/>
        <v>1.01</v>
      </c>
      <c r="J928" s="665">
        <f t="shared" si="23"/>
        <v>0.9907407407407407</v>
      </c>
      <c r="K928" s="453">
        <f t="shared" si="22"/>
        <v>7890.9812120370361</v>
      </c>
      <c r="L928" s="243" t="s">
        <v>37</v>
      </c>
      <c r="M928" s="173"/>
      <c r="N928" s="68"/>
      <c r="O928" s="203"/>
      <c r="P928" s="218"/>
      <c r="Q928" s="68"/>
      <c r="T928" s="217"/>
    </row>
    <row r="929" spans="1:24" ht="30" customHeight="1" x14ac:dyDescent="0.35">
      <c r="A929" s="241" t="s">
        <v>550</v>
      </c>
      <c r="B929" s="1082" t="s">
        <v>652</v>
      </c>
      <c r="C929" s="1082"/>
      <c r="D929" s="1082"/>
      <c r="E929" s="680">
        <f>+P782</f>
        <v>18.47</v>
      </c>
      <c r="F929" s="639" t="s">
        <v>6</v>
      </c>
      <c r="G929" s="716">
        <v>20825</v>
      </c>
      <c r="H929" s="655" t="s">
        <v>552</v>
      </c>
      <c r="I929" s="665">
        <f t="shared" si="23"/>
        <v>1.01</v>
      </c>
      <c r="J929" s="665">
        <f t="shared" si="23"/>
        <v>0.9907407407407407</v>
      </c>
      <c r="K929" s="453">
        <f t="shared" si="22"/>
        <v>384887.05224537035</v>
      </c>
      <c r="L929" s="243" t="s">
        <v>37</v>
      </c>
      <c r="M929" s="173"/>
      <c r="N929" s="68"/>
      <c r="O929" s="203"/>
      <c r="P929" s="218"/>
      <c r="Q929" s="68"/>
      <c r="T929" s="217"/>
    </row>
    <row r="930" spans="1:24" ht="30" customHeight="1" x14ac:dyDescent="0.35">
      <c r="A930" s="241" t="s">
        <v>493</v>
      </c>
      <c r="B930" s="1082" t="s">
        <v>653</v>
      </c>
      <c r="C930" s="1082"/>
      <c r="D930" s="1082"/>
      <c r="E930" s="645">
        <f>+P774</f>
        <v>19</v>
      </c>
      <c r="F930" s="639" t="s">
        <v>8</v>
      </c>
      <c r="G930" s="716">
        <v>192</v>
      </c>
      <c r="H930" s="655" t="s">
        <v>543</v>
      </c>
      <c r="I930" s="665">
        <f>+R774</f>
        <v>1.05</v>
      </c>
      <c r="J930" s="665">
        <f>+S774</f>
        <v>0.9907407407407407</v>
      </c>
      <c r="K930" s="453">
        <f t="shared" si="22"/>
        <v>3794.9333333333334</v>
      </c>
      <c r="L930" s="243" t="s">
        <v>37</v>
      </c>
      <c r="M930" s="173"/>
      <c r="N930" s="68"/>
      <c r="O930" s="203"/>
      <c r="P930" s="218"/>
      <c r="Q930" s="68"/>
      <c r="T930" s="217"/>
    </row>
    <row r="931" spans="1:24" ht="30" customHeight="1" x14ac:dyDescent="0.35">
      <c r="A931" s="241">
        <v>93410</v>
      </c>
      <c r="B931" s="1082" t="s">
        <v>654</v>
      </c>
      <c r="C931" s="1082"/>
      <c r="D931" s="1082"/>
      <c r="E931" s="680">
        <f>+P791</f>
        <v>8.5</v>
      </c>
      <c r="F931" s="639" t="s">
        <v>283</v>
      </c>
      <c r="G931" s="716">
        <v>523</v>
      </c>
      <c r="H931" s="655" t="s">
        <v>554</v>
      </c>
      <c r="I931" s="731">
        <f>+R791</f>
        <v>0.9432470865927236</v>
      </c>
      <c r="J931" s="446"/>
      <c r="K931" s="453">
        <f>+E931*G931*I931</f>
        <v>4193.2049234479528</v>
      </c>
      <c r="L931" s="243" t="s">
        <v>37</v>
      </c>
      <c r="M931" s="173"/>
      <c r="N931" s="68"/>
      <c r="O931" s="203"/>
      <c r="P931" s="218"/>
      <c r="Q931" s="68"/>
      <c r="T931" s="217"/>
    </row>
    <row r="932" spans="1:24" ht="30" customHeight="1" x14ac:dyDescent="0.35">
      <c r="A932" s="1183" t="s">
        <v>2804</v>
      </c>
      <c r="B932" s="1184"/>
      <c r="C932" s="1184"/>
      <c r="D932" s="1184"/>
      <c r="E932" s="453"/>
      <c r="F932" s="446"/>
      <c r="G932" s="519"/>
      <c r="H932" s="508"/>
      <c r="I932" s="446"/>
      <c r="J932" s="446" t="s">
        <v>362</v>
      </c>
      <c r="K932" s="453">
        <f>SUM(K922:K931)</f>
        <v>587085.437960485</v>
      </c>
      <c r="L932" s="243" t="s">
        <v>37</v>
      </c>
      <c r="M932" s="173"/>
      <c r="N932" s="68"/>
      <c r="O932" s="203"/>
      <c r="P932" s="218"/>
      <c r="Q932" s="68"/>
      <c r="T932" s="217"/>
    </row>
    <row r="933" spans="1:24" ht="30" customHeight="1" thickBot="1" x14ac:dyDescent="0.4">
      <c r="A933" s="1183"/>
      <c r="B933" s="1184"/>
      <c r="C933" s="1184"/>
      <c r="D933" s="1184"/>
      <c r="E933" s="458"/>
      <c r="F933" s="458"/>
      <c r="G933" s="592" t="s">
        <v>2358</v>
      </c>
      <c r="H933" s="458"/>
      <c r="I933" s="458"/>
      <c r="J933" s="583">
        <f>VLOOKUP(B919,'Mil Cost Premiums for PUCs'!$A$4:$R$272,18,FALSE)</f>
        <v>1.0485669999999998</v>
      </c>
      <c r="K933" s="591">
        <f>+K932*J933</f>
        <v>615598.41642591171</v>
      </c>
      <c r="L933" s="243" t="s">
        <v>37</v>
      </c>
      <c r="M933" s="173"/>
      <c r="N933" s="68"/>
      <c r="O933" s="203"/>
      <c r="P933" s="218"/>
      <c r="Q933" s="68"/>
      <c r="T933" s="217"/>
    </row>
    <row r="934" spans="1:24" ht="30" customHeight="1" thickBot="1" x14ac:dyDescent="0.4">
      <c r="A934" s="1086"/>
      <c r="B934" s="1086"/>
      <c r="C934" s="1086"/>
      <c r="D934" s="1086"/>
      <c r="E934" s="1086"/>
      <c r="F934" s="1086"/>
      <c r="G934" s="1086"/>
      <c r="H934" s="1086"/>
      <c r="I934" s="1086"/>
      <c r="J934" s="1086"/>
      <c r="K934" s="1086"/>
      <c r="L934" s="1103"/>
      <c r="M934" s="173"/>
      <c r="N934" s="68"/>
      <c r="O934" s="203"/>
      <c r="P934" s="218"/>
      <c r="Q934" s="68"/>
      <c r="T934" s="217"/>
    </row>
    <row r="935" spans="1:24" ht="60" customHeight="1" x14ac:dyDescent="0.35">
      <c r="A935" s="465" t="s">
        <v>278</v>
      </c>
      <c r="B935" s="539">
        <v>1764</v>
      </c>
      <c r="C935" s="1017" t="s">
        <v>655</v>
      </c>
      <c r="D935" s="1017"/>
      <c r="E935" s="541" t="s">
        <v>280</v>
      </c>
      <c r="F935" s="542" t="s">
        <v>49</v>
      </c>
      <c r="G935" s="553" t="s">
        <v>2808</v>
      </c>
      <c r="H935" s="587">
        <v>1</v>
      </c>
      <c r="I935" s="541" t="s">
        <v>281</v>
      </c>
      <c r="J935" s="1019" t="s">
        <v>2843</v>
      </c>
      <c r="K935" s="1019"/>
      <c r="L935" s="1020"/>
      <c r="M935" s="173"/>
      <c r="N935" s="68"/>
      <c r="O935" s="203"/>
      <c r="P935" s="218"/>
      <c r="Q935" s="68"/>
      <c r="T935" s="217"/>
    </row>
    <row r="936" spans="1:24" ht="30" customHeight="1" x14ac:dyDescent="0.35">
      <c r="A936" s="545" t="s">
        <v>541</v>
      </c>
      <c r="B936" s="1038" t="s">
        <v>321</v>
      </c>
      <c r="C936" s="1038"/>
      <c r="D936" s="1038"/>
      <c r="E936" s="23" t="s">
        <v>290</v>
      </c>
      <c r="F936" s="23" t="s">
        <v>322</v>
      </c>
      <c r="G936" s="1034" t="s">
        <v>323</v>
      </c>
      <c r="H936" s="1034"/>
      <c r="I936" s="509" t="s">
        <v>299</v>
      </c>
      <c r="J936" s="201" t="s">
        <v>302</v>
      </c>
      <c r="K936" s="1012" t="s">
        <v>292</v>
      </c>
      <c r="L936" s="1023"/>
      <c r="M936" s="173"/>
      <c r="N936" s="68"/>
      <c r="O936" s="203"/>
      <c r="P936" s="218"/>
      <c r="Q936" s="68"/>
      <c r="T936" s="217"/>
      <c r="U936" s="208"/>
      <c r="V936" s="208"/>
      <c r="W936" s="208"/>
      <c r="X936" s="208"/>
    </row>
    <row r="937" spans="1:24" s="208" customFormat="1" ht="30" customHeight="1" x14ac:dyDescent="0.35">
      <c r="A937" s="545"/>
      <c r="B937" s="1031" t="s">
        <v>656</v>
      </c>
      <c r="C937" s="1031"/>
      <c r="D937" s="1031"/>
      <c r="E937" s="23"/>
      <c r="F937" s="23"/>
      <c r="G937" s="486"/>
      <c r="H937" s="487"/>
      <c r="I937" s="733"/>
      <c r="J937" s="647"/>
      <c r="K937" s="23"/>
      <c r="L937" s="715"/>
      <c r="M937" s="173"/>
      <c r="N937" s="68"/>
      <c r="O937" s="203"/>
      <c r="P937" s="218"/>
      <c r="Q937" s="68"/>
      <c r="R937" s="203"/>
      <c r="S937" s="203"/>
      <c r="T937" s="217"/>
      <c r="U937" s="203"/>
      <c r="V937" s="203"/>
      <c r="W937" s="203"/>
      <c r="X937" s="203"/>
    </row>
    <row r="938" spans="1:24" ht="30" customHeight="1" x14ac:dyDescent="0.35">
      <c r="A938" s="241" t="s">
        <v>493</v>
      </c>
      <c r="B938" s="1059" t="s">
        <v>657</v>
      </c>
      <c r="C938" s="1059"/>
      <c r="D938" s="1059"/>
      <c r="E938" s="680">
        <f>+P773</f>
        <v>11.77</v>
      </c>
      <c r="F938" s="446" t="s">
        <v>8</v>
      </c>
      <c r="G938" s="716">
        <f>12*468</f>
        <v>5616</v>
      </c>
      <c r="H938" s="655" t="s">
        <v>633</v>
      </c>
      <c r="I938" s="665">
        <f>+R773</f>
        <v>1.02</v>
      </c>
      <c r="J938" s="665">
        <f>+S773</f>
        <v>0.9907407407407407</v>
      </c>
      <c r="K938" s="453">
        <f t="shared" ref="K938:K945" si="24">+E938*G938*I938*J938</f>
        <v>66798.045599999983</v>
      </c>
      <c r="L938" s="243" t="s">
        <v>49</v>
      </c>
      <c r="M938" s="173"/>
      <c r="N938" s="68"/>
      <c r="O938" s="208"/>
      <c r="P938" s="218"/>
      <c r="Q938" s="68"/>
      <c r="R938" s="208"/>
      <c r="S938" s="208"/>
      <c r="T938" s="217"/>
    </row>
    <row r="939" spans="1:24" ht="30" customHeight="1" x14ac:dyDescent="0.35">
      <c r="A939" s="241" t="s">
        <v>449</v>
      </c>
      <c r="B939" s="1059" t="s">
        <v>658</v>
      </c>
      <c r="C939" s="1059"/>
      <c r="D939" s="1059"/>
      <c r="E939" s="680">
        <f>+P774</f>
        <v>19</v>
      </c>
      <c r="F939" s="446" t="s">
        <v>8</v>
      </c>
      <c r="G939" s="716">
        <f>3767*5</f>
        <v>18835</v>
      </c>
      <c r="H939" s="655" t="s">
        <v>633</v>
      </c>
      <c r="I939" s="665">
        <f>+R774</f>
        <v>1.05</v>
      </c>
      <c r="J939" s="665">
        <f>+S774</f>
        <v>0.9907407407407407</v>
      </c>
      <c r="K939" s="453">
        <f t="shared" si="24"/>
        <v>372279.00694444444</v>
      </c>
      <c r="L939" s="243" t="s">
        <v>49</v>
      </c>
      <c r="M939" s="173"/>
      <c r="N939" s="68"/>
      <c r="O939" s="203"/>
      <c r="P939" s="218"/>
      <c r="Q939" s="68"/>
      <c r="T939" s="217"/>
    </row>
    <row r="940" spans="1:24" ht="30" customHeight="1" x14ac:dyDescent="0.35">
      <c r="A940" s="241" t="s">
        <v>544</v>
      </c>
      <c r="B940" s="1059" t="s">
        <v>574</v>
      </c>
      <c r="C940" s="1059"/>
      <c r="D940" s="1059"/>
      <c r="E940" s="680">
        <f>+P777</f>
        <v>862.5</v>
      </c>
      <c r="F940" s="639" t="s">
        <v>10</v>
      </c>
      <c r="G940" s="716">
        <v>17</v>
      </c>
      <c r="H940" s="655" t="s">
        <v>659</v>
      </c>
      <c r="I940" s="665">
        <f>+R777</f>
        <v>1.01</v>
      </c>
      <c r="J940" s="665">
        <f>+S777</f>
        <v>0.9907407407407407</v>
      </c>
      <c r="K940" s="453">
        <f t="shared" si="24"/>
        <v>14672.003472222221</v>
      </c>
      <c r="L940" s="243" t="s">
        <v>49</v>
      </c>
      <c r="M940" s="173"/>
      <c r="N940" s="68"/>
      <c r="O940" s="203"/>
      <c r="P940" s="218"/>
      <c r="Q940" s="68"/>
      <c r="T940" s="217"/>
    </row>
    <row r="941" spans="1:24" ht="30" customHeight="1" x14ac:dyDescent="0.35">
      <c r="A941" s="241" t="s">
        <v>436</v>
      </c>
      <c r="B941" s="1059" t="s">
        <v>660</v>
      </c>
      <c r="C941" s="1059"/>
      <c r="D941" s="1059"/>
      <c r="E941" s="680">
        <f>+P784</f>
        <v>18.324999999999999</v>
      </c>
      <c r="F941" s="639" t="s">
        <v>6</v>
      </c>
      <c r="G941" s="716">
        <f>1148*5</f>
        <v>5740</v>
      </c>
      <c r="H941" s="655" t="s">
        <v>661</v>
      </c>
      <c r="I941" s="665">
        <f>+R784</f>
        <v>1.02</v>
      </c>
      <c r="J941" s="665">
        <f>+S784</f>
        <v>0.9907407407407407</v>
      </c>
      <c r="K941" s="453">
        <f t="shared" si="24"/>
        <v>106295.79138888889</v>
      </c>
      <c r="L941" s="243" t="s">
        <v>49</v>
      </c>
      <c r="M941" s="173"/>
      <c r="N941" s="68"/>
      <c r="O941" s="203"/>
      <c r="P941" s="218"/>
      <c r="Q941" s="68"/>
      <c r="T941" s="217"/>
    </row>
    <row r="942" spans="1:24" ht="30" customHeight="1" x14ac:dyDescent="0.35">
      <c r="A942" s="241" t="s">
        <v>436</v>
      </c>
      <c r="B942" s="1059" t="s">
        <v>650</v>
      </c>
      <c r="C942" s="1059"/>
      <c r="D942" s="1059"/>
      <c r="E942" s="680">
        <f>+P785</f>
        <v>2797.5</v>
      </c>
      <c r="F942" s="639" t="s">
        <v>10</v>
      </c>
      <c r="G942" s="716">
        <v>5</v>
      </c>
      <c r="H942" s="655" t="s">
        <v>659</v>
      </c>
      <c r="I942" s="665">
        <f>+R785</f>
        <v>1.02</v>
      </c>
      <c r="J942" s="665">
        <f>+S785</f>
        <v>0.9907407407407407</v>
      </c>
      <c r="K942" s="453">
        <f t="shared" si="24"/>
        <v>14135.145833333332</v>
      </c>
      <c r="L942" s="243" t="s">
        <v>49</v>
      </c>
      <c r="M942" s="173"/>
      <c r="N942" s="68"/>
      <c r="O942" s="203"/>
      <c r="P942" s="218"/>
      <c r="Q942" s="68"/>
      <c r="T942" s="217"/>
    </row>
    <row r="943" spans="1:24" ht="30" customHeight="1" x14ac:dyDescent="0.35">
      <c r="A943" s="241" t="s">
        <v>544</v>
      </c>
      <c r="B943" s="1059" t="s">
        <v>618</v>
      </c>
      <c r="C943" s="1059"/>
      <c r="D943" s="1059"/>
      <c r="E943" s="680">
        <f>+P780</f>
        <v>1060</v>
      </c>
      <c r="F943" s="639" t="s">
        <v>10</v>
      </c>
      <c r="G943" s="716">
        <v>17</v>
      </c>
      <c r="H943" s="655" t="s">
        <v>659</v>
      </c>
      <c r="I943" s="734">
        <f t="shared" ref="I943:J945" si="25">+R780</f>
        <v>1.01</v>
      </c>
      <c r="J943" s="665">
        <f t="shared" si="25"/>
        <v>0.9907407407407407</v>
      </c>
      <c r="K943" s="453">
        <f t="shared" si="24"/>
        <v>18031.679629629631</v>
      </c>
      <c r="L943" s="243" t="s">
        <v>49</v>
      </c>
      <c r="M943" s="173"/>
      <c r="N943" s="137"/>
      <c r="O943" s="203"/>
      <c r="P943" s="218"/>
      <c r="Q943" s="68"/>
      <c r="T943" s="217"/>
    </row>
    <row r="944" spans="1:24" ht="30" customHeight="1" x14ac:dyDescent="0.35">
      <c r="A944" s="241" t="s">
        <v>548</v>
      </c>
      <c r="B944" s="1059" t="s">
        <v>651</v>
      </c>
      <c r="C944" s="1059"/>
      <c r="D944" s="1059"/>
      <c r="E944" s="680">
        <f>+P781</f>
        <v>148.79</v>
      </c>
      <c r="F944" s="639" t="s">
        <v>10</v>
      </c>
      <c r="G944" s="716">
        <v>80</v>
      </c>
      <c r="H944" s="655" t="s">
        <v>659</v>
      </c>
      <c r="I944" s="665">
        <f t="shared" si="25"/>
        <v>1.01</v>
      </c>
      <c r="J944" s="665">
        <f t="shared" si="25"/>
        <v>0.9907407407407407</v>
      </c>
      <c r="K944" s="453">
        <f t="shared" si="24"/>
        <v>11910.915037037035</v>
      </c>
      <c r="L944" s="243" t="s">
        <v>49</v>
      </c>
      <c r="M944" s="173"/>
      <c r="N944" s="68"/>
      <c r="O944" s="203"/>
      <c r="P944" s="218"/>
      <c r="Q944" s="68"/>
      <c r="T944" s="217"/>
    </row>
    <row r="945" spans="1:24" ht="30" customHeight="1" x14ac:dyDescent="0.35">
      <c r="A945" s="241" t="s">
        <v>550</v>
      </c>
      <c r="B945" s="1059" t="s">
        <v>662</v>
      </c>
      <c r="C945" s="1059"/>
      <c r="D945" s="1059"/>
      <c r="E945" s="680">
        <f>+P782</f>
        <v>18.47</v>
      </c>
      <c r="F945" s="639" t="s">
        <v>6</v>
      </c>
      <c r="G945" s="716">
        <f>6761*17</f>
        <v>114937</v>
      </c>
      <c r="H945" s="655" t="s">
        <v>661</v>
      </c>
      <c r="I945" s="665">
        <f t="shared" si="25"/>
        <v>1.01</v>
      </c>
      <c r="J945" s="665">
        <f t="shared" si="25"/>
        <v>0.9907407407407407</v>
      </c>
      <c r="K945" s="453">
        <f t="shared" si="24"/>
        <v>2124262.334882407</v>
      </c>
      <c r="L945" s="243" t="s">
        <v>49</v>
      </c>
      <c r="M945" s="173"/>
      <c r="N945" s="68"/>
      <c r="O945" s="203"/>
      <c r="P945" s="218"/>
      <c r="Q945" s="68"/>
      <c r="T945" s="217"/>
    </row>
    <row r="946" spans="1:24" ht="30" customHeight="1" x14ac:dyDescent="0.35">
      <c r="A946" s="241">
        <v>93410</v>
      </c>
      <c r="B946" s="1082" t="s">
        <v>663</v>
      </c>
      <c r="C946" s="1082"/>
      <c r="D946" s="1082"/>
      <c r="E946" s="645">
        <f>+P792</f>
        <v>1.1000000000000001</v>
      </c>
      <c r="F946" s="639" t="s">
        <v>3</v>
      </c>
      <c r="G946" s="716">
        <v>11525</v>
      </c>
      <c r="H946" s="655" t="s">
        <v>664</v>
      </c>
      <c r="I946" s="731">
        <f>+R792</f>
        <v>0.9432470865927236</v>
      </c>
      <c r="J946" s="665"/>
      <c r="K946" s="453">
        <f>+E946*G946*I946</f>
        <v>11958.014940279256</v>
      </c>
      <c r="L946" s="243" t="s">
        <v>49</v>
      </c>
      <c r="M946" s="173"/>
      <c r="N946" s="68"/>
      <c r="O946" s="203"/>
      <c r="P946" s="218"/>
      <c r="Q946" s="68"/>
      <c r="T946" s="217"/>
    </row>
    <row r="947" spans="1:24" ht="30" customHeight="1" x14ac:dyDescent="0.35">
      <c r="A947" s="241" t="s">
        <v>493</v>
      </c>
      <c r="B947" s="1082" t="s">
        <v>665</v>
      </c>
      <c r="C947" s="1082"/>
      <c r="D947" s="1082"/>
      <c r="E947" s="680">
        <f>+P773</f>
        <v>11.77</v>
      </c>
      <c r="F947" s="446" t="s">
        <v>8</v>
      </c>
      <c r="G947" s="716">
        <f>481*6</f>
        <v>2886</v>
      </c>
      <c r="H947" s="655" t="s">
        <v>633</v>
      </c>
      <c r="I947" s="665">
        <f>+R773</f>
        <v>1.02</v>
      </c>
      <c r="J947" s="665">
        <f>+S773</f>
        <v>0.9907407407407407</v>
      </c>
      <c r="K947" s="453">
        <f>+E947*G947*I947*J947</f>
        <v>34326.773433333328</v>
      </c>
      <c r="L947" s="243" t="s">
        <v>49</v>
      </c>
      <c r="M947" s="173"/>
      <c r="N947" s="68"/>
      <c r="O947" s="203"/>
      <c r="P947" s="218"/>
      <c r="Q947" s="68"/>
      <c r="T947" s="217"/>
    </row>
    <row r="948" spans="1:24" ht="30" customHeight="1" x14ac:dyDescent="0.35">
      <c r="A948" s="241">
        <v>93410</v>
      </c>
      <c r="B948" s="1082" t="s">
        <v>666</v>
      </c>
      <c r="C948" s="1082"/>
      <c r="D948" s="1082"/>
      <c r="E948" s="680">
        <f>+P791</f>
        <v>8.5</v>
      </c>
      <c r="F948" s="639" t="s">
        <v>283</v>
      </c>
      <c r="G948" s="716">
        <v>4709</v>
      </c>
      <c r="H948" s="655" t="s">
        <v>635</v>
      </c>
      <c r="I948" s="731">
        <f>+R791</f>
        <v>0.9432470865927236</v>
      </c>
      <c r="J948" s="446"/>
      <c r="K948" s="453">
        <f>+E948*G948*I948</f>
        <v>37754.879511503648</v>
      </c>
      <c r="L948" s="243" t="s">
        <v>49</v>
      </c>
      <c r="M948" s="173"/>
      <c r="N948" s="68"/>
      <c r="O948" s="203"/>
      <c r="P948" s="218"/>
      <c r="Q948" s="68"/>
      <c r="T948" s="217"/>
    </row>
    <row r="949" spans="1:24" ht="30" customHeight="1" x14ac:dyDescent="0.35">
      <c r="A949" s="241">
        <v>93210</v>
      </c>
      <c r="B949" s="1082" t="s">
        <v>667</v>
      </c>
      <c r="C949" s="1082"/>
      <c r="D949" s="1082"/>
      <c r="E949" s="680">
        <f>+P793</f>
        <v>47.6</v>
      </c>
      <c r="F949" s="639" t="s">
        <v>283</v>
      </c>
      <c r="G949" s="716">
        <v>1063</v>
      </c>
      <c r="H949" s="655" t="s">
        <v>635</v>
      </c>
      <c r="I949" s="731">
        <f>+R793</f>
        <v>0.9432470865927236</v>
      </c>
      <c r="J949" s="446"/>
      <c r="K949" s="453">
        <f>+E949*G949*I949</f>
        <v>47727.170685087905</v>
      </c>
      <c r="L949" s="243" t="s">
        <v>49</v>
      </c>
      <c r="M949" s="173"/>
      <c r="N949" s="68"/>
      <c r="O949" s="203"/>
      <c r="P949" s="218"/>
      <c r="Q949" s="68"/>
      <c r="T949" s="217"/>
    </row>
    <row r="950" spans="1:24" ht="30" customHeight="1" x14ac:dyDescent="0.35">
      <c r="A950" s="1183" t="s">
        <v>2804</v>
      </c>
      <c r="B950" s="1184"/>
      <c r="C950" s="1184"/>
      <c r="D950" s="1184"/>
      <c r="E950" s="453"/>
      <c r="F950" s="446"/>
      <c r="G950" s="519"/>
      <c r="H950" s="508"/>
      <c r="I950" s="446"/>
      <c r="J950" s="446" t="s">
        <v>362</v>
      </c>
      <c r="K950" s="453">
        <f>SUM(K938:K949)</f>
        <v>2860151.7613581661</v>
      </c>
      <c r="L950" s="243" t="s">
        <v>49</v>
      </c>
      <c r="M950" s="173"/>
      <c r="N950" s="68"/>
      <c r="O950" s="203"/>
      <c r="P950" s="218"/>
      <c r="Q950" s="68"/>
      <c r="T950" s="217"/>
    </row>
    <row r="951" spans="1:24" ht="30" customHeight="1" thickBot="1" x14ac:dyDescent="0.4">
      <c r="A951" s="1183"/>
      <c r="B951" s="1184"/>
      <c r="C951" s="1184"/>
      <c r="D951" s="1184"/>
      <c r="E951" s="458"/>
      <c r="F951" s="458"/>
      <c r="G951" s="592" t="s">
        <v>2358</v>
      </c>
      <c r="H951" s="458"/>
      <c r="I951" s="458"/>
      <c r="J951" s="583">
        <f>VLOOKUP(B935,'Mil Cost Premiums for PUCs'!$A$4:$R$272,18,FALSE)</f>
        <v>1.0485669999999998</v>
      </c>
      <c r="K951" s="591">
        <f>+K950*J951</f>
        <v>2999060.7519520475</v>
      </c>
      <c r="L951" s="243" t="s">
        <v>49</v>
      </c>
      <c r="M951" s="173"/>
      <c r="N951" s="68"/>
      <c r="O951" s="203"/>
      <c r="P951" s="218"/>
      <c r="Q951" s="68"/>
      <c r="T951" s="217"/>
    </row>
    <row r="952" spans="1:24" ht="30" customHeight="1" thickBot="1" x14ac:dyDescent="0.4">
      <c r="A952" s="1086"/>
      <c r="B952" s="1086"/>
      <c r="C952" s="1086"/>
      <c r="D952" s="1086"/>
      <c r="E952" s="1086"/>
      <c r="F952" s="1086"/>
      <c r="G952" s="1086"/>
      <c r="H952" s="1086"/>
      <c r="I952" s="1086"/>
      <c r="J952" s="1086"/>
      <c r="K952" s="1086"/>
      <c r="L952" s="1103"/>
      <c r="M952" s="173"/>
      <c r="N952" s="68"/>
      <c r="O952" s="203"/>
      <c r="P952" s="218"/>
      <c r="Q952" s="68"/>
      <c r="T952" s="217"/>
    </row>
    <row r="953" spans="1:24" ht="60" customHeight="1" x14ac:dyDescent="0.35">
      <c r="A953" s="465" t="s">
        <v>278</v>
      </c>
      <c r="B953" s="539">
        <v>1765</v>
      </c>
      <c r="C953" s="1017" t="s">
        <v>668</v>
      </c>
      <c r="D953" s="1017"/>
      <c r="E953" s="541" t="s">
        <v>280</v>
      </c>
      <c r="F953" s="542" t="s">
        <v>10</v>
      </c>
      <c r="G953" s="553" t="s">
        <v>279</v>
      </c>
      <c r="H953" s="587">
        <v>1</v>
      </c>
      <c r="I953" s="541" t="s">
        <v>281</v>
      </c>
      <c r="J953" s="1019" t="s">
        <v>2843</v>
      </c>
      <c r="K953" s="1019"/>
      <c r="L953" s="1020"/>
      <c r="M953" s="173"/>
      <c r="N953" s="68"/>
      <c r="O953" s="203"/>
      <c r="P953" s="218"/>
      <c r="Q953" s="68"/>
      <c r="T953" s="217"/>
    </row>
    <row r="954" spans="1:24" ht="30" customHeight="1" x14ac:dyDescent="0.35">
      <c r="A954" s="545" t="s">
        <v>541</v>
      </c>
      <c r="B954" s="1038" t="s">
        <v>321</v>
      </c>
      <c r="C954" s="1038"/>
      <c r="D954" s="1038"/>
      <c r="E954" s="23" t="s">
        <v>290</v>
      </c>
      <c r="F954" s="23" t="s">
        <v>322</v>
      </c>
      <c r="G954" s="1034" t="s">
        <v>323</v>
      </c>
      <c r="H954" s="1034"/>
      <c r="I954" s="509" t="s">
        <v>299</v>
      </c>
      <c r="J954" s="509" t="s">
        <v>302</v>
      </c>
      <c r="K954" s="1012" t="s">
        <v>292</v>
      </c>
      <c r="L954" s="1023"/>
      <c r="M954" s="173"/>
      <c r="N954" s="68"/>
      <c r="O954" s="203"/>
      <c r="P954" s="218"/>
      <c r="Q954" s="68"/>
      <c r="T954" s="217"/>
      <c r="U954" s="208"/>
      <c r="V954" s="208"/>
      <c r="W954" s="208"/>
      <c r="X954" s="208"/>
    </row>
    <row r="955" spans="1:24" s="208" customFormat="1" ht="30" customHeight="1" x14ac:dyDescent="0.35">
      <c r="A955" s="545"/>
      <c r="B955" s="1031" t="s">
        <v>669</v>
      </c>
      <c r="C955" s="1031"/>
      <c r="D955" s="1031"/>
      <c r="E955" s="23"/>
      <c r="F955" s="23"/>
      <c r="G955" s="486"/>
      <c r="H955" s="487"/>
      <c r="I955" s="733"/>
      <c r="J955" s="733"/>
      <c r="K955" s="23"/>
      <c r="L955" s="715"/>
      <c r="M955" s="173"/>
      <c r="N955" s="68"/>
      <c r="O955" s="203"/>
      <c r="P955" s="218"/>
      <c r="Q955" s="68"/>
      <c r="R955" s="203"/>
      <c r="S955" s="203"/>
      <c r="T955" s="217"/>
      <c r="U955" s="203"/>
      <c r="V955" s="203"/>
      <c r="W955" s="203"/>
      <c r="X955" s="203"/>
    </row>
    <row r="956" spans="1:24" ht="30" customHeight="1" x14ac:dyDescent="0.35">
      <c r="A956" s="241" t="s">
        <v>493</v>
      </c>
      <c r="B956" s="1082" t="s">
        <v>670</v>
      </c>
      <c r="C956" s="1082"/>
      <c r="D956" s="1082"/>
      <c r="E956" s="680">
        <f>+P773</f>
        <v>11.77</v>
      </c>
      <c r="F956" s="446" t="s">
        <v>8</v>
      </c>
      <c r="G956" s="716">
        <f>6*468</f>
        <v>2808</v>
      </c>
      <c r="H956" s="655" t="s">
        <v>671</v>
      </c>
      <c r="I956" s="665">
        <f>+R773</f>
        <v>1.02</v>
      </c>
      <c r="J956" s="665">
        <f>+S773</f>
        <v>0.9907407407407407</v>
      </c>
      <c r="K956" s="453">
        <f>+E956*G956*I956*J956</f>
        <v>33399.022799999992</v>
      </c>
      <c r="L956" s="243" t="s">
        <v>10</v>
      </c>
      <c r="M956" s="173"/>
      <c r="N956" s="68"/>
      <c r="O956" s="208"/>
      <c r="P956" s="218"/>
      <c r="Q956" s="68"/>
      <c r="R956" s="208"/>
      <c r="S956" s="208"/>
      <c r="T956" s="217"/>
    </row>
    <row r="957" spans="1:24" ht="30" customHeight="1" x14ac:dyDescent="0.35">
      <c r="A957" s="241" t="s">
        <v>544</v>
      </c>
      <c r="B957" s="1082" t="s">
        <v>574</v>
      </c>
      <c r="C957" s="1082"/>
      <c r="D957" s="1082"/>
      <c r="E957" s="680">
        <f>+P777</f>
        <v>862.5</v>
      </c>
      <c r="F957" s="639" t="s">
        <v>10</v>
      </c>
      <c r="G957" s="716">
        <v>6</v>
      </c>
      <c r="H957" s="655" t="s">
        <v>672</v>
      </c>
      <c r="I957" s="665">
        <f>+R777</f>
        <v>1.01</v>
      </c>
      <c r="J957" s="665">
        <f>+S777</f>
        <v>0.9907407407407407</v>
      </c>
      <c r="K957" s="453">
        <f>+E957*G957*I957*J957</f>
        <v>5178.3541666666661</v>
      </c>
      <c r="L957" s="243" t="s">
        <v>10</v>
      </c>
      <c r="M957" s="173"/>
      <c r="N957" s="68"/>
      <c r="O957" s="203"/>
      <c r="P957" s="218"/>
      <c r="Q957" s="68"/>
      <c r="T957" s="217"/>
    </row>
    <row r="958" spans="1:24" ht="30" customHeight="1" x14ac:dyDescent="0.35">
      <c r="A958" s="241" t="s">
        <v>544</v>
      </c>
      <c r="B958" s="1082" t="s">
        <v>618</v>
      </c>
      <c r="C958" s="1082"/>
      <c r="D958" s="1082"/>
      <c r="E958" s="680">
        <f>+P780</f>
        <v>1060</v>
      </c>
      <c r="F958" s="639" t="s">
        <v>10</v>
      </c>
      <c r="G958" s="716">
        <v>6</v>
      </c>
      <c r="H958" s="655" t="s">
        <v>672</v>
      </c>
      <c r="I958" s="665">
        <f t="shared" ref="I958:J960" si="26">+R780</f>
        <v>1.01</v>
      </c>
      <c r="J958" s="665">
        <f t="shared" si="26"/>
        <v>0.9907407407407407</v>
      </c>
      <c r="K958" s="453">
        <f>+E958*G958*I958*J958</f>
        <v>6364.1222222222223</v>
      </c>
      <c r="L958" s="243" t="s">
        <v>10</v>
      </c>
      <c r="M958" s="173"/>
      <c r="N958" s="68"/>
      <c r="O958" s="203"/>
      <c r="P958" s="218"/>
      <c r="Q958" s="68"/>
      <c r="T958" s="217"/>
    </row>
    <row r="959" spans="1:24" ht="30" customHeight="1" x14ac:dyDescent="0.35">
      <c r="A959" s="241" t="s">
        <v>548</v>
      </c>
      <c r="B959" s="1059" t="s">
        <v>673</v>
      </c>
      <c r="C959" s="1059"/>
      <c r="D959" s="1059"/>
      <c r="E959" s="680">
        <f>+P781</f>
        <v>148.79</v>
      </c>
      <c r="F959" s="639" t="s">
        <v>10</v>
      </c>
      <c r="G959" s="716">
        <f>18*5</f>
        <v>90</v>
      </c>
      <c r="H959" s="655" t="s">
        <v>672</v>
      </c>
      <c r="I959" s="665">
        <f t="shared" si="26"/>
        <v>1.01</v>
      </c>
      <c r="J959" s="665">
        <f t="shared" si="26"/>
        <v>0.9907407407407407</v>
      </c>
      <c r="K959" s="453">
        <f>+E959*G959*I959*J959</f>
        <v>13399.779416666664</v>
      </c>
      <c r="L959" s="243" t="s">
        <v>10</v>
      </c>
      <c r="M959" s="173"/>
      <c r="N959" s="68"/>
      <c r="O959" s="203"/>
      <c r="P959" s="218"/>
      <c r="Q959" s="68"/>
      <c r="T959" s="217"/>
    </row>
    <row r="960" spans="1:24" ht="30" customHeight="1" x14ac:dyDescent="0.35">
      <c r="A960" s="241" t="s">
        <v>550</v>
      </c>
      <c r="B960" s="1082" t="s">
        <v>674</v>
      </c>
      <c r="C960" s="1082"/>
      <c r="D960" s="1082"/>
      <c r="E960" s="680">
        <f>+P782</f>
        <v>18.47</v>
      </c>
      <c r="F960" s="639" t="s">
        <v>6</v>
      </c>
      <c r="G960" s="716">
        <f>2560*18</f>
        <v>46080</v>
      </c>
      <c r="H960" s="655" t="s">
        <v>675</v>
      </c>
      <c r="I960" s="665">
        <f t="shared" si="26"/>
        <v>1.01</v>
      </c>
      <c r="J960" s="665">
        <f t="shared" si="26"/>
        <v>0.9907407407407407</v>
      </c>
      <c r="K960" s="453">
        <f>+E960*G960*I960*J960</f>
        <v>851649.23733333335</v>
      </c>
      <c r="L960" s="243" t="s">
        <v>10</v>
      </c>
      <c r="M960" s="173"/>
      <c r="N960" s="68"/>
      <c r="O960" s="203"/>
      <c r="P960" s="218"/>
      <c r="Q960" s="68"/>
      <c r="T960" s="217"/>
    </row>
    <row r="961" spans="1:24" ht="30" customHeight="1" x14ac:dyDescent="0.35">
      <c r="A961" s="241">
        <v>93410</v>
      </c>
      <c r="B961" s="1082" t="s">
        <v>663</v>
      </c>
      <c r="C961" s="1082"/>
      <c r="D961" s="1082"/>
      <c r="E961" s="645">
        <f>+P792</f>
        <v>1.1000000000000001</v>
      </c>
      <c r="F961" s="639" t="s">
        <v>3</v>
      </c>
      <c r="G961" s="716">
        <v>11525</v>
      </c>
      <c r="H961" s="655" t="s">
        <v>676</v>
      </c>
      <c r="I961" s="731">
        <f>+R792</f>
        <v>0.9432470865927236</v>
      </c>
      <c r="J961" s="665"/>
      <c r="K961" s="453">
        <f>+E961*G961*I961</f>
        <v>11958.014940279256</v>
      </c>
      <c r="L961" s="243" t="s">
        <v>10</v>
      </c>
      <c r="M961" s="173"/>
      <c r="O961" s="203"/>
      <c r="P961" s="218"/>
      <c r="Q961" s="68"/>
      <c r="T961" s="217"/>
    </row>
    <row r="962" spans="1:24" ht="30" customHeight="1" x14ac:dyDescent="0.35">
      <c r="A962" s="241" t="s">
        <v>493</v>
      </c>
      <c r="B962" s="1082" t="s">
        <v>677</v>
      </c>
      <c r="C962" s="1082"/>
      <c r="D962" s="1082"/>
      <c r="E962" s="680">
        <f>+P773</f>
        <v>11.77</v>
      </c>
      <c r="F962" s="446" t="s">
        <v>8</v>
      </c>
      <c r="G962" s="716">
        <f>481*6</f>
        <v>2886</v>
      </c>
      <c r="H962" s="655" t="s">
        <v>671</v>
      </c>
      <c r="I962" s="665">
        <f>+R773</f>
        <v>1.02</v>
      </c>
      <c r="J962" s="665">
        <f>+S773</f>
        <v>0.9907407407407407</v>
      </c>
      <c r="K962" s="453">
        <f>+E962*G962*I962*J962</f>
        <v>34326.773433333328</v>
      </c>
      <c r="L962" s="243" t="s">
        <v>10</v>
      </c>
      <c r="M962" s="173"/>
      <c r="N962" s="68"/>
      <c r="O962" s="203"/>
      <c r="P962" s="218"/>
      <c r="Q962" s="68"/>
      <c r="T962" s="217"/>
    </row>
    <row r="963" spans="1:24" ht="30" customHeight="1" x14ac:dyDescent="0.35">
      <c r="A963" s="241">
        <v>93410</v>
      </c>
      <c r="B963" s="1082" t="s">
        <v>678</v>
      </c>
      <c r="C963" s="1082"/>
      <c r="D963" s="1082"/>
      <c r="E963" s="680">
        <f>+P791</f>
        <v>8.5</v>
      </c>
      <c r="F963" s="639" t="s">
        <v>283</v>
      </c>
      <c r="G963" s="716">
        <v>279</v>
      </c>
      <c r="H963" s="655" t="s">
        <v>679</v>
      </c>
      <c r="I963" s="731">
        <f>+R791</f>
        <v>0.9432470865927236</v>
      </c>
      <c r="J963" s="446"/>
      <c r="K963" s="453">
        <f>+E963*G963*I963</f>
        <v>2236.9104658546439</v>
      </c>
      <c r="L963" s="243" t="s">
        <v>10</v>
      </c>
      <c r="M963" s="173"/>
      <c r="N963" s="135"/>
      <c r="O963" s="203"/>
      <c r="P963" s="218"/>
      <c r="Q963" s="68"/>
      <c r="T963" s="217"/>
    </row>
    <row r="964" spans="1:24" ht="60" customHeight="1" x14ac:dyDescent="0.35">
      <c r="A964" s="241">
        <v>93210</v>
      </c>
      <c r="B964" s="1082" t="s">
        <v>680</v>
      </c>
      <c r="C964" s="1082"/>
      <c r="D964" s="1082"/>
      <c r="E964" s="680">
        <f>+P793</f>
        <v>47.6</v>
      </c>
      <c r="F964" s="639" t="s">
        <v>283</v>
      </c>
      <c r="G964" s="716">
        <v>215</v>
      </c>
      <c r="H964" s="655" t="s">
        <v>679</v>
      </c>
      <c r="I964" s="731">
        <f>+R793</f>
        <v>0.9432470865927236</v>
      </c>
      <c r="J964" s="446"/>
      <c r="K964" s="453">
        <f>+E964*G964*I964</f>
        <v>9653.1906841899327</v>
      </c>
      <c r="L964" s="243" t="s">
        <v>10</v>
      </c>
      <c r="M964" s="173"/>
      <c r="N964" s="135"/>
      <c r="O964" s="203"/>
      <c r="P964" s="218"/>
      <c r="Q964" s="68"/>
      <c r="T964" s="217"/>
    </row>
    <row r="965" spans="1:24" ht="30" customHeight="1" x14ac:dyDescent="0.35">
      <c r="A965" s="1183" t="s">
        <v>2804</v>
      </c>
      <c r="B965" s="1184"/>
      <c r="C965" s="1184"/>
      <c r="D965" s="1184"/>
      <c r="E965" s="453"/>
      <c r="F965" s="446"/>
      <c r="G965" s="519"/>
      <c r="H965" s="508"/>
      <c r="I965" s="446"/>
      <c r="J965" s="446" t="s">
        <v>362</v>
      </c>
      <c r="K965" s="453">
        <f>SUM(K956:K964)</f>
        <v>968165.40546254616</v>
      </c>
      <c r="L965" s="243" t="s">
        <v>10</v>
      </c>
      <c r="M965" s="173"/>
      <c r="N965" s="68"/>
      <c r="O965" s="203"/>
      <c r="P965" s="218"/>
      <c r="Q965" s="68"/>
      <c r="T965" s="217"/>
    </row>
    <row r="966" spans="1:24" ht="30" customHeight="1" thickBot="1" x14ac:dyDescent="0.4">
      <c r="A966" s="1183"/>
      <c r="B966" s="1184"/>
      <c r="C966" s="1184"/>
      <c r="D966" s="1184"/>
      <c r="E966" s="458"/>
      <c r="F966" s="458"/>
      <c r="G966" s="592" t="s">
        <v>2358</v>
      </c>
      <c r="H966" s="458"/>
      <c r="I966" s="458"/>
      <c r="J966" s="583">
        <f>VLOOKUP(B953,'Mil Cost Premiums for PUCs'!$A$4:$R$272,18,FALSE)</f>
        <v>1.0485669999999998</v>
      </c>
      <c r="K966" s="591">
        <f>+K965*J966</f>
        <v>1015186.2947096454</v>
      </c>
      <c r="L966" s="243" t="s">
        <v>10</v>
      </c>
      <c r="M966" s="173"/>
      <c r="N966" s="68"/>
      <c r="O966" s="203"/>
      <c r="P966" s="218"/>
      <c r="Q966" s="68"/>
      <c r="T966" s="217"/>
    </row>
    <row r="967" spans="1:24" ht="30" customHeight="1" thickBot="1" x14ac:dyDescent="0.4">
      <c r="A967" s="1086"/>
      <c r="B967" s="1086"/>
      <c r="C967" s="1086"/>
      <c r="D967" s="1086"/>
      <c r="E967" s="1086"/>
      <c r="F967" s="1086"/>
      <c r="G967" s="1086"/>
      <c r="H967" s="1086"/>
      <c r="I967" s="1086"/>
      <c r="J967" s="1086"/>
      <c r="K967" s="1086"/>
      <c r="L967" s="1103"/>
      <c r="M967" s="173"/>
      <c r="N967" s="68"/>
      <c r="O967" s="203"/>
      <c r="P967" s="218"/>
      <c r="Q967" s="68"/>
      <c r="T967" s="217"/>
    </row>
    <row r="968" spans="1:24" ht="60" customHeight="1" x14ac:dyDescent="0.35">
      <c r="A968" s="465" t="s">
        <v>278</v>
      </c>
      <c r="B968" s="539">
        <v>1766</v>
      </c>
      <c r="C968" s="1017" t="s">
        <v>681</v>
      </c>
      <c r="D968" s="1017"/>
      <c r="E968" s="541" t="s">
        <v>280</v>
      </c>
      <c r="F968" s="542" t="s">
        <v>10</v>
      </c>
      <c r="G968" s="553" t="s">
        <v>2807</v>
      </c>
      <c r="H968" s="587">
        <v>1</v>
      </c>
      <c r="I968" s="541" t="s">
        <v>281</v>
      </c>
      <c r="J968" s="1019" t="s">
        <v>2843</v>
      </c>
      <c r="K968" s="1019"/>
      <c r="L968" s="1020"/>
      <c r="M968" s="173"/>
      <c r="N968" s="68"/>
      <c r="O968" s="203"/>
      <c r="P968" s="218"/>
      <c r="Q968" s="68"/>
      <c r="T968" s="217"/>
    </row>
    <row r="969" spans="1:24" ht="30" customHeight="1" x14ac:dyDescent="0.35">
      <c r="A969" s="545" t="s">
        <v>541</v>
      </c>
      <c r="B969" s="1038" t="s">
        <v>321</v>
      </c>
      <c r="C969" s="1038"/>
      <c r="D969" s="1038"/>
      <c r="E969" s="23" t="s">
        <v>290</v>
      </c>
      <c r="F969" s="23" t="s">
        <v>322</v>
      </c>
      <c r="G969" s="1034" t="s">
        <v>323</v>
      </c>
      <c r="H969" s="1034"/>
      <c r="I969" s="509" t="s">
        <v>299</v>
      </c>
      <c r="J969" s="201" t="s">
        <v>302</v>
      </c>
      <c r="K969" s="1012" t="s">
        <v>292</v>
      </c>
      <c r="L969" s="1023"/>
      <c r="M969" s="173"/>
      <c r="N969" s="68"/>
      <c r="O969" s="203"/>
      <c r="P969" s="218"/>
      <c r="Q969" s="68"/>
      <c r="T969" s="217"/>
      <c r="U969" s="208"/>
      <c r="V969" s="208"/>
      <c r="W969" s="208"/>
      <c r="X969" s="208"/>
    </row>
    <row r="970" spans="1:24" s="208" customFormat="1" ht="30" customHeight="1" x14ac:dyDescent="0.35">
      <c r="A970" s="545"/>
      <c r="B970" s="1031" t="s">
        <v>682</v>
      </c>
      <c r="C970" s="1031"/>
      <c r="D970" s="1031"/>
      <c r="E970" s="23"/>
      <c r="F970" s="23"/>
      <c r="G970" s="486"/>
      <c r="H970" s="487"/>
      <c r="I970" s="647"/>
      <c r="J970" s="647"/>
      <c r="K970" s="23"/>
      <c r="L970" s="715"/>
      <c r="M970" s="173"/>
      <c r="N970" s="68"/>
      <c r="O970" s="203"/>
      <c r="P970" s="218"/>
      <c r="Q970" s="68"/>
      <c r="R970" s="203"/>
      <c r="S970" s="203"/>
      <c r="T970" s="217"/>
      <c r="U970" s="203"/>
      <c r="V970" s="203"/>
      <c r="W970" s="203"/>
      <c r="X970" s="203"/>
    </row>
    <row r="971" spans="1:24" ht="30" customHeight="1" x14ac:dyDescent="0.35">
      <c r="A971" s="241" t="s">
        <v>493</v>
      </c>
      <c r="B971" s="1082" t="s">
        <v>683</v>
      </c>
      <c r="C971" s="1082"/>
      <c r="D971" s="1082"/>
      <c r="E971" s="680">
        <f>+P770</f>
        <v>9.6300000000000008</v>
      </c>
      <c r="F971" s="446" t="s">
        <v>8</v>
      </c>
      <c r="G971" s="716">
        <f>42*62</f>
        <v>2604</v>
      </c>
      <c r="H971" s="655" t="s">
        <v>671</v>
      </c>
      <c r="I971" s="665">
        <f>+R770</f>
        <v>1.02</v>
      </c>
      <c r="J971" s="665">
        <f>+S770</f>
        <v>0.9907407407407407</v>
      </c>
      <c r="K971" s="453">
        <f t="shared" ref="K971:K982" si="27">+E971*G971*I971*J971</f>
        <v>25341.2166</v>
      </c>
      <c r="L971" s="243" t="s">
        <v>10</v>
      </c>
      <c r="M971" s="173"/>
      <c r="N971" s="68"/>
      <c r="O971" s="208"/>
      <c r="P971" s="218"/>
      <c r="Q971" s="68"/>
      <c r="R971" s="208"/>
      <c r="S971" s="208"/>
      <c r="T971" s="217"/>
    </row>
    <row r="972" spans="1:24" ht="30" customHeight="1" x14ac:dyDescent="0.35">
      <c r="A972" s="241" t="s">
        <v>544</v>
      </c>
      <c r="B972" s="1082" t="s">
        <v>545</v>
      </c>
      <c r="C972" s="1082"/>
      <c r="D972" s="1082"/>
      <c r="E972" s="680">
        <f>+P776</f>
        <v>475.5</v>
      </c>
      <c r="F972" s="639" t="s">
        <v>10</v>
      </c>
      <c r="G972" s="716">
        <v>42</v>
      </c>
      <c r="H972" s="655" t="s">
        <v>672</v>
      </c>
      <c r="I972" s="665">
        <f>+R776</f>
        <v>1.01</v>
      </c>
      <c r="J972" s="665">
        <f>+S776</f>
        <v>0.9907407407407407</v>
      </c>
      <c r="K972" s="453">
        <f t="shared" si="27"/>
        <v>19983.944166666664</v>
      </c>
      <c r="L972" s="243" t="s">
        <v>10</v>
      </c>
      <c r="M972" s="173"/>
      <c r="N972" s="68"/>
      <c r="O972" s="203"/>
      <c r="P972" s="218"/>
      <c r="Q972" s="68"/>
      <c r="T972" s="217"/>
    </row>
    <row r="973" spans="1:24" ht="30" customHeight="1" x14ac:dyDescent="0.35">
      <c r="A973" s="241" t="s">
        <v>544</v>
      </c>
      <c r="B973" s="1059" t="s">
        <v>547</v>
      </c>
      <c r="C973" s="1059"/>
      <c r="D973" s="1059"/>
      <c r="E973" s="680">
        <f>+P778</f>
        <v>341</v>
      </c>
      <c r="F973" s="639" t="s">
        <v>10</v>
      </c>
      <c r="G973" s="716">
        <v>42</v>
      </c>
      <c r="H973" s="655" t="s">
        <v>672</v>
      </c>
      <c r="I973" s="665">
        <f>+R778</f>
        <v>1.01</v>
      </c>
      <c r="J973" s="665">
        <f>+S778</f>
        <v>0.9907407407407407</v>
      </c>
      <c r="K973" s="453">
        <f t="shared" si="27"/>
        <v>14331.282777777777</v>
      </c>
      <c r="L973" s="243" t="s">
        <v>10</v>
      </c>
      <c r="M973" s="173"/>
      <c r="N973" s="68"/>
      <c r="O973" s="203"/>
      <c r="P973" s="218"/>
      <c r="Q973" s="68"/>
      <c r="T973" s="217"/>
    </row>
    <row r="974" spans="1:24" ht="30" customHeight="1" x14ac:dyDescent="0.35">
      <c r="A974" s="241" t="s">
        <v>493</v>
      </c>
      <c r="B974" s="1059" t="s">
        <v>684</v>
      </c>
      <c r="C974" s="1059"/>
      <c r="D974" s="1059"/>
      <c r="E974" s="680">
        <f>+P773</f>
        <v>11.77</v>
      </c>
      <c r="F974" s="446" t="s">
        <v>8</v>
      </c>
      <c r="G974" s="716">
        <f>25*468</f>
        <v>11700</v>
      </c>
      <c r="H974" s="655" t="s">
        <v>671</v>
      </c>
      <c r="I974" s="665">
        <f>+R773</f>
        <v>1.02</v>
      </c>
      <c r="J974" s="665">
        <f>+S773</f>
        <v>0.9907407407407407</v>
      </c>
      <c r="K974" s="453">
        <f t="shared" si="27"/>
        <v>139162.595</v>
      </c>
      <c r="L974" s="243" t="s">
        <v>10</v>
      </c>
      <c r="M974" s="173"/>
      <c r="N974" s="68"/>
      <c r="O974" s="203"/>
      <c r="P974" s="218"/>
      <c r="Q974" s="68"/>
      <c r="T974" s="217"/>
    </row>
    <row r="975" spans="1:24" ht="30" customHeight="1" x14ac:dyDescent="0.35">
      <c r="A975" s="241" t="s">
        <v>449</v>
      </c>
      <c r="B975" s="1059" t="s">
        <v>685</v>
      </c>
      <c r="C975" s="1059"/>
      <c r="D975" s="1059"/>
      <c r="E975" s="680">
        <f>+P774</f>
        <v>19</v>
      </c>
      <c r="F975" s="446" t="s">
        <v>8</v>
      </c>
      <c r="G975" s="716">
        <f>2152*4</f>
        <v>8608</v>
      </c>
      <c r="H975" s="655" t="s">
        <v>671</v>
      </c>
      <c r="I975" s="665">
        <f>+R774</f>
        <v>1.05</v>
      </c>
      <c r="J975" s="665">
        <f>+S774</f>
        <v>0.9907407407407407</v>
      </c>
      <c r="K975" s="453">
        <f t="shared" si="27"/>
        <v>170139.51111111112</v>
      </c>
      <c r="L975" s="243" t="s">
        <v>10</v>
      </c>
      <c r="M975" s="173"/>
      <c r="N975" s="68"/>
      <c r="O975" s="203"/>
      <c r="P975" s="218"/>
      <c r="Q975" s="68"/>
      <c r="T975" s="217"/>
    </row>
    <row r="976" spans="1:24" ht="30" customHeight="1" x14ac:dyDescent="0.35">
      <c r="A976" s="241" t="s">
        <v>449</v>
      </c>
      <c r="B976" s="1059" t="s">
        <v>686</v>
      </c>
      <c r="C976" s="1059"/>
      <c r="D976" s="1059"/>
      <c r="E976" s="680">
        <f>+P774</f>
        <v>19</v>
      </c>
      <c r="F976" s="446" t="s">
        <v>8</v>
      </c>
      <c r="G976" s="716">
        <f>80.7*7</f>
        <v>564.9</v>
      </c>
      <c r="H976" s="655" t="s">
        <v>671</v>
      </c>
      <c r="I976" s="665">
        <f>+R774</f>
        <v>1.05</v>
      </c>
      <c r="J976" s="665">
        <f>+S774</f>
        <v>0.9907407407407407</v>
      </c>
      <c r="K976" s="453">
        <f t="shared" si="27"/>
        <v>11165.405416666666</v>
      </c>
      <c r="L976" s="243" t="s">
        <v>10</v>
      </c>
      <c r="M976" s="173"/>
      <c r="N976" s="68"/>
      <c r="O976" s="203"/>
      <c r="P976" s="218"/>
      <c r="Q976" s="68"/>
      <c r="T976" s="217"/>
    </row>
    <row r="977" spans="1:24" ht="30" customHeight="1" x14ac:dyDescent="0.35">
      <c r="A977" s="241" t="s">
        <v>544</v>
      </c>
      <c r="B977" s="1059" t="s">
        <v>574</v>
      </c>
      <c r="C977" s="1059"/>
      <c r="D977" s="1059"/>
      <c r="E977" s="680">
        <f>+P777</f>
        <v>862.5</v>
      </c>
      <c r="F977" s="639" t="s">
        <v>10</v>
      </c>
      <c r="G977" s="716">
        <v>36</v>
      </c>
      <c r="H977" s="655" t="s">
        <v>672</v>
      </c>
      <c r="I977" s="665">
        <f>+R777</f>
        <v>1.01</v>
      </c>
      <c r="J977" s="665">
        <f>+S777</f>
        <v>0.9907407407407407</v>
      </c>
      <c r="K977" s="453">
        <f t="shared" si="27"/>
        <v>31070.125</v>
      </c>
      <c r="L977" s="243" t="s">
        <v>10</v>
      </c>
      <c r="M977" s="173"/>
      <c r="N977" s="68"/>
      <c r="O977" s="203"/>
      <c r="P977" s="218"/>
      <c r="Q977" s="68"/>
      <c r="T977" s="217"/>
    </row>
    <row r="978" spans="1:24" ht="30" customHeight="1" x14ac:dyDescent="0.35">
      <c r="A978" s="241" t="s">
        <v>436</v>
      </c>
      <c r="B978" s="1059" t="s">
        <v>687</v>
      </c>
      <c r="C978" s="1059"/>
      <c r="D978" s="1059"/>
      <c r="E978" s="680">
        <f>+P784</f>
        <v>18.324999999999999</v>
      </c>
      <c r="F978" s="639" t="s">
        <v>6</v>
      </c>
      <c r="G978" s="716">
        <v>2967</v>
      </c>
      <c r="H978" s="655" t="s">
        <v>675</v>
      </c>
      <c r="I978" s="665">
        <f>+R784</f>
        <v>1.02</v>
      </c>
      <c r="J978" s="665">
        <f>+S784</f>
        <v>0.9907407407407407</v>
      </c>
      <c r="K978" s="453">
        <f t="shared" si="27"/>
        <v>54944.183458333333</v>
      </c>
      <c r="L978" s="243" t="s">
        <v>10</v>
      </c>
      <c r="M978" s="173"/>
      <c r="N978" s="68"/>
      <c r="O978" s="203"/>
      <c r="P978" s="218"/>
      <c r="Q978" s="68"/>
      <c r="T978" s="217"/>
    </row>
    <row r="979" spans="1:24" ht="30" customHeight="1" x14ac:dyDescent="0.35">
      <c r="A979" s="241" t="s">
        <v>436</v>
      </c>
      <c r="B979" s="1059" t="s">
        <v>688</v>
      </c>
      <c r="C979" s="1059"/>
      <c r="D979" s="1059"/>
      <c r="E979" s="680">
        <f>+P785</f>
        <v>2797.5</v>
      </c>
      <c r="F979" s="639" t="s">
        <v>10</v>
      </c>
      <c r="G979" s="716">
        <v>11</v>
      </c>
      <c r="H979" s="655" t="s">
        <v>672</v>
      </c>
      <c r="I979" s="665">
        <f>+R785</f>
        <v>1.02</v>
      </c>
      <c r="J979" s="665">
        <f>+S785</f>
        <v>0.9907407407407407</v>
      </c>
      <c r="K979" s="453">
        <f t="shared" si="27"/>
        <v>31097.320833333331</v>
      </c>
      <c r="L979" s="243" t="s">
        <v>10</v>
      </c>
      <c r="M979" s="173"/>
      <c r="N979" s="68"/>
      <c r="O979" s="203"/>
      <c r="P979" s="218"/>
      <c r="Q979" s="68"/>
      <c r="T979" s="217"/>
    </row>
    <row r="980" spans="1:24" ht="30" customHeight="1" x14ac:dyDescent="0.35">
      <c r="A980" s="241" t="s">
        <v>544</v>
      </c>
      <c r="B980" s="1059" t="s">
        <v>618</v>
      </c>
      <c r="C980" s="1059"/>
      <c r="D980" s="1059"/>
      <c r="E980" s="680">
        <f>+P780</f>
        <v>1060</v>
      </c>
      <c r="F980" s="639" t="s">
        <v>10</v>
      </c>
      <c r="G980" s="716">
        <v>36</v>
      </c>
      <c r="H980" s="655" t="s">
        <v>672</v>
      </c>
      <c r="I980" s="665">
        <f t="shared" ref="I980:J982" si="28">+R780</f>
        <v>1.01</v>
      </c>
      <c r="J980" s="665">
        <f t="shared" si="28"/>
        <v>0.9907407407407407</v>
      </c>
      <c r="K980" s="453">
        <f t="shared" si="27"/>
        <v>38184.73333333333</v>
      </c>
      <c r="L980" s="243" t="s">
        <v>10</v>
      </c>
      <c r="M980" s="173"/>
      <c r="N980" s="68"/>
      <c r="O980" s="203"/>
      <c r="P980" s="218"/>
      <c r="Q980" s="68"/>
      <c r="T980" s="217"/>
    </row>
    <row r="981" spans="1:24" ht="30" customHeight="1" x14ac:dyDescent="0.35">
      <c r="A981" s="241" t="s">
        <v>548</v>
      </c>
      <c r="B981" s="1059" t="s">
        <v>689</v>
      </c>
      <c r="C981" s="1059"/>
      <c r="D981" s="1059"/>
      <c r="E981" s="680">
        <f>+P781</f>
        <v>148.79</v>
      </c>
      <c r="F981" s="639" t="s">
        <v>10</v>
      </c>
      <c r="G981" s="735">
        <f>(5*25)+(4*53)</f>
        <v>337</v>
      </c>
      <c r="H981" s="655" t="s">
        <v>672</v>
      </c>
      <c r="I981" s="665">
        <f t="shared" si="28"/>
        <v>1.01</v>
      </c>
      <c r="J981" s="665">
        <f t="shared" si="28"/>
        <v>0.9907407407407407</v>
      </c>
      <c r="K981" s="453">
        <f t="shared" si="27"/>
        <v>50174.72959351851</v>
      </c>
      <c r="L981" s="243" t="s">
        <v>10</v>
      </c>
      <c r="M981" s="173"/>
      <c r="N981" s="68"/>
      <c r="O981" s="203"/>
      <c r="P981" s="218"/>
      <c r="Q981" s="68"/>
      <c r="T981" s="217"/>
    </row>
    <row r="982" spans="1:24" ht="30" customHeight="1" x14ac:dyDescent="0.35">
      <c r="A982" s="241" t="s">
        <v>550</v>
      </c>
      <c r="B982" s="1082" t="s">
        <v>690</v>
      </c>
      <c r="C982" s="1082"/>
      <c r="D982" s="1082"/>
      <c r="E982" s="680">
        <f>+P782</f>
        <v>18.47</v>
      </c>
      <c r="F982" s="639" t="s">
        <v>6</v>
      </c>
      <c r="G982" s="716">
        <f>5105*78</f>
        <v>398190</v>
      </c>
      <c r="H982" s="655" t="s">
        <v>675</v>
      </c>
      <c r="I982" s="665">
        <f t="shared" si="28"/>
        <v>1.01</v>
      </c>
      <c r="J982" s="665">
        <f t="shared" si="28"/>
        <v>0.9907407407407407</v>
      </c>
      <c r="K982" s="453">
        <f t="shared" si="27"/>
        <v>7359336.1504722219</v>
      </c>
      <c r="L982" s="243" t="s">
        <v>10</v>
      </c>
      <c r="M982" s="173"/>
      <c r="N982" s="68"/>
      <c r="O982" s="203"/>
      <c r="P982" s="218"/>
      <c r="Q982" s="68"/>
      <c r="T982" s="217"/>
    </row>
    <row r="983" spans="1:24" ht="30" customHeight="1" x14ac:dyDescent="0.35">
      <c r="A983" s="241">
        <v>93410</v>
      </c>
      <c r="B983" s="1082" t="s">
        <v>691</v>
      </c>
      <c r="C983" s="1082"/>
      <c r="D983" s="1082"/>
      <c r="E983" s="645">
        <f>+P792</f>
        <v>1.1000000000000001</v>
      </c>
      <c r="F983" s="639" t="s">
        <v>3</v>
      </c>
      <c r="G983" s="716">
        <v>2488</v>
      </c>
      <c r="H983" s="655" t="s">
        <v>676</v>
      </c>
      <c r="I983" s="721">
        <f>+R792</f>
        <v>0.9432470865927236</v>
      </c>
      <c r="J983" s="446"/>
      <c r="K983" s="453">
        <f>+E983*G983*I983</f>
        <v>2581.4786265869661</v>
      </c>
      <c r="L983" s="243" t="s">
        <v>10</v>
      </c>
      <c r="M983" s="173"/>
      <c r="N983" s="68"/>
      <c r="O983" s="203"/>
      <c r="P983" s="218"/>
      <c r="Q983" s="68"/>
      <c r="T983" s="217"/>
    </row>
    <row r="984" spans="1:24" ht="30" customHeight="1" x14ac:dyDescent="0.35">
      <c r="A984" s="241" t="s">
        <v>493</v>
      </c>
      <c r="B984" s="1082" t="s">
        <v>692</v>
      </c>
      <c r="C984" s="1082"/>
      <c r="D984" s="1082"/>
      <c r="E984" s="680">
        <f>+P773</f>
        <v>11.77</v>
      </c>
      <c r="F984" s="446" t="s">
        <v>8</v>
      </c>
      <c r="G984" s="716">
        <f>481*2</f>
        <v>962</v>
      </c>
      <c r="H984" s="655" t="s">
        <v>671</v>
      </c>
      <c r="I984" s="446">
        <f>+R773</f>
        <v>1.02</v>
      </c>
      <c r="J984" s="665">
        <f>+S773</f>
        <v>0.9907407407407407</v>
      </c>
      <c r="K984" s="453">
        <f>+E984*G984*I984*J984</f>
        <v>11442.257811111111</v>
      </c>
      <c r="L984" s="243" t="s">
        <v>10</v>
      </c>
      <c r="M984" s="173"/>
      <c r="N984" s="68"/>
      <c r="O984" s="203"/>
      <c r="P984" s="218"/>
      <c r="Q984" s="68"/>
      <c r="T984" s="217"/>
    </row>
    <row r="985" spans="1:24" ht="30" customHeight="1" x14ac:dyDescent="0.35">
      <c r="A985" s="241" t="s">
        <v>493</v>
      </c>
      <c r="B985" s="1082" t="s">
        <v>693</v>
      </c>
      <c r="C985" s="1082"/>
      <c r="D985" s="1082"/>
      <c r="E985" s="680">
        <f>+P770</f>
        <v>9.6300000000000008</v>
      </c>
      <c r="F985" s="446" t="s">
        <v>8</v>
      </c>
      <c r="G985" s="716">
        <f>128*10</f>
        <v>1280</v>
      </c>
      <c r="H985" s="655" t="s">
        <v>671</v>
      </c>
      <c r="I985" s="446">
        <f>+R770</f>
        <v>1.02</v>
      </c>
      <c r="J985" s="665">
        <f>+S770</f>
        <v>0.9907407407407407</v>
      </c>
      <c r="K985" s="453">
        <f>+E985*G985*I985*J985</f>
        <v>12456.512000000001</v>
      </c>
      <c r="L985" s="243" t="s">
        <v>10</v>
      </c>
      <c r="M985" s="173"/>
      <c r="N985" s="68"/>
      <c r="O985" s="203"/>
      <c r="P985" s="218"/>
      <c r="Q985" s="68"/>
      <c r="T985" s="217"/>
    </row>
    <row r="986" spans="1:24" ht="30" customHeight="1" x14ac:dyDescent="0.35">
      <c r="A986" s="241">
        <v>93410</v>
      </c>
      <c r="B986" s="1082" t="s">
        <v>694</v>
      </c>
      <c r="C986" s="1082"/>
      <c r="D986" s="1082"/>
      <c r="E986" s="680">
        <f>+P791</f>
        <v>8.5</v>
      </c>
      <c r="F986" s="639" t="s">
        <v>283</v>
      </c>
      <c r="G986" s="716">
        <v>3662</v>
      </c>
      <c r="H986" s="655" t="s">
        <v>679</v>
      </c>
      <c r="I986" s="721">
        <f>+R791</f>
        <v>0.9432470865927236</v>
      </c>
      <c r="J986" s="446"/>
      <c r="K986" s="453">
        <f>+E986*G986*I986</f>
        <v>29360.452064371708</v>
      </c>
      <c r="L986" s="243" t="s">
        <v>10</v>
      </c>
      <c r="M986" s="173"/>
      <c r="N986" s="68"/>
      <c r="O986" s="203"/>
      <c r="P986" s="218"/>
      <c r="Q986" s="68"/>
      <c r="T986" s="217"/>
    </row>
    <row r="987" spans="1:24" ht="30" customHeight="1" x14ac:dyDescent="0.35">
      <c r="A987" s="241">
        <v>93210</v>
      </c>
      <c r="B987" s="1082" t="s">
        <v>695</v>
      </c>
      <c r="C987" s="1082"/>
      <c r="D987" s="1082"/>
      <c r="E987" s="680">
        <f>+P793</f>
        <v>47.6</v>
      </c>
      <c r="F987" s="639" t="s">
        <v>283</v>
      </c>
      <c r="G987" s="716">
        <v>1063</v>
      </c>
      <c r="H987" s="655" t="s">
        <v>679</v>
      </c>
      <c r="I987" s="721">
        <f>+R793</f>
        <v>0.9432470865927236</v>
      </c>
      <c r="J987" s="446"/>
      <c r="K987" s="453">
        <f>+E987*G987*I987</f>
        <v>47727.170685087905</v>
      </c>
      <c r="L987" s="243" t="s">
        <v>10</v>
      </c>
      <c r="M987" s="173"/>
      <c r="N987" s="68"/>
      <c r="O987" s="203"/>
      <c r="P987" s="218"/>
      <c r="Q987" s="68"/>
      <c r="T987" s="217"/>
    </row>
    <row r="988" spans="1:24" ht="30" customHeight="1" x14ac:dyDescent="0.35">
      <c r="A988" s="1183" t="s">
        <v>2804</v>
      </c>
      <c r="B988" s="1184"/>
      <c r="C988" s="1184"/>
      <c r="D988" s="1184"/>
      <c r="E988" s="453"/>
      <c r="F988" s="446"/>
      <c r="G988" s="519"/>
      <c r="H988" s="508"/>
      <c r="I988" s="446"/>
      <c r="J988" s="446" t="s">
        <v>362</v>
      </c>
      <c r="K988" s="453">
        <f>SUM(K974:K987)</f>
        <v>7988842.6254056767</v>
      </c>
      <c r="L988" s="243" t="s">
        <v>10</v>
      </c>
      <c r="M988" s="173"/>
      <c r="N988" s="68"/>
      <c r="O988" s="203"/>
      <c r="P988" s="218"/>
      <c r="Q988" s="68"/>
      <c r="T988" s="217"/>
    </row>
    <row r="989" spans="1:24" ht="30" customHeight="1" thickBot="1" x14ac:dyDescent="0.4">
      <c r="A989" s="1183"/>
      <c r="B989" s="1184"/>
      <c r="C989" s="1184"/>
      <c r="D989" s="1184"/>
      <c r="E989" s="458"/>
      <c r="F989" s="458"/>
      <c r="G989" s="592" t="s">
        <v>2358</v>
      </c>
      <c r="H989" s="458"/>
      <c r="I989" s="458"/>
      <c r="J989" s="583">
        <f>VLOOKUP(B968,'Mil Cost Premiums for PUCs'!$A$4:$R$272,18,FALSE)</f>
        <v>1.0485669999999998</v>
      </c>
      <c r="K989" s="591">
        <f>+K988*J989</f>
        <v>8376836.7451937525</v>
      </c>
      <c r="L989" s="243" t="s">
        <v>10</v>
      </c>
      <c r="M989" s="173"/>
      <c r="N989" s="68"/>
      <c r="O989" s="203"/>
      <c r="P989" s="218"/>
      <c r="Q989" s="68"/>
      <c r="T989" s="217"/>
    </row>
    <row r="990" spans="1:24" ht="30" customHeight="1" thickBot="1" x14ac:dyDescent="0.4">
      <c r="A990" s="1086"/>
      <c r="B990" s="1086"/>
      <c r="C990" s="1086"/>
      <c r="D990" s="1086"/>
      <c r="E990" s="1086"/>
      <c r="F990" s="1086"/>
      <c r="G990" s="1086"/>
      <c r="H990" s="1086"/>
      <c r="I990" s="1086"/>
      <c r="J990" s="1086"/>
      <c r="K990" s="1086"/>
      <c r="L990" s="1103"/>
      <c r="M990" s="173"/>
      <c r="N990" s="68"/>
      <c r="O990" s="203"/>
      <c r="P990" s="218"/>
      <c r="Q990" s="68"/>
      <c r="T990" s="217"/>
    </row>
    <row r="991" spans="1:24" ht="45" customHeight="1" x14ac:dyDescent="0.35">
      <c r="A991" s="465" t="s">
        <v>278</v>
      </c>
      <c r="B991" s="539">
        <v>1768</v>
      </c>
      <c r="C991" s="1017" t="s">
        <v>696</v>
      </c>
      <c r="D991" s="1017"/>
      <c r="E991" s="541" t="s">
        <v>280</v>
      </c>
      <c r="F991" s="542" t="s">
        <v>10</v>
      </c>
      <c r="G991" s="553" t="s">
        <v>279</v>
      </c>
      <c r="H991" s="587">
        <v>1</v>
      </c>
      <c r="I991" s="541" t="s">
        <v>281</v>
      </c>
      <c r="J991" s="1019" t="s">
        <v>2844</v>
      </c>
      <c r="K991" s="1019"/>
      <c r="L991" s="1020"/>
      <c r="M991" s="173"/>
      <c r="N991" s="68"/>
      <c r="O991" s="203"/>
      <c r="P991" s="218"/>
      <c r="Q991" s="68"/>
      <c r="T991" s="217"/>
    </row>
    <row r="992" spans="1:24" ht="30" customHeight="1" x14ac:dyDescent="0.35">
      <c r="A992" s="545" t="s">
        <v>288</v>
      </c>
      <c r="B992" s="1038" t="s">
        <v>321</v>
      </c>
      <c r="C992" s="1038"/>
      <c r="D992" s="1038"/>
      <c r="E992" s="23" t="s">
        <v>290</v>
      </c>
      <c r="F992" s="23" t="s">
        <v>322</v>
      </c>
      <c r="G992" s="1034" t="s">
        <v>323</v>
      </c>
      <c r="H992" s="1034"/>
      <c r="I992" s="509" t="s">
        <v>299</v>
      </c>
      <c r="J992" s="201" t="s">
        <v>302</v>
      </c>
      <c r="K992" s="1012" t="s">
        <v>292</v>
      </c>
      <c r="L992" s="1023"/>
      <c r="M992" s="173"/>
      <c r="N992" s="135"/>
      <c r="O992" s="203"/>
      <c r="P992" s="218"/>
      <c r="Q992" s="68"/>
      <c r="T992" s="217"/>
      <c r="U992" s="208"/>
      <c r="V992" s="208"/>
      <c r="W992" s="208"/>
      <c r="X992" s="208"/>
    </row>
    <row r="993" spans="1:24" s="208" customFormat="1" ht="30" customHeight="1" x14ac:dyDescent="0.35">
      <c r="A993" s="545"/>
      <c r="B993" s="1082" t="s">
        <v>697</v>
      </c>
      <c r="C993" s="1082"/>
      <c r="D993" s="1082"/>
      <c r="E993" s="23"/>
      <c r="F993" s="23"/>
      <c r="G993" s="486"/>
      <c r="H993" s="487"/>
      <c r="I993" s="647"/>
      <c r="J993" s="647"/>
      <c r="K993" s="23"/>
      <c r="L993" s="715"/>
      <c r="M993" s="173"/>
      <c r="N993" s="135"/>
      <c r="O993" s="203"/>
      <c r="P993" s="218"/>
      <c r="Q993" s="68"/>
      <c r="R993" s="203"/>
      <c r="S993" s="203"/>
      <c r="T993" s="217"/>
      <c r="U993" s="203"/>
      <c r="V993" s="203"/>
      <c r="W993" s="203"/>
      <c r="X993" s="203"/>
    </row>
    <row r="994" spans="1:24" ht="30" customHeight="1" x14ac:dyDescent="0.35">
      <c r="A994" s="241">
        <v>93410</v>
      </c>
      <c r="B994" s="1082" t="s">
        <v>678</v>
      </c>
      <c r="C994" s="1082"/>
      <c r="D994" s="1082"/>
      <c r="E994" s="680">
        <f>+P791</f>
        <v>8.5</v>
      </c>
      <c r="F994" s="639" t="s">
        <v>283</v>
      </c>
      <c r="G994" s="728">
        <v>279</v>
      </c>
      <c r="H994" s="655" t="s">
        <v>679</v>
      </c>
      <c r="I994" s="731">
        <f>+R791</f>
        <v>0.9432470865927236</v>
      </c>
      <c r="J994" s="446"/>
      <c r="K994" s="453">
        <f>+E994*G994*I994</f>
        <v>2236.9104658546439</v>
      </c>
      <c r="L994" s="243" t="s">
        <v>10</v>
      </c>
      <c r="M994" s="173"/>
      <c r="N994" s="68"/>
      <c r="O994" s="208"/>
      <c r="P994" s="218"/>
      <c r="Q994" s="68"/>
      <c r="R994" s="208"/>
      <c r="S994" s="208"/>
      <c r="T994" s="217"/>
    </row>
    <row r="995" spans="1:24" ht="30" customHeight="1" x14ac:dyDescent="0.35">
      <c r="A995" s="241">
        <v>93210</v>
      </c>
      <c r="B995" s="1082" t="s">
        <v>680</v>
      </c>
      <c r="C995" s="1082"/>
      <c r="D995" s="1082"/>
      <c r="E995" s="680">
        <f>+P793</f>
        <v>47.6</v>
      </c>
      <c r="F995" s="639" t="s">
        <v>283</v>
      </c>
      <c r="G995" s="728">
        <v>215</v>
      </c>
      <c r="H995" s="655" t="s">
        <v>679</v>
      </c>
      <c r="I995" s="731">
        <f>+R793</f>
        <v>0.9432470865927236</v>
      </c>
      <c r="J995" s="446"/>
      <c r="K995" s="453">
        <f>+E995*G995*I995</f>
        <v>9653.1906841899327</v>
      </c>
      <c r="L995" s="243" t="s">
        <v>10</v>
      </c>
      <c r="M995" s="173"/>
      <c r="N995" s="68"/>
      <c r="O995" s="203"/>
      <c r="P995" s="218"/>
      <c r="Q995" s="68"/>
      <c r="T995" s="217"/>
    </row>
    <row r="996" spans="1:24" ht="30" customHeight="1" x14ac:dyDescent="0.35">
      <c r="A996" s="1183" t="s">
        <v>2804</v>
      </c>
      <c r="B996" s="1184"/>
      <c r="C996" s="1184"/>
      <c r="D996" s="1247"/>
      <c r="E996" s="453"/>
      <c r="F996" s="446"/>
      <c r="G996" s="519"/>
      <c r="H996" s="508"/>
      <c r="I996" s="446"/>
      <c r="J996" s="446" t="s">
        <v>362</v>
      </c>
      <c r="K996" s="453">
        <f>SUM(K994:K995)</f>
        <v>11890.101150044577</v>
      </c>
      <c r="L996" s="243" t="s">
        <v>10</v>
      </c>
      <c r="M996" s="173"/>
      <c r="N996" s="68"/>
      <c r="O996" s="203"/>
      <c r="P996" s="218"/>
      <c r="Q996" s="68"/>
      <c r="T996" s="217"/>
    </row>
    <row r="997" spans="1:24" ht="30" customHeight="1" thickBot="1" x14ac:dyDescent="0.4">
      <c r="A997" s="1360"/>
      <c r="B997" s="1109"/>
      <c r="C997" s="1109"/>
      <c r="D997" s="1398"/>
      <c r="E997" s="520"/>
      <c r="F997" s="520"/>
      <c r="G997" s="521" t="s">
        <v>2358</v>
      </c>
      <c r="H997" s="520"/>
      <c r="I997" s="458"/>
      <c r="J997" s="583">
        <f>VLOOKUP(B991,'Mil Cost Premiums for PUCs'!$A$4:$R$272,18,FALSE)</f>
        <v>1.0485669999999998</v>
      </c>
      <c r="K997" s="591">
        <f>+K996*J997</f>
        <v>12467.56769259879</v>
      </c>
      <c r="L997" s="243" t="s">
        <v>10</v>
      </c>
      <c r="M997" s="173"/>
      <c r="N997" s="68"/>
      <c r="O997" s="203"/>
      <c r="P997" s="218"/>
      <c r="Q997" s="68"/>
      <c r="T997" s="217"/>
    </row>
    <row r="998" spans="1:24" ht="30" customHeight="1" thickBot="1" x14ac:dyDescent="0.4">
      <c r="A998" s="736"/>
      <c r="B998" s="494"/>
      <c r="C998" s="494"/>
      <c r="D998" s="494"/>
      <c r="E998" s="494"/>
      <c r="F998" s="494"/>
      <c r="G998" s="494"/>
      <c r="H998" s="494"/>
      <c r="I998" s="494"/>
      <c r="J998" s="468"/>
      <c r="K998" s="468"/>
      <c r="L998" s="737"/>
      <c r="M998" s="173"/>
      <c r="N998" s="68"/>
      <c r="O998" s="203"/>
      <c r="P998" s="218"/>
      <c r="Q998" s="68"/>
      <c r="T998" s="217"/>
    </row>
    <row r="999" spans="1:24" ht="60" customHeight="1" x14ac:dyDescent="0.35">
      <c r="A999" s="465" t="s">
        <v>278</v>
      </c>
      <c r="B999" s="539">
        <v>1769</v>
      </c>
      <c r="C999" s="1017" t="s">
        <v>698</v>
      </c>
      <c r="D999" s="1017"/>
      <c r="E999" s="541" t="s">
        <v>280</v>
      </c>
      <c r="F999" s="542" t="s">
        <v>10</v>
      </c>
      <c r="G999" s="553" t="s">
        <v>2806</v>
      </c>
      <c r="H999" s="587">
        <v>1</v>
      </c>
      <c r="I999" s="541" t="s">
        <v>281</v>
      </c>
      <c r="J999" s="1019" t="s">
        <v>2843</v>
      </c>
      <c r="K999" s="1019"/>
      <c r="L999" s="1020"/>
      <c r="M999" s="173"/>
      <c r="N999" s="68"/>
      <c r="O999" s="203"/>
      <c r="P999" s="218"/>
      <c r="Q999" s="68"/>
      <c r="T999" s="217"/>
    </row>
    <row r="1000" spans="1:24" ht="30" customHeight="1" x14ac:dyDescent="0.35">
      <c r="A1000" s="545" t="s">
        <v>541</v>
      </c>
      <c r="B1000" s="1038" t="s">
        <v>321</v>
      </c>
      <c r="C1000" s="1038"/>
      <c r="D1000" s="1038"/>
      <c r="E1000" s="23" t="s">
        <v>290</v>
      </c>
      <c r="F1000" s="23" t="s">
        <v>322</v>
      </c>
      <c r="G1000" s="1034" t="s">
        <v>323</v>
      </c>
      <c r="H1000" s="1034"/>
      <c r="I1000" s="509" t="s">
        <v>299</v>
      </c>
      <c r="J1000" s="201" t="s">
        <v>302</v>
      </c>
      <c r="K1000" s="1012" t="s">
        <v>292</v>
      </c>
      <c r="L1000" s="1023"/>
      <c r="M1000" s="173"/>
      <c r="N1000" s="68"/>
      <c r="O1000" s="203"/>
      <c r="P1000" s="218"/>
      <c r="Q1000" s="68"/>
      <c r="T1000" s="217"/>
      <c r="U1000" s="208"/>
      <c r="V1000" s="208"/>
      <c r="W1000" s="208"/>
      <c r="X1000" s="208"/>
    </row>
    <row r="1001" spans="1:24" s="208" customFormat="1" ht="30" customHeight="1" x14ac:dyDescent="0.35">
      <c r="A1001" s="545"/>
      <c r="B1001" s="1031" t="s">
        <v>699</v>
      </c>
      <c r="C1001" s="1031"/>
      <c r="D1001" s="1031"/>
      <c r="E1001" s="23"/>
      <c r="F1001" s="23"/>
      <c r="G1001" s="486"/>
      <c r="H1001" s="487"/>
      <c r="I1001" s="647"/>
      <c r="J1001" s="647"/>
      <c r="K1001" s="23"/>
      <c r="L1001" s="715"/>
      <c r="M1001" s="173"/>
      <c r="N1001" s="68"/>
      <c r="O1001" s="203"/>
      <c r="P1001" s="218"/>
      <c r="Q1001" s="68"/>
      <c r="R1001" s="203"/>
      <c r="S1001" s="203"/>
      <c r="T1001" s="217"/>
      <c r="U1001" s="203"/>
      <c r="V1001" s="203"/>
      <c r="W1001" s="203"/>
      <c r="X1001" s="203"/>
    </row>
    <row r="1002" spans="1:24" ht="30" customHeight="1" x14ac:dyDescent="0.35">
      <c r="A1002" s="241" t="s">
        <v>493</v>
      </c>
      <c r="B1002" s="1082" t="s">
        <v>700</v>
      </c>
      <c r="C1002" s="1082"/>
      <c r="D1002" s="1082"/>
      <c r="E1002" s="680">
        <f>+P770</f>
        <v>9.6300000000000008</v>
      </c>
      <c r="F1002" s="446" t="s">
        <v>8</v>
      </c>
      <c r="G1002" s="727">
        <f>16*62</f>
        <v>992</v>
      </c>
      <c r="H1002" s="655" t="s">
        <v>671</v>
      </c>
      <c r="I1002" s="665">
        <f>+R770</f>
        <v>1.02</v>
      </c>
      <c r="J1002" s="665">
        <f>+S770</f>
        <v>0.9907407407407407</v>
      </c>
      <c r="K1002" s="453">
        <f t="shared" ref="K1002:K1011" si="29">+E1002*G1002*I1002*J1002</f>
        <v>9653.7968000000001</v>
      </c>
      <c r="L1002" s="243" t="s">
        <v>10</v>
      </c>
      <c r="M1002" s="173"/>
      <c r="N1002" s="68"/>
      <c r="O1002" s="208"/>
      <c r="P1002" s="218"/>
      <c r="Q1002" s="68"/>
      <c r="R1002" s="208"/>
      <c r="S1002" s="208"/>
      <c r="T1002" s="217"/>
    </row>
    <row r="1003" spans="1:24" ht="30" customHeight="1" x14ac:dyDescent="0.35">
      <c r="A1003" s="241" t="s">
        <v>544</v>
      </c>
      <c r="B1003" s="1059" t="s">
        <v>545</v>
      </c>
      <c r="C1003" s="1059"/>
      <c r="D1003" s="1059"/>
      <c r="E1003" s="680">
        <f>+P776</f>
        <v>475.5</v>
      </c>
      <c r="F1003" s="639" t="s">
        <v>10</v>
      </c>
      <c r="G1003" s="727">
        <v>16</v>
      </c>
      <c r="H1003" s="655" t="s">
        <v>672</v>
      </c>
      <c r="I1003" s="665">
        <f>+R776</f>
        <v>1.01</v>
      </c>
      <c r="J1003" s="665">
        <f>+S776</f>
        <v>0.9907407407407407</v>
      </c>
      <c r="K1003" s="453">
        <f t="shared" si="29"/>
        <v>7612.931111111111</v>
      </c>
      <c r="L1003" s="243" t="s">
        <v>10</v>
      </c>
      <c r="M1003" s="173"/>
      <c r="N1003" s="68"/>
      <c r="O1003" s="203"/>
      <c r="P1003" s="218"/>
      <c r="Q1003" s="68"/>
      <c r="T1003" s="217"/>
    </row>
    <row r="1004" spans="1:24" ht="30" customHeight="1" x14ac:dyDescent="0.35">
      <c r="A1004" s="241" t="s">
        <v>544</v>
      </c>
      <c r="B1004" s="1059" t="s">
        <v>547</v>
      </c>
      <c r="C1004" s="1059"/>
      <c r="D1004" s="1059"/>
      <c r="E1004" s="680">
        <f>+P778</f>
        <v>341</v>
      </c>
      <c r="F1004" s="639" t="s">
        <v>10</v>
      </c>
      <c r="G1004" s="727">
        <v>16</v>
      </c>
      <c r="H1004" s="655" t="s">
        <v>672</v>
      </c>
      <c r="I1004" s="665">
        <f>+R778</f>
        <v>1.01</v>
      </c>
      <c r="J1004" s="665">
        <f>+S778</f>
        <v>0.9907407407407407</v>
      </c>
      <c r="K1004" s="453">
        <f t="shared" si="29"/>
        <v>5459.5362962962963</v>
      </c>
      <c r="L1004" s="243" t="s">
        <v>10</v>
      </c>
      <c r="M1004" s="173"/>
      <c r="N1004" s="68"/>
      <c r="O1004" s="203"/>
      <c r="P1004" s="218"/>
      <c r="Q1004" s="68"/>
      <c r="T1004" s="217"/>
    </row>
    <row r="1005" spans="1:24" ht="30" customHeight="1" x14ac:dyDescent="0.35">
      <c r="A1005" s="241" t="s">
        <v>449</v>
      </c>
      <c r="B1005" s="1059" t="s">
        <v>701</v>
      </c>
      <c r="C1005" s="1059"/>
      <c r="D1005" s="1059"/>
      <c r="E1005" s="680">
        <f>+P774</f>
        <v>19</v>
      </c>
      <c r="F1005" s="446" t="s">
        <v>8</v>
      </c>
      <c r="G1005" s="727">
        <f>80.7*8</f>
        <v>645.6</v>
      </c>
      <c r="H1005" s="655" t="s">
        <v>671</v>
      </c>
      <c r="I1005" s="665">
        <f>+R774</f>
        <v>1.05</v>
      </c>
      <c r="J1005" s="665">
        <f>+S774</f>
        <v>0.9907407407407407</v>
      </c>
      <c r="K1005" s="453">
        <f t="shared" si="29"/>
        <v>12760.463333333331</v>
      </c>
      <c r="L1005" s="243" t="s">
        <v>10</v>
      </c>
      <c r="M1005" s="173"/>
      <c r="N1005" s="68"/>
      <c r="O1005" s="203"/>
      <c r="P1005" s="218"/>
      <c r="Q1005" s="68"/>
      <c r="T1005" s="217"/>
    </row>
    <row r="1006" spans="1:24" ht="30" customHeight="1" x14ac:dyDescent="0.35">
      <c r="A1006" s="241" t="s">
        <v>544</v>
      </c>
      <c r="B1006" s="1059" t="s">
        <v>574</v>
      </c>
      <c r="C1006" s="1059"/>
      <c r="D1006" s="1059"/>
      <c r="E1006" s="680">
        <f>+P777</f>
        <v>862.5</v>
      </c>
      <c r="F1006" s="639" t="s">
        <v>10</v>
      </c>
      <c r="G1006" s="727">
        <v>8</v>
      </c>
      <c r="H1006" s="655" t="s">
        <v>672</v>
      </c>
      <c r="I1006" s="665">
        <f>+R777</f>
        <v>1.01</v>
      </c>
      <c r="J1006" s="665">
        <f>+S777</f>
        <v>0.9907407407407407</v>
      </c>
      <c r="K1006" s="453">
        <f t="shared" si="29"/>
        <v>6904.4722222222217</v>
      </c>
      <c r="L1006" s="243" t="s">
        <v>10</v>
      </c>
      <c r="M1006" s="173"/>
      <c r="N1006" s="68"/>
      <c r="O1006" s="203"/>
      <c r="P1006" s="218"/>
      <c r="Q1006" s="68"/>
      <c r="T1006" s="217"/>
    </row>
    <row r="1007" spans="1:24" ht="30" customHeight="1" x14ac:dyDescent="0.35">
      <c r="A1007" s="241" t="s">
        <v>436</v>
      </c>
      <c r="B1007" s="1059" t="s">
        <v>702</v>
      </c>
      <c r="C1007" s="1059"/>
      <c r="D1007" s="1059"/>
      <c r="E1007" s="680">
        <f>+P784</f>
        <v>18.324999999999999</v>
      </c>
      <c r="F1007" s="639" t="s">
        <v>6</v>
      </c>
      <c r="G1007" s="727">
        <f>49*8</f>
        <v>392</v>
      </c>
      <c r="H1007" s="655" t="s">
        <v>675</v>
      </c>
      <c r="I1007" s="665">
        <f>+R784</f>
        <v>1.02</v>
      </c>
      <c r="J1007" s="665">
        <f>+S784</f>
        <v>0.9907407407407407</v>
      </c>
      <c r="K1007" s="453">
        <f t="shared" si="29"/>
        <v>7259.2247777777775</v>
      </c>
      <c r="L1007" s="243" t="s">
        <v>10</v>
      </c>
      <c r="M1007" s="173"/>
      <c r="N1007" s="68"/>
      <c r="O1007" s="203"/>
      <c r="P1007" s="218"/>
      <c r="Q1007" s="68"/>
      <c r="T1007" s="217"/>
    </row>
    <row r="1008" spans="1:24" ht="30" customHeight="1" x14ac:dyDescent="0.35">
      <c r="A1008" s="241" t="s">
        <v>436</v>
      </c>
      <c r="B1008" s="1059" t="s">
        <v>580</v>
      </c>
      <c r="C1008" s="1059"/>
      <c r="D1008" s="1059"/>
      <c r="E1008" s="680">
        <f>+P785</f>
        <v>2797.5</v>
      </c>
      <c r="F1008" s="639" t="s">
        <v>10</v>
      </c>
      <c r="G1008" s="727">
        <v>8</v>
      </c>
      <c r="H1008" s="655" t="s">
        <v>672</v>
      </c>
      <c r="I1008" s="665">
        <f>+R785</f>
        <v>1.02</v>
      </c>
      <c r="J1008" s="665">
        <f>+S785</f>
        <v>0.9907407407407407</v>
      </c>
      <c r="K1008" s="453">
        <f t="shared" si="29"/>
        <v>22616.233333333334</v>
      </c>
      <c r="L1008" s="243" t="s">
        <v>10</v>
      </c>
      <c r="M1008" s="173"/>
      <c r="N1008" s="68"/>
      <c r="O1008" s="203"/>
      <c r="P1008" s="218"/>
      <c r="Q1008" s="68"/>
      <c r="T1008" s="217"/>
    </row>
    <row r="1009" spans="1:24" ht="30" customHeight="1" x14ac:dyDescent="0.35">
      <c r="A1009" s="241" t="s">
        <v>544</v>
      </c>
      <c r="B1009" s="1059" t="s">
        <v>618</v>
      </c>
      <c r="C1009" s="1059"/>
      <c r="D1009" s="1059"/>
      <c r="E1009" s="680">
        <f>+P780</f>
        <v>1060</v>
      </c>
      <c r="F1009" s="639" t="s">
        <v>10</v>
      </c>
      <c r="G1009" s="727">
        <v>8</v>
      </c>
      <c r="H1009" s="655" t="s">
        <v>672</v>
      </c>
      <c r="I1009" s="665">
        <f t="shared" ref="I1009:J1011" si="30">+R780</f>
        <v>1.01</v>
      </c>
      <c r="J1009" s="665">
        <f t="shared" si="30"/>
        <v>0.9907407407407407</v>
      </c>
      <c r="K1009" s="453">
        <f t="shared" si="29"/>
        <v>8485.4962962962945</v>
      </c>
      <c r="L1009" s="243" t="s">
        <v>10</v>
      </c>
      <c r="M1009" s="173"/>
      <c r="N1009" s="68"/>
      <c r="O1009" s="203"/>
      <c r="P1009" s="218"/>
      <c r="Q1009" s="68"/>
      <c r="T1009" s="217"/>
    </row>
    <row r="1010" spans="1:24" ht="30" customHeight="1" x14ac:dyDescent="0.35">
      <c r="A1010" s="241" t="s">
        <v>548</v>
      </c>
      <c r="B1010" s="1059" t="s">
        <v>603</v>
      </c>
      <c r="C1010" s="1059"/>
      <c r="D1010" s="1059"/>
      <c r="E1010" s="680">
        <f>+P781</f>
        <v>148.79</v>
      </c>
      <c r="F1010" s="639" t="s">
        <v>10</v>
      </c>
      <c r="G1010" s="727">
        <v>96</v>
      </c>
      <c r="H1010" s="655" t="s">
        <v>672</v>
      </c>
      <c r="I1010" s="665">
        <f t="shared" si="30"/>
        <v>1.01</v>
      </c>
      <c r="J1010" s="665">
        <f t="shared" si="30"/>
        <v>0.9907407407407407</v>
      </c>
      <c r="K1010" s="453">
        <f t="shared" si="29"/>
        <v>14293.098044444445</v>
      </c>
      <c r="L1010" s="243" t="s">
        <v>10</v>
      </c>
      <c r="M1010" s="173"/>
      <c r="O1010" s="203"/>
      <c r="P1010" s="218"/>
      <c r="Q1010" s="68"/>
      <c r="T1010" s="217"/>
    </row>
    <row r="1011" spans="1:24" ht="30" customHeight="1" x14ac:dyDescent="0.35">
      <c r="A1011" s="241" t="s">
        <v>550</v>
      </c>
      <c r="B1011" s="1059" t="s">
        <v>703</v>
      </c>
      <c r="C1011" s="1059"/>
      <c r="D1011" s="1059"/>
      <c r="E1011" s="680">
        <f>+P782</f>
        <v>18.47</v>
      </c>
      <c r="F1011" s="639" t="s">
        <v>6</v>
      </c>
      <c r="G1011" s="716">
        <f>356*12</f>
        <v>4272</v>
      </c>
      <c r="H1011" s="655" t="s">
        <v>675</v>
      </c>
      <c r="I1011" s="665">
        <f t="shared" si="30"/>
        <v>1.01</v>
      </c>
      <c r="J1011" s="665">
        <f t="shared" si="30"/>
        <v>0.9907407407407407</v>
      </c>
      <c r="K1011" s="453">
        <f t="shared" si="29"/>
        <v>78954.981377777774</v>
      </c>
      <c r="L1011" s="243" t="s">
        <v>10</v>
      </c>
      <c r="M1011" s="173"/>
      <c r="N1011" s="68"/>
      <c r="O1011" s="203"/>
      <c r="P1011" s="218"/>
      <c r="Q1011" s="68"/>
      <c r="T1011" s="217"/>
    </row>
    <row r="1012" spans="1:24" ht="30" customHeight="1" x14ac:dyDescent="0.35">
      <c r="A1012" s="241">
        <v>93410</v>
      </c>
      <c r="B1012" s="1059" t="s">
        <v>704</v>
      </c>
      <c r="C1012" s="1059"/>
      <c r="D1012" s="1059"/>
      <c r="E1012" s="645">
        <f>+P792</f>
        <v>1.1000000000000001</v>
      </c>
      <c r="F1012" s="639" t="s">
        <v>3</v>
      </c>
      <c r="G1012" s="716">
        <v>478</v>
      </c>
      <c r="H1012" s="655" t="s">
        <v>676</v>
      </c>
      <c r="I1012" s="731">
        <f>+R792</f>
        <v>0.9432470865927236</v>
      </c>
      <c r="J1012" s="665"/>
      <c r="K1012" s="453">
        <f>+E1012*G1012*I1012</f>
        <v>495.95931813045411</v>
      </c>
      <c r="L1012" s="243" t="s">
        <v>10</v>
      </c>
      <c r="M1012" s="173"/>
      <c r="N1012" s="68"/>
      <c r="O1012" s="203"/>
      <c r="P1012" s="218"/>
      <c r="Q1012" s="68"/>
      <c r="T1012" s="217"/>
    </row>
    <row r="1013" spans="1:24" ht="30" customHeight="1" x14ac:dyDescent="0.35">
      <c r="A1013" s="241" t="s">
        <v>493</v>
      </c>
      <c r="B1013" s="1059" t="s">
        <v>705</v>
      </c>
      <c r="C1013" s="1059"/>
      <c r="D1013" s="1059"/>
      <c r="E1013" s="680">
        <f>+P773</f>
        <v>11.77</v>
      </c>
      <c r="F1013" s="446" t="s">
        <v>8</v>
      </c>
      <c r="G1013" s="716">
        <f>481*2</f>
        <v>962</v>
      </c>
      <c r="H1013" s="655" t="s">
        <v>671</v>
      </c>
      <c r="I1013" s="665">
        <f>+R773</f>
        <v>1.02</v>
      </c>
      <c r="J1013" s="665">
        <f>+S773</f>
        <v>0.9907407407407407</v>
      </c>
      <c r="K1013" s="453">
        <f>+E1013*G1013*I1013*J1013</f>
        <v>11442.257811111111</v>
      </c>
      <c r="L1013" s="243" t="s">
        <v>10</v>
      </c>
      <c r="M1013" s="173"/>
      <c r="N1013" s="68"/>
      <c r="O1013" s="203"/>
      <c r="P1013" s="218"/>
      <c r="Q1013" s="68"/>
      <c r="T1013" s="217"/>
    </row>
    <row r="1014" spans="1:24" ht="30" customHeight="1" x14ac:dyDescent="0.35">
      <c r="A1014" s="241" t="s">
        <v>493</v>
      </c>
      <c r="B1014" s="1059" t="s">
        <v>706</v>
      </c>
      <c r="C1014" s="1059"/>
      <c r="D1014" s="1059"/>
      <c r="E1014" s="680">
        <f>+P770</f>
        <v>9.6300000000000008</v>
      </c>
      <c r="F1014" s="446" t="s">
        <v>8</v>
      </c>
      <c r="G1014" s="716">
        <f>128*2</f>
        <v>256</v>
      </c>
      <c r="H1014" s="655" t="s">
        <v>671</v>
      </c>
      <c r="I1014" s="665">
        <f>+R770</f>
        <v>1.02</v>
      </c>
      <c r="J1014" s="665">
        <f>+S770</f>
        <v>0.9907407407407407</v>
      </c>
      <c r="K1014" s="453">
        <f>+E1014*G1014*I1014*J1014</f>
        <v>2491.3024</v>
      </c>
      <c r="L1014" s="243" t="s">
        <v>10</v>
      </c>
      <c r="M1014" s="173"/>
      <c r="N1014" s="68"/>
      <c r="O1014" s="203"/>
      <c r="P1014" s="218"/>
      <c r="Q1014" s="68"/>
      <c r="T1014" s="217"/>
    </row>
    <row r="1015" spans="1:24" ht="30" customHeight="1" x14ac:dyDescent="0.35">
      <c r="A1015" s="241">
        <v>93410</v>
      </c>
      <c r="B1015" s="1082" t="s">
        <v>707</v>
      </c>
      <c r="C1015" s="1082"/>
      <c r="D1015" s="1082"/>
      <c r="E1015" s="680">
        <f>+P791</f>
        <v>8.5</v>
      </c>
      <c r="F1015" s="639" t="s">
        <v>283</v>
      </c>
      <c r="G1015" s="716">
        <v>575</v>
      </c>
      <c r="H1015" s="655" t="s">
        <v>679</v>
      </c>
      <c r="I1015" s="721">
        <f>+R791</f>
        <v>0.9432470865927236</v>
      </c>
      <c r="J1015" s="665"/>
      <c r="K1015" s="453">
        <f>+E1015*G1015*I1015</f>
        <v>4610.120135721937</v>
      </c>
      <c r="L1015" s="243" t="s">
        <v>10</v>
      </c>
      <c r="M1015" s="173"/>
      <c r="N1015" s="68"/>
      <c r="O1015" s="203"/>
      <c r="P1015" s="218"/>
      <c r="Q1015" s="68"/>
      <c r="T1015" s="217"/>
    </row>
    <row r="1016" spans="1:24" ht="30" customHeight="1" x14ac:dyDescent="0.35">
      <c r="A1016" s="241">
        <v>93210</v>
      </c>
      <c r="B1016" s="1082" t="s">
        <v>708</v>
      </c>
      <c r="C1016" s="1082"/>
      <c r="D1016" s="1082"/>
      <c r="E1016" s="680">
        <f>+P793</f>
        <v>47.6</v>
      </c>
      <c r="F1016" s="639" t="s">
        <v>283</v>
      </c>
      <c r="G1016" s="716">
        <v>156</v>
      </c>
      <c r="H1016" s="655" t="s">
        <v>679</v>
      </c>
      <c r="I1016" s="731">
        <f>+R793</f>
        <v>0.9432470865927236</v>
      </c>
      <c r="J1016" s="665"/>
      <c r="K1016" s="453">
        <f>+E1016*G1016*I1016</f>
        <v>7004.1755662029291</v>
      </c>
      <c r="L1016" s="243" t="s">
        <v>10</v>
      </c>
      <c r="M1016" s="173"/>
      <c r="N1016" s="68"/>
      <c r="O1016" s="203"/>
      <c r="P1016" s="218"/>
      <c r="Q1016" s="68"/>
      <c r="T1016" s="217"/>
    </row>
    <row r="1017" spans="1:24" ht="30" customHeight="1" x14ac:dyDescent="0.35">
      <c r="A1017" s="1183" t="s">
        <v>2804</v>
      </c>
      <c r="B1017" s="1184"/>
      <c r="C1017" s="1184"/>
      <c r="D1017" s="1184"/>
      <c r="E1017" s="453"/>
      <c r="F1017" s="446"/>
      <c r="G1017" s="519"/>
      <c r="H1017" s="508"/>
      <c r="I1017" s="446"/>
      <c r="J1017" s="446" t="s">
        <v>362</v>
      </c>
      <c r="K1017" s="453">
        <f>SUM(K1002:K1016)</f>
        <v>200044.04882375899</v>
      </c>
      <c r="L1017" s="243" t="s">
        <v>10</v>
      </c>
      <c r="M1017" s="173"/>
      <c r="N1017" s="137"/>
      <c r="O1017" s="203"/>
      <c r="P1017" s="218"/>
      <c r="Q1017" s="68"/>
      <c r="T1017" s="217"/>
    </row>
    <row r="1018" spans="1:24" ht="30" customHeight="1" thickBot="1" x14ac:dyDescent="0.4">
      <c r="A1018" s="1183"/>
      <c r="B1018" s="1184"/>
      <c r="C1018" s="1184"/>
      <c r="D1018" s="1184"/>
      <c r="E1018" s="458"/>
      <c r="F1018" s="458"/>
      <c r="G1018" s="592" t="s">
        <v>2358</v>
      </c>
      <c r="H1018" s="458"/>
      <c r="I1018" s="458"/>
      <c r="J1018" s="583">
        <f>VLOOKUP(B999,'Mil Cost Premiums for PUCs'!$A$4:$R$272,18,FALSE)</f>
        <v>1.0485669999999998</v>
      </c>
      <c r="K1018" s="591">
        <f>+K1017*J1018</f>
        <v>209759.58814298245</v>
      </c>
      <c r="L1018" s="243" t="s">
        <v>10</v>
      </c>
      <c r="M1018" s="173"/>
      <c r="N1018" s="248"/>
      <c r="O1018" s="203"/>
      <c r="P1018" s="218"/>
      <c r="Q1018" s="68"/>
      <c r="T1018" s="217"/>
    </row>
    <row r="1019" spans="1:24" ht="30" customHeight="1" thickBot="1" x14ac:dyDescent="0.4">
      <c r="A1019" s="1086"/>
      <c r="B1019" s="1086"/>
      <c r="C1019" s="1086"/>
      <c r="D1019" s="1086"/>
      <c r="E1019" s="1086"/>
      <c r="F1019" s="1086"/>
      <c r="G1019" s="1086"/>
      <c r="H1019" s="1086"/>
      <c r="I1019" s="1086"/>
      <c r="J1019" s="1086"/>
      <c r="K1019" s="1086"/>
      <c r="L1019" s="1103"/>
      <c r="M1019" s="173"/>
      <c r="N1019" s="68"/>
      <c r="O1019" s="203"/>
      <c r="P1019" s="218"/>
      <c r="Q1019" s="68"/>
      <c r="T1019" s="217"/>
    </row>
    <row r="1020" spans="1:24" ht="75" customHeight="1" x14ac:dyDescent="0.35">
      <c r="A1020" s="465" t="s">
        <v>278</v>
      </c>
      <c r="B1020" s="539">
        <v>1771</v>
      </c>
      <c r="C1020" s="1017" t="s">
        <v>709</v>
      </c>
      <c r="D1020" s="1017"/>
      <c r="E1020" s="541" t="s">
        <v>280</v>
      </c>
      <c r="F1020" s="542" t="s">
        <v>49</v>
      </c>
      <c r="G1020" s="553" t="s">
        <v>710</v>
      </c>
      <c r="H1020" s="587">
        <v>1</v>
      </c>
      <c r="I1020" s="541" t="s">
        <v>281</v>
      </c>
      <c r="J1020" s="1019" t="s">
        <v>2805</v>
      </c>
      <c r="K1020" s="1019"/>
      <c r="L1020" s="1020"/>
      <c r="M1020" s="173"/>
      <c r="N1020" s="68"/>
      <c r="O1020" s="203"/>
      <c r="P1020" s="218"/>
      <c r="Q1020" s="68"/>
      <c r="T1020" s="217"/>
    </row>
    <row r="1021" spans="1:24" ht="30" customHeight="1" x14ac:dyDescent="0.35">
      <c r="A1021" s="545" t="s">
        <v>541</v>
      </c>
      <c r="B1021" s="1038" t="s">
        <v>321</v>
      </c>
      <c r="C1021" s="1038"/>
      <c r="D1021" s="1038"/>
      <c r="E1021" s="23" t="s">
        <v>290</v>
      </c>
      <c r="F1021" s="23" t="s">
        <v>322</v>
      </c>
      <c r="G1021" s="1034" t="s">
        <v>323</v>
      </c>
      <c r="H1021" s="1034"/>
      <c r="I1021" s="509" t="s">
        <v>299</v>
      </c>
      <c r="J1021" s="201" t="s">
        <v>302</v>
      </c>
      <c r="K1021" s="1012" t="s">
        <v>292</v>
      </c>
      <c r="L1021" s="1023"/>
      <c r="M1021" s="173"/>
      <c r="N1021" s="68"/>
      <c r="O1021" s="203"/>
      <c r="P1021" s="218"/>
      <c r="Q1021" s="68"/>
      <c r="T1021" s="217"/>
      <c r="U1021" s="208"/>
      <c r="V1021" s="208"/>
      <c r="W1021" s="208"/>
      <c r="X1021" s="208"/>
    </row>
    <row r="1022" spans="1:24" s="208" customFormat="1" ht="30" customHeight="1" x14ac:dyDescent="0.35">
      <c r="A1022" s="545"/>
      <c r="B1022" s="1031" t="s">
        <v>711</v>
      </c>
      <c r="C1022" s="1031"/>
      <c r="D1022" s="1031"/>
      <c r="E1022" s="23"/>
      <c r="F1022" s="23"/>
      <c r="G1022" s="486"/>
      <c r="H1022" s="487"/>
      <c r="I1022" s="647"/>
      <c r="J1022" s="647"/>
      <c r="K1022" s="23"/>
      <c r="L1022" s="715"/>
      <c r="M1022" s="173"/>
      <c r="N1022" s="68"/>
      <c r="O1022" s="203"/>
      <c r="P1022" s="218"/>
      <c r="Q1022" s="68"/>
      <c r="R1022" s="203"/>
      <c r="S1022" s="203"/>
      <c r="T1022" s="217"/>
      <c r="U1022" s="203"/>
      <c r="V1022" s="203"/>
      <c r="W1022" s="203"/>
      <c r="X1022" s="203"/>
    </row>
    <row r="1023" spans="1:24" ht="30" customHeight="1" x14ac:dyDescent="0.35">
      <c r="A1023" s="241" t="s">
        <v>493</v>
      </c>
      <c r="B1023" s="1082" t="s">
        <v>712</v>
      </c>
      <c r="C1023" s="1082"/>
      <c r="D1023" s="1082"/>
      <c r="E1023" s="680">
        <f>+P770</f>
        <v>9.6300000000000008</v>
      </c>
      <c r="F1023" s="446" t="s">
        <v>8</v>
      </c>
      <c r="G1023" s="716">
        <f>146*62</f>
        <v>9052</v>
      </c>
      <c r="H1023" s="655" t="s">
        <v>633</v>
      </c>
      <c r="I1023" s="665">
        <f>+R770</f>
        <v>1.02</v>
      </c>
      <c r="J1023" s="665">
        <f>+S770</f>
        <v>0.9907407407407407</v>
      </c>
      <c r="K1023" s="453">
        <f t="shared" ref="K1023:K1034" si="31">+E1023*G1023*I1023*J1023</f>
        <v>88090.895800000013</v>
      </c>
      <c r="L1023" s="243" t="s">
        <v>49</v>
      </c>
      <c r="M1023" s="173"/>
      <c r="N1023" s="68"/>
      <c r="O1023" s="208"/>
      <c r="P1023" s="218"/>
      <c r="Q1023" s="68"/>
      <c r="R1023" s="208"/>
      <c r="S1023" s="208"/>
      <c r="T1023" s="217"/>
    </row>
    <row r="1024" spans="1:24" ht="30" customHeight="1" x14ac:dyDescent="0.35">
      <c r="A1024" s="241" t="s">
        <v>544</v>
      </c>
      <c r="B1024" s="1082" t="s">
        <v>545</v>
      </c>
      <c r="C1024" s="1082"/>
      <c r="D1024" s="1082"/>
      <c r="E1024" s="680">
        <f>+P776</f>
        <v>475.5</v>
      </c>
      <c r="F1024" s="639" t="s">
        <v>10</v>
      </c>
      <c r="G1024" s="716">
        <v>146</v>
      </c>
      <c r="H1024" s="655" t="s">
        <v>659</v>
      </c>
      <c r="I1024" s="665">
        <f>+R776</f>
        <v>1.01</v>
      </c>
      <c r="J1024" s="665">
        <f>+S776</f>
        <v>0.9907407407407407</v>
      </c>
      <c r="K1024" s="453">
        <f t="shared" si="31"/>
        <v>69467.996388888889</v>
      </c>
      <c r="L1024" s="243" t="s">
        <v>49</v>
      </c>
      <c r="M1024" s="173"/>
      <c r="N1024" s="68"/>
      <c r="O1024" s="203"/>
      <c r="P1024" s="218"/>
      <c r="Q1024" s="68"/>
      <c r="T1024" s="217"/>
    </row>
    <row r="1025" spans="1:20" ht="30" customHeight="1" x14ac:dyDescent="0.35">
      <c r="A1025" s="241" t="s">
        <v>544</v>
      </c>
      <c r="B1025" s="1059" t="s">
        <v>547</v>
      </c>
      <c r="C1025" s="1059"/>
      <c r="D1025" s="1059"/>
      <c r="E1025" s="680">
        <f>+P778</f>
        <v>341</v>
      </c>
      <c r="F1025" s="639" t="s">
        <v>10</v>
      </c>
      <c r="G1025" s="716">
        <v>146</v>
      </c>
      <c r="H1025" s="655" t="s">
        <v>659</v>
      </c>
      <c r="I1025" s="665">
        <f>+R778</f>
        <v>1.01</v>
      </c>
      <c r="J1025" s="665">
        <f>+S778</f>
        <v>0.9907407407407407</v>
      </c>
      <c r="K1025" s="453">
        <f t="shared" si="31"/>
        <v>49818.268703703703</v>
      </c>
      <c r="L1025" s="243" t="s">
        <v>49</v>
      </c>
      <c r="M1025" s="173"/>
      <c r="N1025" s="68"/>
      <c r="O1025" s="203"/>
      <c r="P1025" s="218"/>
      <c r="Q1025" s="68"/>
      <c r="T1025" s="217"/>
    </row>
    <row r="1026" spans="1:20" ht="30" customHeight="1" x14ac:dyDescent="0.35">
      <c r="A1026" s="241" t="s">
        <v>493</v>
      </c>
      <c r="B1026" s="1059" t="s">
        <v>713</v>
      </c>
      <c r="C1026" s="1059"/>
      <c r="D1026" s="1059"/>
      <c r="E1026" s="680">
        <f>+P773</f>
        <v>11.77</v>
      </c>
      <c r="F1026" s="446" t="s">
        <v>8</v>
      </c>
      <c r="G1026" s="716">
        <f>30*468</f>
        <v>14040</v>
      </c>
      <c r="H1026" s="655" t="s">
        <v>633</v>
      </c>
      <c r="I1026" s="665">
        <f>+R773</f>
        <v>1.02</v>
      </c>
      <c r="J1026" s="665">
        <f>+S773</f>
        <v>0.9907407407407407</v>
      </c>
      <c r="K1026" s="453">
        <f t="shared" si="31"/>
        <v>166995.11399999997</v>
      </c>
      <c r="L1026" s="243" t="s">
        <v>49</v>
      </c>
      <c r="M1026" s="173"/>
      <c r="N1026" s="68"/>
      <c r="O1026" s="203"/>
      <c r="P1026" s="218"/>
      <c r="Q1026" s="68"/>
      <c r="T1026" s="217"/>
    </row>
    <row r="1027" spans="1:20" ht="30" customHeight="1" x14ac:dyDescent="0.35">
      <c r="A1027" s="241" t="s">
        <v>449</v>
      </c>
      <c r="B1027" s="1059" t="s">
        <v>714</v>
      </c>
      <c r="C1027" s="1059"/>
      <c r="D1027" s="1059"/>
      <c r="E1027" s="680">
        <f>+P774</f>
        <v>19</v>
      </c>
      <c r="F1027" s="446" t="s">
        <v>8</v>
      </c>
      <c r="G1027" s="716">
        <f>2152*6</f>
        <v>12912</v>
      </c>
      <c r="H1027" s="655" t="s">
        <v>633</v>
      </c>
      <c r="I1027" s="665">
        <f>+R774</f>
        <v>1.05</v>
      </c>
      <c r="J1027" s="665">
        <f>+S774</f>
        <v>0.9907407407407407</v>
      </c>
      <c r="K1027" s="453">
        <f t="shared" si="31"/>
        <v>255209.26666666669</v>
      </c>
      <c r="L1027" s="243" t="s">
        <v>49</v>
      </c>
      <c r="M1027" s="173"/>
      <c r="N1027" s="68"/>
      <c r="O1027" s="203"/>
      <c r="P1027" s="218"/>
      <c r="Q1027" s="68"/>
      <c r="T1027" s="217"/>
    </row>
    <row r="1028" spans="1:20" ht="30" customHeight="1" x14ac:dyDescent="0.35">
      <c r="A1028" s="241" t="s">
        <v>449</v>
      </c>
      <c r="B1028" s="1059" t="s">
        <v>715</v>
      </c>
      <c r="C1028" s="1059"/>
      <c r="D1028" s="1059"/>
      <c r="E1028" s="680">
        <f>+P774</f>
        <v>19</v>
      </c>
      <c r="F1028" s="446" t="s">
        <v>8</v>
      </c>
      <c r="G1028" s="716">
        <f>80.7*4</f>
        <v>322.8</v>
      </c>
      <c r="H1028" s="655" t="s">
        <v>633</v>
      </c>
      <c r="I1028" s="665">
        <f>+R774</f>
        <v>1.05</v>
      </c>
      <c r="J1028" s="665">
        <f>+S774</f>
        <v>0.9907407407407407</v>
      </c>
      <c r="K1028" s="453">
        <f t="shared" si="31"/>
        <v>6380.2316666666657</v>
      </c>
      <c r="L1028" s="243" t="s">
        <v>49</v>
      </c>
      <c r="M1028" s="173"/>
      <c r="N1028" s="68"/>
      <c r="O1028" s="203"/>
      <c r="P1028" s="218"/>
      <c r="Q1028" s="68"/>
      <c r="T1028" s="217"/>
    </row>
    <row r="1029" spans="1:20" ht="30" customHeight="1" x14ac:dyDescent="0.35">
      <c r="A1029" s="241" t="s">
        <v>544</v>
      </c>
      <c r="B1029" s="1059" t="s">
        <v>574</v>
      </c>
      <c r="C1029" s="1059"/>
      <c r="D1029" s="1059"/>
      <c r="E1029" s="680">
        <f>+P777</f>
        <v>862.5</v>
      </c>
      <c r="F1029" s="639" t="s">
        <v>10</v>
      </c>
      <c r="G1029" s="716">
        <v>40</v>
      </c>
      <c r="H1029" s="655" t="s">
        <v>659</v>
      </c>
      <c r="I1029" s="665">
        <f>+R777</f>
        <v>1.01</v>
      </c>
      <c r="J1029" s="665">
        <f>+S777</f>
        <v>0.9907407407407407</v>
      </c>
      <c r="K1029" s="453">
        <f t="shared" si="31"/>
        <v>34522.361111111109</v>
      </c>
      <c r="L1029" s="243" t="s">
        <v>49</v>
      </c>
      <c r="M1029" s="173"/>
      <c r="N1029" s="68"/>
      <c r="O1029" s="203"/>
      <c r="P1029" s="218"/>
      <c r="Q1029" s="68"/>
      <c r="T1029" s="217"/>
    </row>
    <row r="1030" spans="1:20" ht="30" customHeight="1" x14ac:dyDescent="0.35">
      <c r="A1030" s="241" t="s">
        <v>436</v>
      </c>
      <c r="B1030" s="1059" t="s">
        <v>716</v>
      </c>
      <c r="C1030" s="1059"/>
      <c r="D1030" s="1059"/>
      <c r="E1030" s="680">
        <f>+P784</f>
        <v>18.324999999999999</v>
      </c>
      <c r="F1030" s="639" t="s">
        <v>6</v>
      </c>
      <c r="G1030" s="716">
        <f>+((656*6)+(49*4))</f>
        <v>4132</v>
      </c>
      <c r="H1030" s="655" t="s">
        <v>661</v>
      </c>
      <c r="I1030" s="665">
        <f>+R784</f>
        <v>1.02</v>
      </c>
      <c r="J1030" s="665">
        <f>+S784</f>
        <v>0.9907407407407407</v>
      </c>
      <c r="K1030" s="453">
        <f t="shared" si="31"/>
        <v>76518.155055555544</v>
      </c>
      <c r="L1030" s="243" t="s">
        <v>49</v>
      </c>
      <c r="M1030" s="173"/>
      <c r="N1030" s="135"/>
      <c r="O1030" s="203"/>
      <c r="P1030" s="218"/>
      <c r="Q1030" s="68"/>
      <c r="T1030" s="217"/>
    </row>
    <row r="1031" spans="1:20" ht="30" customHeight="1" x14ac:dyDescent="0.35">
      <c r="A1031" s="241" t="s">
        <v>436</v>
      </c>
      <c r="B1031" s="1059" t="s">
        <v>688</v>
      </c>
      <c r="C1031" s="1059"/>
      <c r="D1031" s="1059"/>
      <c r="E1031" s="680">
        <f>+P785</f>
        <v>2797.5</v>
      </c>
      <c r="F1031" s="639" t="s">
        <v>10</v>
      </c>
      <c r="G1031" s="716">
        <v>10</v>
      </c>
      <c r="H1031" s="655" t="s">
        <v>659</v>
      </c>
      <c r="I1031" s="665">
        <f>+R785</f>
        <v>1.02</v>
      </c>
      <c r="J1031" s="665">
        <f>+S785</f>
        <v>0.9907407407407407</v>
      </c>
      <c r="K1031" s="453">
        <f t="shared" si="31"/>
        <v>28270.291666666664</v>
      </c>
      <c r="L1031" s="243" t="s">
        <v>49</v>
      </c>
      <c r="M1031" s="173"/>
      <c r="N1031" s="135"/>
      <c r="O1031" s="203"/>
      <c r="P1031" s="218"/>
      <c r="Q1031" s="68"/>
      <c r="T1031" s="217"/>
    </row>
    <row r="1032" spans="1:20" ht="30" customHeight="1" x14ac:dyDescent="0.35">
      <c r="A1032" s="241" t="s">
        <v>544</v>
      </c>
      <c r="B1032" s="1059" t="s">
        <v>618</v>
      </c>
      <c r="C1032" s="1059"/>
      <c r="D1032" s="1059"/>
      <c r="E1032" s="680">
        <f>+P780</f>
        <v>1060</v>
      </c>
      <c r="F1032" s="639" t="s">
        <v>10</v>
      </c>
      <c r="G1032" s="716">
        <v>40</v>
      </c>
      <c r="H1032" s="655" t="s">
        <v>659</v>
      </c>
      <c r="I1032" s="665">
        <f t="shared" ref="I1032:J1034" si="32">+R780</f>
        <v>1.01</v>
      </c>
      <c r="J1032" s="665">
        <f t="shared" si="32"/>
        <v>0.9907407407407407</v>
      </c>
      <c r="K1032" s="453">
        <f t="shared" si="31"/>
        <v>42427.481481481482</v>
      </c>
      <c r="L1032" s="243" t="s">
        <v>49</v>
      </c>
      <c r="M1032" s="173"/>
      <c r="N1032" s="68"/>
      <c r="O1032" s="203"/>
      <c r="P1032" s="218"/>
      <c r="Q1032" s="68"/>
      <c r="T1032" s="217"/>
    </row>
    <row r="1033" spans="1:20" ht="30" customHeight="1" x14ac:dyDescent="0.35">
      <c r="A1033" s="241" t="s">
        <v>548</v>
      </c>
      <c r="B1033" s="1059" t="s">
        <v>689</v>
      </c>
      <c r="C1033" s="1059"/>
      <c r="D1033" s="1059"/>
      <c r="E1033" s="680">
        <f>+P781</f>
        <v>148.79</v>
      </c>
      <c r="F1033" s="639" t="s">
        <v>10</v>
      </c>
      <c r="G1033" s="716">
        <v>774</v>
      </c>
      <c r="H1033" s="655" t="s">
        <v>659</v>
      </c>
      <c r="I1033" s="665">
        <f t="shared" si="32"/>
        <v>1.01</v>
      </c>
      <c r="J1033" s="665">
        <f t="shared" si="32"/>
        <v>0.9907407407407407</v>
      </c>
      <c r="K1033" s="453">
        <f t="shared" si="31"/>
        <v>115238.10298333333</v>
      </c>
      <c r="L1033" s="243" t="s">
        <v>49</v>
      </c>
      <c r="M1033" s="173"/>
      <c r="N1033" s="68"/>
      <c r="O1033" s="203"/>
      <c r="P1033" s="218"/>
      <c r="Q1033" s="68"/>
      <c r="T1033" s="217"/>
    </row>
    <row r="1034" spans="1:20" ht="30" customHeight="1" x14ac:dyDescent="0.35">
      <c r="A1034" s="241" t="s">
        <v>550</v>
      </c>
      <c r="B1034" s="1082" t="s">
        <v>690</v>
      </c>
      <c r="C1034" s="1082"/>
      <c r="D1034" s="1082"/>
      <c r="E1034" s="680">
        <f>+P782</f>
        <v>18.47</v>
      </c>
      <c r="F1034" s="639" t="s">
        <v>6</v>
      </c>
      <c r="G1034" s="716">
        <v>165233</v>
      </c>
      <c r="H1034" s="655" t="s">
        <v>661</v>
      </c>
      <c r="I1034" s="665">
        <f t="shared" si="32"/>
        <v>1.01</v>
      </c>
      <c r="J1034" s="665">
        <f t="shared" si="32"/>
        <v>0.9907407407407407</v>
      </c>
      <c r="K1034" s="453">
        <f t="shared" si="31"/>
        <v>3053831.5632009255</v>
      </c>
      <c r="L1034" s="243" t="s">
        <v>49</v>
      </c>
      <c r="M1034" s="173"/>
      <c r="N1034" s="68"/>
      <c r="O1034" s="203"/>
      <c r="P1034" s="218"/>
      <c r="Q1034" s="68"/>
      <c r="T1034" s="217"/>
    </row>
    <row r="1035" spans="1:20" ht="30" customHeight="1" x14ac:dyDescent="0.35">
      <c r="A1035" s="241">
        <v>93410</v>
      </c>
      <c r="B1035" s="1082" t="s">
        <v>717</v>
      </c>
      <c r="C1035" s="1082"/>
      <c r="D1035" s="1082"/>
      <c r="E1035" s="645">
        <f>+P792</f>
        <v>1.1000000000000001</v>
      </c>
      <c r="F1035" s="639" t="s">
        <v>3</v>
      </c>
      <c r="G1035" s="716">
        <v>2488</v>
      </c>
      <c r="H1035" s="655" t="s">
        <v>664</v>
      </c>
      <c r="I1035" s="731">
        <f>+R792</f>
        <v>0.9432470865927236</v>
      </c>
      <c r="J1035" s="446"/>
      <c r="K1035" s="453">
        <f>+E1035*G1035*I1035</f>
        <v>2581.4786265869661</v>
      </c>
      <c r="L1035" s="243" t="s">
        <v>49</v>
      </c>
      <c r="M1035" s="173"/>
      <c r="O1035" s="203"/>
      <c r="P1035" s="218"/>
      <c r="Q1035" s="68"/>
      <c r="T1035" s="217"/>
    </row>
    <row r="1036" spans="1:20" ht="30" customHeight="1" x14ac:dyDescent="0.35">
      <c r="A1036" s="241" t="s">
        <v>493</v>
      </c>
      <c r="B1036" s="1082" t="s">
        <v>718</v>
      </c>
      <c r="C1036" s="1082"/>
      <c r="D1036" s="1082"/>
      <c r="E1036" s="680">
        <f>+P773</f>
        <v>11.77</v>
      </c>
      <c r="F1036" s="446" t="s">
        <v>8</v>
      </c>
      <c r="G1036" s="716">
        <f>481*8</f>
        <v>3848</v>
      </c>
      <c r="H1036" s="655" t="s">
        <v>633</v>
      </c>
      <c r="I1036" s="446">
        <f>+R773</f>
        <v>1.02</v>
      </c>
      <c r="J1036" s="665">
        <f>+S773</f>
        <v>0.9907407407407407</v>
      </c>
      <c r="K1036" s="453">
        <f>+E1036*G1036*I1036*J1036</f>
        <v>45769.031244444443</v>
      </c>
      <c r="L1036" s="243" t="s">
        <v>49</v>
      </c>
      <c r="M1036" s="173"/>
      <c r="N1036" s="68"/>
      <c r="O1036" s="203"/>
      <c r="P1036" s="218"/>
      <c r="Q1036" s="68"/>
      <c r="T1036" s="217"/>
    </row>
    <row r="1037" spans="1:20" ht="30" customHeight="1" x14ac:dyDescent="0.35">
      <c r="A1037" s="241">
        <v>93410</v>
      </c>
      <c r="B1037" s="1082" t="s">
        <v>719</v>
      </c>
      <c r="C1037" s="1082"/>
      <c r="D1037" s="1082"/>
      <c r="E1037" s="680">
        <f>+P791</f>
        <v>8.5</v>
      </c>
      <c r="F1037" s="639" t="s">
        <v>283</v>
      </c>
      <c r="G1037" s="716">
        <v>5713</v>
      </c>
      <c r="H1037" s="655" t="s">
        <v>635</v>
      </c>
      <c r="I1037" s="731">
        <f>+R791</f>
        <v>0.9432470865927236</v>
      </c>
      <c r="J1037" s="446"/>
      <c r="K1037" s="453">
        <f>+E1037*G1037*I1037</f>
        <v>45804.550148485956</v>
      </c>
      <c r="L1037" s="243" t="s">
        <v>49</v>
      </c>
      <c r="M1037" s="173"/>
      <c r="N1037" s="68"/>
      <c r="O1037" s="203"/>
      <c r="P1037" s="218"/>
      <c r="Q1037" s="68"/>
      <c r="T1037" s="217"/>
    </row>
    <row r="1038" spans="1:20" ht="30" customHeight="1" x14ac:dyDescent="0.35">
      <c r="A1038" s="241" t="s">
        <v>331</v>
      </c>
      <c r="B1038" s="1082" t="s">
        <v>720</v>
      </c>
      <c r="C1038" s="1082"/>
      <c r="D1038" s="1082"/>
      <c r="E1038" s="645">
        <f>+P769</f>
        <v>3269</v>
      </c>
      <c r="F1038" s="639" t="s">
        <v>10</v>
      </c>
      <c r="G1038" s="716">
        <v>2</v>
      </c>
      <c r="H1038" s="655" t="s">
        <v>659</v>
      </c>
      <c r="I1038" s="446">
        <f>+R769</f>
        <v>1.03</v>
      </c>
      <c r="J1038" s="665">
        <f>+S769</f>
        <v>0.9907407407407407</v>
      </c>
      <c r="K1038" s="453">
        <f>+E1038*G1038*I1038*J1038</f>
        <v>6671.7868518518517</v>
      </c>
      <c r="L1038" s="243" t="s">
        <v>49</v>
      </c>
      <c r="M1038" s="173"/>
      <c r="N1038" s="249"/>
      <c r="O1038" s="203"/>
      <c r="P1038" s="218"/>
      <c r="Q1038" s="68"/>
      <c r="T1038" s="217"/>
    </row>
    <row r="1039" spans="1:20" ht="30" customHeight="1" x14ac:dyDescent="0.35">
      <c r="A1039" s="241">
        <v>93210</v>
      </c>
      <c r="B1039" s="1082" t="s">
        <v>721</v>
      </c>
      <c r="C1039" s="1082"/>
      <c r="D1039" s="1082"/>
      <c r="E1039" s="680">
        <f>+P793</f>
        <v>47.6</v>
      </c>
      <c r="F1039" s="639" t="s">
        <v>283</v>
      </c>
      <c r="G1039" s="716">
        <v>7850</v>
      </c>
      <c r="H1039" s="655" t="s">
        <v>635</v>
      </c>
      <c r="I1039" s="731">
        <f>+R793</f>
        <v>0.9432470865927236</v>
      </c>
      <c r="J1039" s="446"/>
      <c r="K1039" s="453">
        <f>+E1039*G1039*I1039</f>
        <v>352453.7063762371</v>
      </c>
      <c r="L1039" s="243" t="s">
        <v>49</v>
      </c>
      <c r="M1039" s="173"/>
      <c r="N1039" s="137"/>
      <c r="O1039" s="203"/>
      <c r="P1039" s="218"/>
      <c r="Q1039" s="68"/>
      <c r="T1039" s="217"/>
    </row>
    <row r="1040" spans="1:20" ht="30" customHeight="1" x14ac:dyDescent="0.35">
      <c r="A1040" s="241" t="s">
        <v>565</v>
      </c>
      <c r="B1040" s="1082" t="s">
        <v>722</v>
      </c>
      <c r="C1040" s="1082"/>
      <c r="D1040" s="1082"/>
      <c r="E1040" s="645">
        <f>+P768</f>
        <v>19.25</v>
      </c>
      <c r="F1040" s="639" t="s">
        <v>8</v>
      </c>
      <c r="G1040" s="716">
        <v>2800</v>
      </c>
      <c r="H1040" s="655" t="s">
        <v>633</v>
      </c>
      <c r="I1040" s="704">
        <f>+R768</f>
        <v>1.03</v>
      </c>
      <c r="J1040" s="665">
        <f>+S768</f>
        <v>0.97222222222222221</v>
      </c>
      <c r="K1040" s="453">
        <f>+E1040*G1040*I1040*J1040</f>
        <v>53974.861111111109</v>
      </c>
      <c r="L1040" s="243" t="s">
        <v>49</v>
      </c>
      <c r="M1040" s="173"/>
      <c r="N1040" s="68"/>
      <c r="O1040" s="203"/>
      <c r="P1040" s="218"/>
      <c r="Q1040" s="68"/>
      <c r="T1040" s="217"/>
    </row>
    <row r="1041" spans="1:24" ht="30" customHeight="1" x14ac:dyDescent="0.35">
      <c r="A1041" s="1183" t="s">
        <v>2804</v>
      </c>
      <c r="B1041" s="1184"/>
      <c r="C1041" s="1184"/>
      <c r="D1041" s="1184"/>
      <c r="E1041" s="453"/>
      <c r="F1041" s="446"/>
      <c r="G1041" s="519"/>
      <c r="H1041" s="508"/>
      <c r="I1041" s="446"/>
      <c r="J1041" s="446" t="s">
        <v>362</v>
      </c>
      <c r="K1041" s="453">
        <f>SUM(K1023:K1040)</f>
        <v>4494025.1430837167</v>
      </c>
      <c r="L1041" s="243" t="s">
        <v>49</v>
      </c>
      <c r="M1041" s="173"/>
      <c r="N1041" s="68"/>
      <c r="O1041" s="203"/>
      <c r="P1041" s="218"/>
      <c r="Q1041" s="68"/>
      <c r="T1041" s="217"/>
    </row>
    <row r="1042" spans="1:24" ht="30" customHeight="1" thickBot="1" x14ac:dyDescent="0.4">
      <c r="A1042" s="1183"/>
      <c r="B1042" s="1184"/>
      <c r="C1042" s="1184"/>
      <c r="D1042" s="1184"/>
      <c r="E1042" s="458"/>
      <c r="F1042" s="458"/>
      <c r="G1042" s="592" t="s">
        <v>2358</v>
      </c>
      <c r="H1042" s="458"/>
      <c r="I1042" s="458"/>
      <c r="J1042" s="583">
        <f>VLOOKUP(B1020,'Mil Cost Premiums for PUCs'!$A$4:$R$272,18,FALSE)</f>
        <v>1.0821211439999998</v>
      </c>
      <c r="K1042" s="591">
        <f>+K1041*J1042</f>
        <v>4863079.6289985143</v>
      </c>
      <c r="L1042" s="243" t="s">
        <v>49</v>
      </c>
      <c r="M1042" s="173"/>
      <c r="N1042" s="137"/>
      <c r="O1042" s="203"/>
      <c r="P1042" s="218"/>
      <c r="Q1042" s="68"/>
      <c r="T1042" s="217"/>
    </row>
    <row r="1043" spans="1:24" ht="30" customHeight="1" thickBot="1" x14ac:dyDescent="0.4">
      <c r="A1043" s="1086"/>
      <c r="B1043" s="1086"/>
      <c r="C1043" s="1086"/>
      <c r="D1043" s="1086"/>
      <c r="E1043" s="1086"/>
      <c r="F1043" s="1086"/>
      <c r="G1043" s="1086"/>
      <c r="H1043" s="1086"/>
      <c r="I1043" s="1086"/>
      <c r="J1043" s="1086"/>
      <c r="K1043" s="1086"/>
      <c r="L1043" s="1103"/>
      <c r="M1043" s="173"/>
      <c r="N1043" s="68"/>
      <c r="O1043" s="203"/>
      <c r="P1043" s="218"/>
      <c r="Q1043" s="68"/>
      <c r="T1043" s="217"/>
    </row>
    <row r="1044" spans="1:24" ht="30" customHeight="1" x14ac:dyDescent="0.35">
      <c r="A1044" s="465" t="s">
        <v>278</v>
      </c>
      <c r="B1044" s="539">
        <v>1772</v>
      </c>
      <c r="C1044" s="1017" t="s">
        <v>723</v>
      </c>
      <c r="D1044" s="1017"/>
      <c r="E1044" s="541" t="s">
        <v>280</v>
      </c>
      <c r="F1044" s="542" t="s">
        <v>10</v>
      </c>
      <c r="G1044" s="553" t="s">
        <v>2816</v>
      </c>
      <c r="H1044" s="587">
        <v>1</v>
      </c>
      <c r="I1044" s="541" t="s">
        <v>281</v>
      </c>
      <c r="J1044" s="1019" t="s">
        <v>2843</v>
      </c>
      <c r="K1044" s="1019"/>
      <c r="L1044" s="1020"/>
      <c r="M1044" s="173"/>
      <c r="N1044" s="68"/>
      <c r="O1044" s="203"/>
      <c r="P1044" s="218"/>
      <c r="Q1044" s="68"/>
      <c r="T1044" s="217"/>
    </row>
    <row r="1045" spans="1:24" ht="30" customHeight="1" x14ac:dyDescent="0.35">
      <c r="A1045" s="545" t="s">
        <v>541</v>
      </c>
      <c r="B1045" s="1038" t="s">
        <v>321</v>
      </c>
      <c r="C1045" s="1038"/>
      <c r="D1045" s="1038"/>
      <c r="E1045" s="23" t="s">
        <v>290</v>
      </c>
      <c r="F1045" s="23" t="s">
        <v>322</v>
      </c>
      <c r="G1045" s="1034" t="s">
        <v>323</v>
      </c>
      <c r="H1045" s="1034"/>
      <c r="I1045" s="509" t="s">
        <v>299</v>
      </c>
      <c r="J1045" s="201" t="s">
        <v>302</v>
      </c>
      <c r="K1045" s="1012" t="s">
        <v>292</v>
      </c>
      <c r="L1045" s="1023"/>
      <c r="M1045" s="173"/>
      <c r="N1045" s="68"/>
      <c r="O1045" s="203"/>
      <c r="P1045" s="218"/>
      <c r="Q1045" s="68"/>
      <c r="T1045" s="217"/>
      <c r="U1045" s="208"/>
      <c r="V1045" s="208"/>
      <c r="W1045" s="208"/>
      <c r="X1045" s="208"/>
    </row>
    <row r="1046" spans="1:24" s="208" customFormat="1" ht="30" customHeight="1" x14ac:dyDescent="0.35">
      <c r="A1046" s="545"/>
      <c r="B1046" s="1031" t="s">
        <v>724</v>
      </c>
      <c r="C1046" s="1031"/>
      <c r="D1046" s="1031"/>
      <c r="E1046" s="23"/>
      <c r="F1046" s="23"/>
      <c r="G1046" s="486"/>
      <c r="H1046" s="487"/>
      <c r="I1046" s="647"/>
      <c r="J1046" s="647"/>
      <c r="K1046" s="23"/>
      <c r="L1046" s="715"/>
      <c r="M1046" s="173"/>
      <c r="N1046" s="68"/>
      <c r="O1046" s="203"/>
      <c r="P1046" s="218"/>
      <c r="Q1046" s="68"/>
      <c r="R1046" s="203"/>
      <c r="S1046" s="203"/>
      <c r="T1046" s="217"/>
      <c r="U1046" s="203"/>
      <c r="V1046" s="203"/>
      <c r="W1046" s="203"/>
      <c r="X1046" s="203"/>
    </row>
    <row r="1047" spans="1:24" ht="30" customHeight="1" x14ac:dyDescent="0.35">
      <c r="A1047" s="241" t="s">
        <v>493</v>
      </c>
      <c r="B1047" s="1082" t="s">
        <v>725</v>
      </c>
      <c r="C1047" s="1082"/>
      <c r="D1047" s="1082"/>
      <c r="E1047" s="680">
        <f>+P770</f>
        <v>9.6300000000000008</v>
      </c>
      <c r="F1047" s="446" t="s">
        <v>8</v>
      </c>
      <c r="G1047" s="716">
        <f>294*62</f>
        <v>18228</v>
      </c>
      <c r="H1047" s="655" t="s">
        <v>671</v>
      </c>
      <c r="I1047" s="665">
        <f>+R770</f>
        <v>1.02</v>
      </c>
      <c r="J1047" s="665">
        <f>+S770</f>
        <v>0.9907407407407407</v>
      </c>
      <c r="K1047" s="453">
        <f t="shared" ref="K1047:K1058" si="33">+E1047*G1047*I1047*J1047</f>
        <v>177388.51620000001</v>
      </c>
      <c r="L1047" s="243" t="s">
        <v>10</v>
      </c>
      <c r="M1047" s="173"/>
      <c r="N1047" s="68"/>
      <c r="O1047" s="208"/>
      <c r="P1047" s="218"/>
      <c r="Q1047" s="68"/>
      <c r="R1047" s="208"/>
      <c r="S1047" s="208"/>
      <c r="T1047" s="217"/>
    </row>
    <row r="1048" spans="1:24" ht="30" customHeight="1" x14ac:dyDescent="0.35">
      <c r="A1048" s="241" t="s">
        <v>544</v>
      </c>
      <c r="B1048" s="1082" t="s">
        <v>545</v>
      </c>
      <c r="C1048" s="1082"/>
      <c r="D1048" s="1082"/>
      <c r="E1048" s="680">
        <f>+P776</f>
        <v>475.5</v>
      </c>
      <c r="F1048" s="639" t="s">
        <v>10</v>
      </c>
      <c r="G1048" s="716">
        <v>306</v>
      </c>
      <c r="H1048" s="655" t="s">
        <v>672</v>
      </c>
      <c r="I1048" s="665">
        <f>+R776</f>
        <v>1.01</v>
      </c>
      <c r="J1048" s="665">
        <f>+S776</f>
        <v>0.9907407407407407</v>
      </c>
      <c r="K1048" s="453">
        <f t="shared" si="33"/>
        <v>145597.3075</v>
      </c>
      <c r="L1048" s="243" t="s">
        <v>10</v>
      </c>
      <c r="M1048" s="173"/>
      <c r="O1048" s="203"/>
      <c r="P1048" s="218"/>
      <c r="Q1048" s="68"/>
      <c r="T1048" s="217"/>
    </row>
    <row r="1049" spans="1:24" ht="30" customHeight="1" x14ac:dyDescent="0.35">
      <c r="A1049" s="241" t="s">
        <v>544</v>
      </c>
      <c r="B1049" s="1082" t="s">
        <v>547</v>
      </c>
      <c r="C1049" s="1082"/>
      <c r="D1049" s="1082"/>
      <c r="E1049" s="680">
        <f>+P778</f>
        <v>341</v>
      </c>
      <c r="F1049" s="639" t="s">
        <v>10</v>
      </c>
      <c r="G1049" s="716">
        <v>306</v>
      </c>
      <c r="H1049" s="655" t="s">
        <v>672</v>
      </c>
      <c r="I1049" s="665">
        <f>+R778</f>
        <v>1.01</v>
      </c>
      <c r="J1049" s="665">
        <f>+S778</f>
        <v>0.9907407407407407</v>
      </c>
      <c r="K1049" s="453">
        <f t="shared" si="33"/>
        <v>104413.63166666667</v>
      </c>
      <c r="L1049" s="243" t="s">
        <v>10</v>
      </c>
      <c r="M1049" s="173"/>
      <c r="O1049" s="203"/>
      <c r="P1049" s="218"/>
      <c r="Q1049" s="68"/>
      <c r="T1049" s="217"/>
    </row>
    <row r="1050" spans="1:24" ht="30" customHeight="1" x14ac:dyDescent="0.35">
      <c r="A1050" s="241" t="s">
        <v>493</v>
      </c>
      <c r="B1050" s="1059" t="s">
        <v>726</v>
      </c>
      <c r="C1050" s="1059"/>
      <c r="D1050" s="1059"/>
      <c r="E1050" s="680">
        <f>+P773</f>
        <v>11.77</v>
      </c>
      <c r="F1050" s="446" t="s">
        <v>8</v>
      </c>
      <c r="G1050" s="716">
        <f>80*468</f>
        <v>37440</v>
      </c>
      <c r="H1050" s="655" t="s">
        <v>671</v>
      </c>
      <c r="I1050" s="665">
        <f>+R773</f>
        <v>1.02</v>
      </c>
      <c r="J1050" s="665">
        <f>+S773</f>
        <v>0.9907407407407407</v>
      </c>
      <c r="K1050" s="453">
        <f t="shared" si="33"/>
        <v>445320.30399999995</v>
      </c>
      <c r="L1050" s="243" t="s">
        <v>10</v>
      </c>
      <c r="M1050" s="173"/>
      <c r="N1050" s="68"/>
      <c r="O1050" s="203"/>
      <c r="P1050" s="218"/>
      <c r="Q1050" s="68"/>
      <c r="T1050" s="217"/>
    </row>
    <row r="1051" spans="1:24" ht="30" customHeight="1" x14ac:dyDescent="0.35">
      <c r="A1051" s="241" t="s">
        <v>449</v>
      </c>
      <c r="B1051" s="1059" t="s">
        <v>727</v>
      </c>
      <c r="C1051" s="1059"/>
      <c r="D1051" s="1059"/>
      <c r="E1051" s="680">
        <f>+P774</f>
        <v>19</v>
      </c>
      <c r="F1051" s="446" t="s">
        <v>8</v>
      </c>
      <c r="G1051" s="716">
        <f>2152*12</f>
        <v>25824</v>
      </c>
      <c r="H1051" s="655" t="s">
        <v>671</v>
      </c>
      <c r="I1051" s="665">
        <f>+R774</f>
        <v>1.05</v>
      </c>
      <c r="J1051" s="665">
        <f>+S774</f>
        <v>0.9907407407407407</v>
      </c>
      <c r="K1051" s="453">
        <f t="shared" si="33"/>
        <v>510418.53333333338</v>
      </c>
      <c r="L1051" s="243" t="s">
        <v>10</v>
      </c>
      <c r="M1051" s="173"/>
      <c r="N1051" s="68"/>
      <c r="O1051" s="203"/>
      <c r="P1051" s="218"/>
      <c r="Q1051" s="68"/>
      <c r="T1051" s="217"/>
    </row>
    <row r="1052" spans="1:24" ht="30" customHeight="1" x14ac:dyDescent="0.35">
      <c r="A1052" s="241" t="s">
        <v>449</v>
      </c>
      <c r="B1052" s="1059" t="s">
        <v>728</v>
      </c>
      <c r="C1052" s="1059"/>
      <c r="D1052" s="1059"/>
      <c r="E1052" s="680">
        <f>+P774</f>
        <v>19</v>
      </c>
      <c r="F1052" s="446" t="s">
        <v>8</v>
      </c>
      <c r="G1052" s="732">
        <f>80.7*45</f>
        <v>3631.5</v>
      </c>
      <c r="H1052" s="655" t="s">
        <v>671</v>
      </c>
      <c r="I1052" s="665">
        <f>+R774</f>
        <v>1.05</v>
      </c>
      <c r="J1052" s="665">
        <f>+S774</f>
        <v>0.9907407407407407</v>
      </c>
      <c r="K1052" s="453">
        <f t="shared" si="33"/>
        <v>71777.606249999997</v>
      </c>
      <c r="L1052" s="243" t="s">
        <v>10</v>
      </c>
      <c r="M1052" s="173"/>
      <c r="N1052" s="68"/>
      <c r="O1052" s="203"/>
      <c r="P1052" s="218"/>
      <c r="Q1052" s="68"/>
      <c r="T1052" s="217"/>
    </row>
    <row r="1053" spans="1:24" ht="30" customHeight="1" x14ac:dyDescent="0.35">
      <c r="A1053" s="241" t="s">
        <v>544</v>
      </c>
      <c r="B1053" s="1059" t="s">
        <v>574</v>
      </c>
      <c r="C1053" s="1059"/>
      <c r="D1053" s="1059"/>
      <c r="E1053" s="680">
        <f>+P777</f>
        <v>862.5</v>
      </c>
      <c r="F1053" s="639" t="s">
        <v>10</v>
      </c>
      <c r="G1053" s="716">
        <v>137</v>
      </c>
      <c r="H1053" s="655" t="s">
        <v>672</v>
      </c>
      <c r="I1053" s="665">
        <f>+R777</f>
        <v>1.01</v>
      </c>
      <c r="J1053" s="665">
        <f>+S777</f>
        <v>0.9907407407407407</v>
      </c>
      <c r="K1053" s="453">
        <f t="shared" si="33"/>
        <v>118239.08680555555</v>
      </c>
      <c r="L1053" s="243" t="s">
        <v>10</v>
      </c>
      <c r="M1053" s="173"/>
      <c r="N1053" s="68"/>
      <c r="O1053" s="203"/>
      <c r="P1053" s="218"/>
      <c r="Q1053" s="68"/>
      <c r="T1053" s="217"/>
    </row>
    <row r="1054" spans="1:24" ht="30" customHeight="1" x14ac:dyDescent="0.35">
      <c r="A1054" s="241" t="s">
        <v>436</v>
      </c>
      <c r="B1054" s="1059" t="s">
        <v>729</v>
      </c>
      <c r="C1054" s="1059"/>
      <c r="D1054" s="1059"/>
      <c r="E1054" s="680">
        <f>+P784</f>
        <v>18.324999999999999</v>
      </c>
      <c r="F1054" s="639" t="s">
        <v>6</v>
      </c>
      <c r="G1054" s="716">
        <f>+((656*12)+(49*45))</f>
        <v>10077</v>
      </c>
      <c r="H1054" s="655" t="s">
        <v>675</v>
      </c>
      <c r="I1054" s="665">
        <f>+R784</f>
        <v>1.02</v>
      </c>
      <c r="J1054" s="665">
        <f>+S784</f>
        <v>0.9907407407407407</v>
      </c>
      <c r="K1054" s="453">
        <f t="shared" si="33"/>
        <v>186610.22470833332</v>
      </c>
      <c r="L1054" s="243" t="s">
        <v>10</v>
      </c>
      <c r="M1054" s="173"/>
      <c r="N1054" s="68"/>
      <c r="O1054" s="203"/>
      <c r="P1054" s="218"/>
      <c r="Q1054" s="68"/>
      <c r="T1054" s="217"/>
    </row>
    <row r="1055" spans="1:24" ht="30" customHeight="1" x14ac:dyDescent="0.35">
      <c r="A1055" s="241" t="s">
        <v>436</v>
      </c>
      <c r="B1055" s="1082" t="s">
        <v>688</v>
      </c>
      <c r="C1055" s="1082"/>
      <c r="D1055" s="1082"/>
      <c r="E1055" s="680">
        <f>+P785</f>
        <v>2797.5</v>
      </c>
      <c r="F1055" s="639" t="s">
        <v>10</v>
      </c>
      <c r="G1055" s="716">
        <v>57</v>
      </c>
      <c r="H1055" s="655" t="s">
        <v>672</v>
      </c>
      <c r="I1055" s="665">
        <f>+R785</f>
        <v>1.02</v>
      </c>
      <c r="J1055" s="665">
        <f>+S785</f>
        <v>0.9907407407407407</v>
      </c>
      <c r="K1055" s="453">
        <f t="shared" si="33"/>
        <v>161140.66249999998</v>
      </c>
      <c r="L1055" s="243" t="s">
        <v>10</v>
      </c>
      <c r="M1055" s="173"/>
      <c r="N1055" s="68"/>
      <c r="O1055" s="203"/>
      <c r="P1055" s="218"/>
      <c r="Q1055" s="68"/>
      <c r="T1055" s="217"/>
    </row>
    <row r="1056" spans="1:24" ht="30" customHeight="1" x14ac:dyDescent="0.35">
      <c r="A1056" s="241" t="s">
        <v>544</v>
      </c>
      <c r="B1056" s="1082" t="s">
        <v>618</v>
      </c>
      <c r="C1056" s="1082"/>
      <c r="D1056" s="1082"/>
      <c r="E1056" s="680">
        <f>+P780</f>
        <v>1060</v>
      </c>
      <c r="F1056" s="639" t="s">
        <v>10</v>
      </c>
      <c r="G1056" s="716">
        <v>137</v>
      </c>
      <c r="H1056" s="655" t="s">
        <v>672</v>
      </c>
      <c r="I1056" s="665">
        <f t="shared" ref="I1056:J1058" si="34">+R780</f>
        <v>1.01</v>
      </c>
      <c r="J1056" s="665">
        <f t="shared" si="34"/>
        <v>0.9907407407407407</v>
      </c>
      <c r="K1056" s="453">
        <f t="shared" si="33"/>
        <v>145314.12407407409</v>
      </c>
      <c r="L1056" s="243" t="s">
        <v>10</v>
      </c>
      <c r="M1056" s="173"/>
      <c r="O1056" s="203"/>
      <c r="P1056" s="218"/>
      <c r="Q1056" s="68"/>
      <c r="T1056" s="217"/>
    </row>
    <row r="1057" spans="1:20" ht="30" customHeight="1" x14ac:dyDescent="0.35">
      <c r="A1057" s="241" t="s">
        <v>548</v>
      </c>
      <c r="B1057" s="1059" t="s">
        <v>689</v>
      </c>
      <c r="C1057" s="1059"/>
      <c r="D1057" s="1059"/>
      <c r="E1057" s="680">
        <f>+P781</f>
        <v>148.79</v>
      </c>
      <c r="F1057" s="639" t="s">
        <v>10</v>
      </c>
      <c r="G1057" s="716">
        <v>1852</v>
      </c>
      <c r="H1057" s="655" t="s">
        <v>672</v>
      </c>
      <c r="I1057" s="665">
        <f t="shared" si="34"/>
        <v>1.01</v>
      </c>
      <c r="J1057" s="665">
        <f t="shared" si="34"/>
        <v>0.9907407407407407</v>
      </c>
      <c r="K1057" s="453">
        <f t="shared" si="33"/>
        <v>275737.68310740736</v>
      </c>
      <c r="L1057" s="243" t="s">
        <v>10</v>
      </c>
      <c r="M1057" s="173"/>
      <c r="O1057" s="203"/>
      <c r="P1057" s="218"/>
      <c r="Q1057" s="68"/>
      <c r="T1057" s="217"/>
    </row>
    <row r="1058" spans="1:20" ht="30" customHeight="1" x14ac:dyDescent="0.35">
      <c r="A1058" s="241" t="s">
        <v>550</v>
      </c>
      <c r="B1058" s="1082" t="s">
        <v>730</v>
      </c>
      <c r="C1058" s="1082"/>
      <c r="D1058" s="1082"/>
      <c r="E1058" s="680">
        <f>P782</f>
        <v>18.47</v>
      </c>
      <c r="F1058" s="639" t="s">
        <v>6</v>
      </c>
      <c r="G1058" s="716">
        <f>176233*6.5</f>
        <v>1145514.5</v>
      </c>
      <c r="H1058" s="655" t="s">
        <v>675</v>
      </c>
      <c r="I1058" s="665">
        <f t="shared" si="34"/>
        <v>1.01</v>
      </c>
      <c r="J1058" s="665">
        <f t="shared" si="34"/>
        <v>0.9907407407407407</v>
      </c>
      <c r="K1058" s="453">
        <f t="shared" si="33"/>
        <v>21171366.108491201</v>
      </c>
      <c r="L1058" s="243" t="s">
        <v>10</v>
      </c>
      <c r="M1058" s="173"/>
      <c r="N1058" s="68"/>
      <c r="O1058" s="203"/>
      <c r="P1058" s="218"/>
      <c r="Q1058" s="68"/>
      <c r="T1058" s="217"/>
    </row>
    <row r="1059" spans="1:20" ht="30" customHeight="1" x14ac:dyDescent="0.35">
      <c r="A1059" s="241">
        <v>93410</v>
      </c>
      <c r="B1059" s="1082" t="s">
        <v>731</v>
      </c>
      <c r="C1059" s="1082"/>
      <c r="D1059" s="1082"/>
      <c r="E1059" s="645">
        <f>+P792</f>
        <v>1.1000000000000001</v>
      </c>
      <c r="F1059" s="639" t="s">
        <v>3</v>
      </c>
      <c r="G1059" s="716">
        <v>7464</v>
      </c>
      <c r="H1059" s="655" t="s">
        <v>676</v>
      </c>
      <c r="I1059" s="721">
        <f>+R792</f>
        <v>0.9432470865927236</v>
      </c>
      <c r="J1059" s="446"/>
      <c r="K1059" s="453">
        <f>+E1059*G1059*I1059</f>
        <v>7744.4358797608993</v>
      </c>
      <c r="L1059" s="243" t="s">
        <v>10</v>
      </c>
      <c r="M1059" s="173"/>
      <c r="N1059" s="68"/>
      <c r="O1059" s="203"/>
      <c r="P1059" s="218"/>
      <c r="Q1059" s="68"/>
      <c r="T1059" s="217"/>
    </row>
    <row r="1060" spans="1:20" ht="30" customHeight="1" x14ac:dyDescent="0.35">
      <c r="A1060" s="241" t="s">
        <v>493</v>
      </c>
      <c r="B1060" s="1082" t="s">
        <v>732</v>
      </c>
      <c r="C1060" s="1082"/>
      <c r="D1060" s="1082"/>
      <c r="E1060" s="680">
        <f>+P773</f>
        <v>11.77</v>
      </c>
      <c r="F1060" s="446" t="s">
        <v>8</v>
      </c>
      <c r="G1060" s="716">
        <f>481*30</f>
        <v>14430</v>
      </c>
      <c r="H1060" s="655" t="s">
        <v>671</v>
      </c>
      <c r="I1060" s="665">
        <f>+R773</f>
        <v>1.02</v>
      </c>
      <c r="J1060" s="665">
        <f>+S773</f>
        <v>0.9907407407407407</v>
      </c>
      <c r="K1060" s="453">
        <f>+E1060*G1060*I1060*J1060</f>
        <v>171633.86716666669</v>
      </c>
      <c r="L1060" s="243" t="s">
        <v>10</v>
      </c>
      <c r="M1060" s="173"/>
      <c r="O1060" s="203"/>
      <c r="P1060" s="218"/>
      <c r="Q1060" s="68"/>
      <c r="T1060" s="217"/>
    </row>
    <row r="1061" spans="1:20" ht="30" customHeight="1" x14ac:dyDescent="0.35">
      <c r="A1061" s="241">
        <v>93410</v>
      </c>
      <c r="B1061" s="1082" t="s">
        <v>733</v>
      </c>
      <c r="C1061" s="1082"/>
      <c r="D1061" s="1082"/>
      <c r="E1061" s="680">
        <f>+P791</f>
        <v>8.5</v>
      </c>
      <c r="F1061" s="639" t="s">
        <v>283</v>
      </c>
      <c r="G1061" s="716">
        <v>17139</v>
      </c>
      <c r="H1061" s="655" t="s">
        <v>679</v>
      </c>
      <c r="I1061" s="721">
        <f>+R791</f>
        <v>0.9432470865927236</v>
      </c>
      <c r="J1061" s="446"/>
      <c r="K1061" s="453">
        <f>+E1061*G1061*I1061</f>
        <v>137413.65044545787</v>
      </c>
      <c r="L1061" s="243" t="s">
        <v>10</v>
      </c>
      <c r="M1061" s="173"/>
      <c r="N1061" s="68"/>
      <c r="O1061" s="203"/>
      <c r="P1061" s="218"/>
      <c r="Q1061" s="68"/>
      <c r="T1061" s="217"/>
    </row>
    <row r="1062" spans="1:20" ht="30" customHeight="1" x14ac:dyDescent="0.35">
      <c r="A1062" s="241" t="s">
        <v>493</v>
      </c>
      <c r="B1062" s="1082" t="s">
        <v>734</v>
      </c>
      <c r="C1062" s="1082"/>
      <c r="D1062" s="1082"/>
      <c r="E1062" s="645">
        <f>+P770</f>
        <v>9.6300000000000008</v>
      </c>
      <c r="F1062" s="639" t="s">
        <v>8</v>
      </c>
      <c r="G1062" s="716">
        <f>4*144</f>
        <v>576</v>
      </c>
      <c r="H1062" s="655" t="s">
        <v>671</v>
      </c>
      <c r="I1062" s="446">
        <f>+R770</f>
        <v>1.02</v>
      </c>
      <c r="J1062" s="665">
        <f>+S770</f>
        <v>0.9907407407407407</v>
      </c>
      <c r="K1062" s="453">
        <f>+E1062*G1062*I1062*J1062</f>
        <v>5605.4304000000002</v>
      </c>
      <c r="L1062" s="243" t="s">
        <v>10</v>
      </c>
      <c r="M1062" s="173"/>
      <c r="N1062" s="68"/>
      <c r="O1062" s="203"/>
      <c r="P1062" s="218"/>
      <c r="Q1062" s="68"/>
      <c r="T1062" s="217"/>
    </row>
    <row r="1063" spans="1:20" ht="30" customHeight="1" x14ac:dyDescent="0.35">
      <c r="A1063" s="241">
        <v>93210</v>
      </c>
      <c r="B1063" s="1082" t="s">
        <v>735</v>
      </c>
      <c r="C1063" s="1082"/>
      <c r="D1063" s="1082"/>
      <c r="E1063" s="680">
        <f>+P793</f>
        <v>47.6</v>
      </c>
      <c r="F1063" s="639" t="s">
        <v>283</v>
      </c>
      <c r="G1063" s="716">
        <v>44650</v>
      </c>
      <c r="H1063" s="655" t="s">
        <v>679</v>
      </c>
      <c r="I1063" s="721">
        <f>+R793</f>
        <v>0.9432470865927236</v>
      </c>
      <c r="J1063" s="446"/>
      <c r="K1063" s="453">
        <f>+E1063*G1063*I1063</f>
        <v>2004720.7630189792</v>
      </c>
      <c r="L1063" s="243" t="s">
        <v>10</v>
      </c>
      <c r="M1063" s="173"/>
      <c r="N1063" s="68"/>
      <c r="O1063" s="203"/>
      <c r="P1063" s="218"/>
      <c r="Q1063" s="68"/>
      <c r="T1063" s="217"/>
    </row>
    <row r="1064" spans="1:20" ht="30" customHeight="1" x14ac:dyDescent="0.35">
      <c r="A1064" s="241" t="s">
        <v>565</v>
      </c>
      <c r="B1064" s="1082" t="s">
        <v>736</v>
      </c>
      <c r="C1064" s="1082"/>
      <c r="D1064" s="1082"/>
      <c r="E1064" s="645">
        <f>+P768</f>
        <v>19.25</v>
      </c>
      <c r="F1064" s="639" t="s">
        <v>8</v>
      </c>
      <c r="G1064" s="716">
        <v>4800</v>
      </c>
      <c r="H1064" s="655" t="s">
        <v>671</v>
      </c>
      <c r="I1064" s="665">
        <f>+R768</f>
        <v>1.03</v>
      </c>
      <c r="J1064" s="665">
        <f>+S768</f>
        <v>0.97222222222222221</v>
      </c>
      <c r="K1064" s="453">
        <f>+E1064*G1064*I1064*J1064</f>
        <v>92528.333333333328</v>
      </c>
      <c r="L1064" s="243" t="s">
        <v>10</v>
      </c>
      <c r="M1064" s="173"/>
      <c r="N1064" s="68"/>
      <c r="O1064" s="203"/>
      <c r="P1064" s="218"/>
      <c r="Q1064" s="68"/>
      <c r="T1064" s="217"/>
    </row>
    <row r="1065" spans="1:20" ht="30" customHeight="1" x14ac:dyDescent="0.35">
      <c r="A1065" s="241"/>
      <c r="B1065" s="1059"/>
      <c r="C1065" s="1059"/>
      <c r="D1065" s="1059"/>
      <c r="E1065" s="453"/>
      <c r="F1065" s="446"/>
      <c r="G1065" s="519"/>
      <c r="H1065" s="508"/>
      <c r="I1065" s="446"/>
      <c r="J1065" s="446" t="s">
        <v>362</v>
      </c>
      <c r="K1065" s="453">
        <f>SUM(K1047:K1064)</f>
        <v>25932970.26888077</v>
      </c>
      <c r="L1065" s="243" t="s">
        <v>10</v>
      </c>
      <c r="M1065" s="173"/>
      <c r="N1065" s="68"/>
      <c r="O1065" s="203"/>
      <c r="P1065" s="218"/>
      <c r="Q1065" s="68"/>
      <c r="T1065" s="217"/>
    </row>
    <row r="1066" spans="1:20" ht="30" customHeight="1" x14ac:dyDescent="0.35">
      <c r="A1066" s="241"/>
      <c r="B1066" s="446"/>
      <c r="C1066" s="458"/>
      <c r="D1066" s="458"/>
      <c r="E1066" s="458"/>
      <c r="F1066" s="458"/>
      <c r="G1066" s="458"/>
      <c r="H1066" s="458"/>
      <c r="I1066" s="458"/>
      <c r="J1066" s="446" t="s">
        <v>2356</v>
      </c>
      <c r="K1066" s="591">
        <f>+K1065</f>
        <v>25932970.26888077</v>
      </c>
      <c r="L1066" s="243" t="s">
        <v>10</v>
      </c>
      <c r="M1066" s="173"/>
      <c r="N1066" s="68"/>
      <c r="O1066" s="203"/>
      <c r="P1066" s="218"/>
      <c r="Q1066" s="68"/>
      <c r="T1066" s="217"/>
    </row>
    <row r="1067" spans="1:20" ht="30" customHeight="1" x14ac:dyDescent="0.35">
      <c r="A1067" s="241"/>
      <c r="B1067" s="446"/>
      <c r="C1067" s="458"/>
      <c r="D1067" s="458"/>
      <c r="E1067" s="458"/>
      <c r="F1067" s="458"/>
      <c r="G1067" s="592" t="s">
        <v>2358</v>
      </c>
      <c r="H1067" s="458"/>
      <c r="I1067" s="458"/>
      <c r="J1067" s="583">
        <f>VLOOKUP(B1044,'Mil Cost Premiums for PUCs'!$A$4:$R$272,18,FALSE)</f>
        <v>1.0821211439999998</v>
      </c>
      <c r="K1067" s="591">
        <f>+K1066*J1067</f>
        <v>28062615.45467924</v>
      </c>
      <c r="L1067" s="243" t="s">
        <v>10</v>
      </c>
      <c r="M1067" s="173"/>
      <c r="N1067" s="68"/>
      <c r="O1067" s="203"/>
      <c r="P1067" s="218"/>
      <c r="Q1067" s="68"/>
      <c r="T1067" s="217"/>
    </row>
    <row r="1068" spans="1:20" ht="60" customHeight="1" x14ac:dyDescent="0.35">
      <c r="A1068" s="1064" t="s">
        <v>305</v>
      </c>
      <c r="B1068" s="1067"/>
      <c r="C1068" s="1067"/>
      <c r="D1068" s="1067"/>
      <c r="E1068" s="1067"/>
      <c r="F1068" s="1067"/>
      <c r="G1068" s="1067"/>
      <c r="H1068" s="1067"/>
      <c r="I1068" s="1067"/>
      <c r="J1068" s="1067"/>
      <c r="K1068" s="1067"/>
      <c r="L1068" s="1126"/>
      <c r="M1068" s="173"/>
      <c r="N1068" s="68"/>
      <c r="O1068" s="203"/>
      <c r="P1068" s="218"/>
      <c r="Q1068" s="68"/>
      <c r="T1068" s="217"/>
    </row>
    <row r="1069" spans="1:20" ht="60" customHeight="1" x14ac:dyDescent="0.35">
      <c r="A1069" s="1124" t="s">
        <v>306</v>
      </c>
      <c r="B1069" s="1125"/>
      <c r="C1069" s="1125"/>
      <c r="D1069" s="1067" t="s">
        <v>2308</v>
      </c>
      <c r="E1069" s="1067"/>
      <c r="F1069" s="1067"/>
      <c r="G1069" s="1067"/>
      <c r="H1069" s="1067"/>
      <c r="I1069" s="1067"/>
      <c r="J1069" s="1067"/>
      <c r="K1069" s="1067"/>
      <c r="L1069" s="1126"/>
      <c r="M1069" s="173"/>
      <c r="N1069" s="68"/>
      <c r="O1069" s="203"/>
      <c r="P1069" s="218"/>
      <c r="Q1069" s="68"/>
      <c r="T1069" s="217"/>
    </row>
    <row r="1070" spans="1:20" ht="30" customHeight="1" x14ac:dyDescent="0.35">
      <c r="A1070" s="1124" t="s">
        <v>307</v>
      </c>
      <c r="B1070" s="1125"/>
      <c r="C1070" s="1125"/>
      <c r="D1070" s="1067" t="s">
        <v>737</v>
      </c>
      <c r="E1070" s="1067"/>
      <c r="F1070" s="1067"/>
      <c r="G1070" s="1067"/>
      <c r="H1070" s="1067"/>
      <c r="I1070" s="1067"/>
      <c r="J1070" s="1067"/>
      <c r="K1070" s="1067"/>
      <c r="L1070" s="1126"/>
      <c r="M1070" s="173"/>
      <c r="N1070" s="68"/>
      <c r="O1070" s="203"/>
      <c r="P1070" s="218"/>
      <c r="Q1070" s="68"/>
      <c r="T1070" s="217"/>
    </row>
    <row r="1071" spans="1:20" ht="30" customHeight="1" x14ac:dyDescent="0.35">
      <c r="A1071" s="1124" t="s">
        <v>308</v>
      </c>
      <c r="B1071" s="1125"/>
      <c r="C1071" s="1125"/>
      <c r="D1071" s="1067" t="s">
        <v>738</v>
      </c>
      <c r="E1071" s="1067"/>
      <c r="F1071" s="1067"/>
      <c r="G1071" s="1067"/>
      <c r="H1071" s="1067"/>
      <c r="I1071" s="1067"/>
      <c r="J1071" s="1067"/>
      <c r="K1071" s="1067"/>
      <c r="L1071" s="1126"/>
      <c r="M1071" s="173"/>
      <c r="N1071" s="68"/>
      <c r="O1071" s="203"/>
      <c r="P1071" s="218"/>
      <c r="Q1071" s="68"/>
      <c r="T1071" s="217"/>
    </row>
    <row r="1072" spans="1:20" ht="30" customHeight="1" x14ac:dyDescent="0.35">
      <c r="A1072" s="1124" t="s">
        <v>309</v>
      </c>
      <c r="B1072" s="1125"/>
      <c r="C1072" s="1125"/>
      <c r="D1072" s="1067" t="s">
        <v>739</v>
      </c>
      <c r="E1072" s="1067"/>
      <c r="F1072" s="1067"/>
      <c r="G1072" s="1067"/>
      <c r="H1072" s="1067"/>
      <c r="I1072" s="1067"/>
      <c r="J1072" s="1067"/>
      <c r="K1072" s="1067"/>
      <c r="L1072" s="1126"/>
      <c r="M1072" s="173"/>
      <c r="N1072" s="68"/>
      <c r="O1072" s="203"/>
      <c r="P1072" s="218"/>
      <c r="Q1072" s="68"/>
      <c r="T1072" s="217"/>
    </row>
    <row r="1073" spans="1:24" ht="30" customHeight="1" x14ac:dyDescent="0.35">
      <c r="A1073" s="1124" t="s">
        <v>311</v>
      </c>
      <c r="B1073" s="1125"/>
      <c r="C1073" s="1125"/>
      <c r="D1073" s="1067" t="s">
        <v>640</v>
      </c>
      <c r="E1073" s="1067"/>
      <c r="F1073" s="1067"/>
      <c r="G1073" s="1067"/>
      <c r="H1073" s="1067"/>
      <c r="I1073" s="1067"/>
      <c r="J1073" s="1067"/>
      <c r="K1073" s="1067"/>
      <c r="L1073" s="1126"/>
      <c r="M1073" s="173"/>
      <c r="N1073" s="68"/>
      <c r="O1073" s="203"/>
      <c r="P1073" s="218"/>
      <c r="Q1073" s="68"/>
      <c r="T1073" s="217"/>
    </row>
    <row r="1074" spans="1:24" ht="30" customHeight="1" x14ac:dyDescent="0.35">
      <c r="A1074" s="1124" t="s">
        <v>313</v>
      </c>
      <c r="B1074" s="1125"/>
      <c r="C1074" s="1125"/>
      <c r="D1074" s="1067" t="s">
        <v>641</v>
      </c>
      <c r="E1074" s="1067"/>
      <c r="F1074" s="1067"/>
      <c r="G1074" s="1067"/>
      <c r="H1074" s="1067"/>
      <c r="I1074" s="1067"/>
      <c r="J1074" s="1067"/>
      <c r="K1074" s="1067"/>
      <c r="L1074" s="1126"/>
      <c r="M1074" s="173"/>
      <c r="N1074" s="68"/>
      <c r="O1074" s="203"/>
      <c r="P1074" s="218"/>
      <c r="Q1074" s="68"/>
      <c r="T1074" s="217"/>
    </row>
    <row r="1075" spans="1:24" ht="30" customHeight="1" x14ac:dyDescent="0.35">
      <c r="A1075" s="1124" t="s">
        <v>315</v>
      </c>
      <c r="B1075" s="1125"/>
      <c r="C1075" s="1125"/>
      <c r="D1075" s="1129" t="s">
        <v>642</v>
      </c>
      <c r="E1075" s="1129"/>
      <c r="F1075" s="1129"/>
      <c r="G1075" s="1129"/>
      <c r="H1075" s="1129"/>
      <c r="I1075" s="1129"/>
      <c r="J1075" s="1129"/>
      <c r="K1075" s="1129"/>
      <c r="L1075" s="1130"/>
      <c r="M1075" s="173"/>
      <c r="N1075" s="68"/>
      <c r="O1075" s="203"/>
      <c r="P1075" s="218"/>
      <c r="Q1075" s="68"/>
      <c r="T1075" s="217"/>
    </row>
    <row r="1076" spans="1:24" ht="45" customHeight="1" x14ac:dyDescent="0.35">
      <c r="A1076" s="1124" t="s">
        <v>467</v>
      </c>
      <c r="B1076" s="1125"/>
      <c r="C1076" s="1125"/>
      <c r="D1076" s="1118" t="s">
        <v>644</v>
      </c>
      <c r="E1076" s="1118"/>
      <c r="F1076" s="1118"/>
      <c r="G1076" s="1118"/>
      <c r="H1076" s="1118"/>
      <c r="I1076" s="1118"/>
      <c r="J1076" s="1118"/>
      <c r="K1076" s="1118"/>
      <c r="L1076" s="1119"/>
      <c r="M1076" s="173"/>
      <c r="N1076" s="68"/>
      <c r="O1076" s="203"/>
      <c r="P1076" s="218"/>
      <c r="Q1076" s="68"/>
      <c r="T1076" s="217"/>
    </row>
    <row r="1077" spans="1:24" ht="30" customHeight="1" thickBot="1" x14ac:dyDescent="0.4">
      <c r="A1077" s="1132" t="s">
        <v>318</v>
      </c>
      <c r="B1077" s="1129"/>
      <c r="C1077" s="1129"/>
      <c r="D1077" s="1068" t="s">
        <v>2804</v>
      </c>
      <c r="E1077" s="1068"/>
      <c r="F1077" s="1068"/>
      <c r="G1077" s="1068"/>
      <c r="H1077" s="1068"/>
      <c r="I1077" s="1068"/>
      <c r="J1077" s="1068"/>
      <c r="K1077" s="1068"/>
      <c r="L1077" s="1120"/>
      <c r="M1077" s="173"/>
      <c r="N1077" s="68"/>
      <c r="O1077" s="203"/>
      <c r="P1077" s="218"/>
      <c r="Q1077" s="68"/>
      <c r="T1077" s="217"/>
    </row>
    <row r="1078" spans="1:24" ht="30" customHeight="1" thickBot="1" x14ac:dyDescent="0.4">
      <c r="A1078" s="1086"/>
      <c r="B1078" s="1086"/>
      <c r="C1078" s="1086"/>
      <c r="D1078" s="1086"/>
      <c r="E1078" s="1086"/>
      <c r="F1078" s="1086"/>
      <c r="G1078" s="1086"/>
      <c r="H1078" s="1086"/>
      <c r="I1078" s="1086"/>
      <c r="J1078" s="1086"/>
      <c r="K1078" s="1086"/>
      <c r="L1078" s="1103"/>
      <c r="M1078" s="173"/>
      <c r="N1078" s="68"/>
      <c r="O1078" s="203"/>
      <c r="P1078" s="218"/>
      <c r="Q1078" s="68"/>
      <c r="T1078" s="217"/>
    </row>
    <row r="1079" spans="1:24" ht="60" customHeight="1" x14ac:dyDescent="0.35">
      <c r="A1079" s="465" t="s">
        <v>278</v>
      </c>
      <c r="B1079" s="539">
        <v>1773</v>
      </c>
      <c r="C1079" s="1017" t="s">
        <v>740</v>
      </c>
      <c r="D1079" s="1017"/>
      <c r="E1079" s="541" t="s">
        <v>280</v>
      </c>
      <c r="F1079" s="542" t="s">
        <v>49</v>
      </c>
      <c r="G1079" s="553" t="s">
        <v>741</v>
      </c>
      <c r="H1079" s="587">
        <v>4</v>
      </c>
      <c r="I1079" s="541" t="s">
        <v>281</v>
      </c>
      <c r="J1079" s="1019" t="s">
        <v>2843</v>
      </c>
      <c r="K1079" s="1019"/>
      <c r="L1079" s="1020"/>
      <c r="M1079" s="173"/>
      <c r="N1079" s="68"/>
      <c r="O1079" s="203"/>
      <c r="P1079" s="218"/>
      <c r="Q1079" s="68"/>
      <c r="T1079" s="217"/>
    </row>
    <row r="1080" spans="1:24" ht="30" customHeight="1" x14ac:dyDescent="0.35">
      <c r="A1080" s="545" t="s">
        <v>541</v>
      </c>
      <c r="B1080" s="1038" t="s">
        <v>321</v>
      </c>
      <c r="C1080" s="1038"/>
      <c r="D1080" s="1038"/>
      <c r="E1080" s="23" t="s">
        <v>290</v>
      </c>
      <c r="F1080" s="23" t="s">
        <v>322</v>
      </c>
      <c r="G1080" s="1034" t="s">
        <v>323</v>
      </c>
      <c r="H1080" s="1034"/>
      <c r="I1080" s="509" t="s">
        <v>299</v>
      </c>
      <c r="J1080" s="201" t="s">
        <v>302</v>
      </c>
      <c r="K1080" s="1012" t="s">
        <v>292</v>
      </c>
      <c r="L1080" s="1023"/>
      <c r="M1080" s="173"/>
      <c r="N1080" s="68"/>
      <c r="O1080" s="203"/>
      <c r="P1080" s="218"/>
      <c r="Q1080" s="68"/>
      <c r="T1080" s="217"/>
      <c r="U1080" s="208"/>
      <c r="V1080" s="208"/>
      <c r="W1080" s="208"/>
      <c r="X1080" s="208"/>
    </row>
    <row r="1081" spans="1:24" s="208" customFormat="1" ht="30" customHeight="1" x14ac:dyDescent="0.35">
      <c r="A1081" s="545"/>
      <c r="B1081" s="1031" t="s">
        <v>742</v>
      </c>
      <c r="C1081" s="1031"/>
      <c r="D1081" s="1031"/>
      <c r="E1081" s="23"/>
      <c r="F1081" s="23"/>
      <c r="G1081" s="486"/>
      <c r="H1081" s="487"/>
      <c r="I1081" s="647"/>
      <c r="J1081" s="647"/>
      <c r="K1081" s="23"/>
      <c r="L1081" s="715"/>
      <c r="M1081" s="173"/>
      <c r="N1081" s="68"/>
      <c r="O1081" s="203"/>
      <c r="P1081" s="218"/>
      <c r="Q1081" s="68"/>
      <c r="R1081" s="203"/>
      <c r="S1081" s="203"/>
      <c r="T1081" s="217"/>
      <c r="U1081" s="203"/>
      <c r="V1081" s="203"/>
      <c r="W1081" s="203"/>
      <c r="X1081" s="203"/>
    </row>
    <row r="1082" spans="1:24" ht="30" customHeight="1" x14ac:dyDescent="0.35">
      <c r="A1082" s="241" t="s">
        <v>493</v>
      </c>
      <c r="B1082" s="1082" t="s">
        <v>743</v>
      </c>
      <c r="C1082" s="1082"/>
      <c r="D1082" s="1082"/>
      <c r="E1082" s="680">
        <f>+P770</f>
        <v>9.6300000000000008</v>
      </c>
      <c r="F1082" s="446" t="s">
        <v>8</v>
      </c>
      <c r="G1082" s="727">
        <f>6*62</f>
        <v>372</v>
      </c>
      <c r="H1082" s="655" t="s">
        <v>633</v>
      </c>
      <c r="I1082" s="665">
        <f>+R770</f>
        <v>1.02</v>
      </c>
      <c r="J1082" s="665">
        <f>+S770</f>
        <v>0.9907407407407407</v>
      </c>
      <c r="K1082" s="453">
        <f>+E1082*G1082*I1082*J1082</f>
        <v>3620.1738</v>
      </c>
      <c r="L1082" s="243" t="s">
        <v>49</v>
      </c>
      <c r="M1082" s="173"/>
      <c r="N1082" s="68"/>
      <c r="O1082" s="208"/>
      <c r="P1082" s="218"/>
      <c r="Q1082" s="68"/>
      <c r="R1082" s="208"/>
      <c r="S1082" s="208"/>
      <c r="T1082" s="217"/>
    </row>
    <row r="1083" spans="1:24" ht="30" customHeight="1" x14ac:dyDescent="0.35">
      <c r="A1083" s="241" t="s">
        <v>544</v>
      </c>
      <c r="B1083" s="1082" t="s">
        <v>545</v>
      </c>
      <c r="C1083" s="1082"/>
      <c r="D1083" s="1082"/>
      <c r="E1083" s="680">
        <f>+P776</f>
        <v>475.5</v>
      </c>
      <c r="F1083" s="639" t="s">
        <v>10</v>
      </c>
      <c r="G1083" s="727">
        <v>6</v>
      </c>
      <c r="H1083" s="655" t="s">
        <v>659</v>
      </c>
      <c r="I1083" s="665">
        <f>+R776</f>
        <v>1.01</v>
      </c>
      <c r="J1083" s="665">
        <f>+S776</f>
        <v>0.9907407407407407</v>
      </c>
      <c r="K1083" s="453">
        <f>+E1083*G1083*I1083*J1083</f>
        <v>2854.8491666666669</v>
      </c>
      <c r="L1083" s="243" t="s">
        <v>49</v>
      </c>
      <c r="M1083" s="173"/>
      <c r="N1083" s="135"/>
      <c r="O1083" s="203"/>
      <c r="P1083" s="218"/>
      <c r="Q1083" s="68"/>
      <c r="T1083" s="217"/>
    </row>
    <row r="1084" spans="1:24" ht="30" customHeight="1" x14ac:dyDescent="0.35">
      <c r="A1084" s="241" t="s">
        <v>544</v>
      </c>
      <c r="B1084" s="1082" t="s">
        <v>547</v>
      </c>
      <c r="C1084" s="1082"/>
      <c r="D1084" s="1082"/>
      <c r="E1084" s="680">
        <f>+P778</f>
        <v>341</v>
      </c>
      <c r="F1084" s="639" t="s">
        <v>10</v>
      </c>
      <c r="G1084" s="727">
        <v>6</v>
      </c>
      <c r="H1084" s="655" t="s">
        <v>659</v>
      </c>
      <c r="I1084" s="665">
        <f>+R778</f>
        <v>1.01</v>
      </c>
      <c r="J1084" s="665">
        <f>+S778</f>
        <v>0.9907407407407407</v>
      </c>
      <c r="K1084" s="453">
        <f>+E1084*G1084*I1084*J1084</f>
        <v>2047.326111111111</v>
      </c>
      <c r="L1084" s="243" t="s">
        <v>49</v>
      </c>
      <c r="M1084" s="173"/>
      <c r="N1084" s="135"/>
      <c r="O1084" s="203"/>
      <c r="P1084" s="218"/>
      <c r="Q1084" s="68"/>
      <c r="T1084" s="217"/>
    </row>
    <row r="1085" spans="1:24" ht="30" customHeight="1" x14ac:dyDescent="0.35">
      <c r="A1085" s="241" t="s">
        <v>548</v>
      </c>
      <c r="B1085" s="1059" t="s">
        <v>744</v>
      </c>
      <c r="C1085" s="1059"/>
      <c r="D1085" s="1059"/>
      <c r="E1085" s="680">
        <f>+P781</f>
        <v>148.79</v>
      </c>
      <c r="F1085" s="639" t="s">
        <v>10</v>
      </c>
      <c r="G1085" s="727">
        <v>24</v>
      </c>
      <c r="H1085" s="655" t="s">
        <v>659</v>
      </c>
      <c r="I1085" s="665">
        <f>+R781</f>
        <v>1.01</v>
      </c>
      <c r="J1085" s="665">
        <f>+S781</f>
        <v>0.9907407407407407</v>
      </c>
      <c r="K1085" s="453">
        <f>+E1085*G1085*I1085*J1085</f>
        <v>3573.2745111111112</v>
      </c>
      <c r="L1085" s="243" t="s">
        <v>49</v>
      </c>
      <c r="M1085" s="173"/>
      <c r="N1085" s="68"/>
      <c r="O1085" s="203"/>
      <c r="P1085" s="218"/>
      <c r="Q1085" s="68"/>
      <c r="T1085" s="217"/>
    </row>
    <row r="1086" spans="1:24" ht="30" customHeight="1" x14ac:dyDescent="0.35">
      <c r="A1086" s="241" t="s">
        <v>550</v>
      </c>
      <c r="B1086" s="1082" t="s">
        <v>745</v>
      </c>
      <c r="C1086" s="1082"/>
      <c r="D1086" s="1082"/>
      <c r="E1086" s="680">
        <f>+P782</f>
        <v>18.47</v>
      </c>
      <c r="F1086" s="639" t="s">
        <v>6</v>
      </c>
      <c r="G1086" s="716">
        <f>346*6</f>
        <v>2076</v>
      </c>
      <c r="H1086" s="655" t="s">
        <v>661</v>
      </c>
      <c r="I1086" s="665">
        <f>+R782</f>
        <v>1.01</v>
      </c>
      <c r="J1086" s="665">
        <f>+S782</f>
        <v>0.9907407407407407</v>
      </c>
      <c r="K1086" s="453">
        <f>+E1086*G1086*I1086*J1086</f>
        <v>38368.572411111112</v>
      </c>
      <c r="L1086" s="243" t="s">
        <v>49</v>
      </c>
      <c r="M1086" s="173"/>
      <c r="N1086" s="68"/>
      <c r="O1086" s="203"/>
      <c r="P1086" s="218"/>
      <c r="Q1086" s="68"/>
      <c r="T1086" s="217"/>
    </row>
    <row r="1087" spans="1:24" ht="45" customHeight="1" x14ac:dyDescent="0.35">
      <c r="A1087" s="241">
        <v>93410</v>
      </c>
      <c r="B1087" s="1082" t="s">
        <v>746</v>
      </c>
      <c r="C1087" s="1082"/>
      <c r="D1087" s="1082"/>
      <c r="E1087" s="680">
        <f>+P791</f>
        <v>8.5</v>
      </c>
      <c r="F1087" s="639" t="s">
        <v>283</v>
      </c>
      <c r="G1087" s="716">
        <f>2354*2</f>
        <v>4708</v>
      </c>
      <c r="H1087" s="655" t="s">
        <v>635</v>
      </c>
      <c r="I1087" s="731">
        <f>+R791</f>
        <v>0.9432470865927236</v>
      </c>
      <c r="J1087" s="446"/>
      <c r="K1087" s="453">
        <f>+E1087*G1087*I1087</f>
        <v>37746.86191126761</v>
      </c>
      <c r="L1087" s="243" t="s">
        <v>49</v>
      </c>
      <c r="M1087" s="173"/>
      <c r="N1087" s="68"/>
      <c r="O1087" s="203"/>
      <c r="P1087" s="218"/>
      <c r="Q1087" s="68"/>
      <c r="T1087" s="217"/>
    </row>
    <row r="1088" spans="1:24" ht="30" customHeight="1" x14ac:dyDescent="0.35">
      <c r="A1088" s="241">
        <v>93210</v>
      </c>
      <c r="B1088" s="1082" t="s">
        <v>747</v>
      </c>
      <c r="C1088" s="1082"/>
      <c r="D1088" s="1082"/>
      <c r="E1088" s="680">
        <f>P793</f>
        <v>47.6</v>
      </c>
      <c r="F1088" s="639" t="s">
        <v>283</v>
      </c>
      <c r="G1088" s="738">
        <v>39</v>
      </c>
      <c r="H1088" s="655" t="s">
        <v>635</v>
      </c>
      <c r="I1088" s="731">
        <f>+R793</f>
        <v>0.9432470865927236</v>
      </c>
      <c r="J1088" s="446"/>
      <c r="K1088" s="453">
        <f>+E1088*G1088*I1088</f>
        <v>1751.0438915507323</v>
      </c>
      <c r="L1088" s="243" t="s">
        <v>49</v>
      </c>
      <c r="M1088" s="173"/>
      <c r="N1088" s="68"/>
      <c r="O1088" s="203"/>
      <c r="P1088" s="218"/>
      <c r="Q1088" s="68"/>
      <c r="T1088" s="217"/>
    </row>
    <row r="1089" spans="1:24" ht="30" customHeight="1" x14ac:dyDescent="0.35">
      <c r="A1089" s="1183" t="s">
        <v>2804</v>
      </c>
      <c r="B1089" s="1184"/>
      <c r="C1089" s="1184"/>
      <c r="D1089" s="1184"/>
      <c r="E1089" s="453"/>
      <c r="F1089" s="446"/>
      <c r="G1089" s="519"/>
      <c r="H1089" s="508"/>
      <c r="I1089" s="446"/>
      <c r="J1089" s="446" t="s">
        <v>362</v>
      </c>
      <c r="K1089" s="453">
        <f>SUM(K1082:K1088)</f>
        <v>89962.101802818346</v>
      </c>
      <c r="L1089" s="243" t="s">
        <v>49</v>
      </c>
      <c r="M1089" s="173"/>
      <c r="N1089" s="68"/>
      <c r="O1089" s="203"/>
      <c r="P1089" s="218"/>
      <c r="Q1089" s="68"/>
      <c r="T1089" s="217"/>
    </row>
    <row r="1090" spans="1:24" ht="30" customHeight="1" thickBot="1" x14ac:dyDescent="0.4">
      <c r="A1090" s="1183"/>
      <c r="B1090" s="1184"/>
      <c r="C1090" s="1184"/>
      <c r="D1090" s="1184"/>
      <c r="E1090" s="458"/>
      <c r="F1090" s="458"/>
      <c r="G1090" s="592" t="s">
        <v>2358</v>
      </c>
      <c r="H1090" s="458"/>
      <c r="I1090" s="458"/>
      <c r="J1090" s="583">
        <f>VLOOKUP(B1079,'Mil Cost Premiums for PUCs'!$A$4:$R$272,18,FALSE)</f>
        <v>1.0485669999999998</v>
      </c>
      <c r="K1090" s="591">
        <f>+K1089*J1090</f>
        <v>94331.291201075801</v>
      </c>
      <c r="L1090" s="243" t="s">
        <v>49</v>
      </c>
      <c r="M1090" s="173"/>
      <c r="N1090" s="68"/>
      <c r="O1090" s="203"/>
      <c r="P1090" s="218"/>
      <c r="Q1090" s="68"/>
      <c r="T1090" s="217"/>
    </row>
    <row r="1091" spans="1:24" ht="30" customHeight="1" thickBot="1" x14ac:dyDescent="0.4">
      <c r="A1091" s="1086"/>
      <c r="B1091" s="1086"/>
      <c r="C1091" s="1086"/>
      <c r="D1091" s="1086"/>
      <c r="E1091" s="1086"/>
      <c r="F1091" s="1086"/>
      <c r="G1091" s="1086"/>
      <c r="H1091" s="1086"/>
      <c r="I1091" s="1086"/>
      <c r="J1091" s="1086"/>
      <c r="K1091" s="1086"/>
      <c r="L1091" s="1103"/>
      <c r="M1091" s="173"/>
      <c r="N1091" s="68"/>
      <c r="O1091" s="203"/>
      <c r="P1091" s="218"/>
      <c r="Q1091" s="68"/>
      <c r="T1091" s="217"/>
    </row>
    <row r="1092" spans="1:24" ht="60" customHeight="1" x14ac:dyDescent="0.35">
      <c r="A1092" s="465" t="s">
        <v>278</v>
      </c>
      <c r="B1092" s="539">
        <v>1774</v>
      </c>
      <c r="C1092" s="1017" t="s">
        <v>748</v>
      </c>
      <c r="D1092" s="1017"/>
      <c r="E1092" s="541" t="s">
        <v>280</v>
      </c>
      <c r="F1092" s="542" t="s">
        <v>10</v>
      </c>
      <c r="G1092" s="553" t="s">
        <v>749</v>
      </c>
      <c r="H1092" s="587">
        <v>1</v>
      </c>
      <c r="I1092" s="541" t="s">
        <v>281</v>
      </c>
      <c r="J1092" s="1019" t="s">
        <v>2843</v>
      </c>
      <c r="K1092" s="1019"/>
      <c r="L1092" s="1020"/>
      <c r="M1092" s="173"/>
      <c r="N1092" s="68"/>
      <c r="O1092" s="203"/>
      <c r="P1092" s="218"/>
      <c r="Q1092" s="68"/>
      <c r="T1092" s="217"/>
    </row>
    <row r="1093" spans="1:24" ht="30" customHeight="1" x14ac:dyDescent="0.35">
      <c r="A1093" s="545" t="s">
        <v>541</v>
      </c>
      <c r="B1093" s="1038" t="s">
        <v>321</v>
      </c>
      <c r="C1093" s="1038"/>
      <c r="D1093" s="1038"/>
      <c r="E1093" s="23" t="s">
        <v>290</v>
      </c>
      <c r="F1093" s="23" t="s">
        <v>322</v>
      </c>
      <c r="G1093" s="1034" t="s">
        <v>323</v>
      </c>
      <c r="H1093" s="1034"/>
      <c r="I1093" s="509" t="s">
        <v>299</v>
      </c>
      <c r="J1093" s="201" t="s">
        <v>302</v>
      </c>
      <c r="K1093" s="1012" t="s">
        <v>292</v>
      </c>
      <c r="L1093" s="1023"/>
      <c r="M1093" s="173"/>
      <c r="N1093" s="68"/>
      <c r="O1093" s="203"/>
      <c r="P1093" s="218"/>
      <c r="Q1093" s="68"/>
      <c r="T1093" s="217"/>
      <c r="U1093" s="208"/>
      <c r="V1093" s="208"/>
      <c r="W1093" s="208"/>
      <c r="X1093" s="208"/>
    </row>
    <row r="1094" spans="1:24" s="208" customFormat="1" ht="30" customHeight="1" x14ac:dyDescent="0.35">
      <c r="A1094" s="545"/>
      <c r="B1094" s="1031" t="s">
        <v>750</v>
      </c>
      <c r="C1094" s="1031"/>
      <c r="D1094" s="1031"/>
      <c r="E1094" s="23"/>
      <c r="F1094" s="23"/>
      <c r="G1094" s="486"/>
      <c r="H1094" s="487"/>
      <c r="I1094" s="647"/>
      <c r="J1094" s="647"/>
      <c r="K1094" s="23"/>
      <c r="L1094" s="715"/>
      <c r="M1094" s="173"/>
      <c r="N1094" s="68"/>
      <c r="O1094" s="203"/>
      <c r="P1094" s="218"/>
      <c r="Q1094" s="68"/>
      <c r="R1094" s="203"/>
      <c r="S1094" s="203"/>
      <c r="T1094" s="217"/>
      <c r="U1094" s="203"/>
      <c r="V1094" s="203"/>
      <c r="W1094" s="203"/>
      <c r="X1094" s="203"/>
    </row>
    <row r="1095" spans="1:24" ht="30" customHeight="1" x14ac:dyDescent="0.35">
      <c r="A1095" s="241" t="s">
        <v>493</v>
      </c>
      <c r="B1095" s="1082" t="s">
        <v>751</v>
      </c>
      <c r="C1095" s="1082"/>
      <c r="D1095" s="1082"/>
      <c r="E1095" s="680">
        <f>+P770</f>
        <v>9.6300000000000008</v>
      </c>
      <c r="F1095" s="446" t="s">
        <v>8</v>
      </c>
      <c r="G1095" s="716">
        <f>31*62</f>
        <v>1922</v>
      </c>
      <c r="H1095" s="655" t="s">
        <v>671</v>
      </c>
      <c r="I1095" s="665">
        <f>+R770</f>
        <v>1.02</v>
      </c>
      <c r="J1095" s="665">
        <f>+S770</f>
        <v>0.9907407407407407</v>
      </c>
      <c r="K1095" s="453">
        <f t="shared" ref="K1095:K1100" si="35">+E1095*G1095*I1095*J1095</f>
        <v>18704.231300000003</v>
      </c>
      <c r="L1095" s="243" t="s">
        <v>10</v>
      </c>
      <c r="M1095" s="173"/>
      <c r="N1095" s="68"/>
      <c r="O1095" s="208"/>
      <c r="P1095" s="218"/>
      <c r="Q1095" s="68"/>
      <c r="R1095" s="208"/>
      <c r="S1095" s="208"/>
      <c r="T1095" s="217"/>
    </row>
    <row r="1096" spans="1:24" ht="30" customHeight="1" x14ac:dyDescent="0.35">
      <c r="A1096" s="241" t="s">
        <v>544</v>
      </c>
      <c r="B1096" s="1082" t="s">
        <v>545</v>
      </c>
      <c r="C1096" s="1082"/>
      <c r="D1096" s="1082"/>
      <c r="E1096" s="680">
        <f>+P776</f>
        <v>475.5</v>
      </c>
      <c r="F1096" s="639" t="s">
        <v>10</v>
      </c>
      <c r="G1096" s="727">
        <v>31</v>
      </c>
      <c r="H1096" s="655" t="s">
        <v>672</v>
      </c>
      <c r="I1096" s="665">
        <f>+R776</f>
        <v>1.01</v>
      </c>
      <c r="J1096" s="665">
        <f>+S776</f>
        <v>0.9907407407407407</v>
      </c>
      <c r="K1096" s="453">
        <f t="shared" si="35"/>
        <v>14750.054027777778</v>
      </c>
      <c r="L1096" s="243" t="s">
        <v>10</v>
      </c>
      <c r="M1096" s="173"/>
      <c r="N1096" s="68"/>
      <c r="O1096" s="203"/>
      <c r="P1096" s="218"/>
      <c r="Q1096" s="68"/>
      <c r="T1096" s="217"/>
    </row>
    <row r="1097" spans="1:24" ht="30" customHeight="1" x14ac:dyDescent="0.35">
      <c r="A1097" s="241" t="s">
        <v>544</v>
      </c>
      <c r="B1097" s="1082" t="s">
        <v>547</v>
      </c>
      <c r="C1097" s="1082"/>
      <c r="D1097" s="1082"/>
      <c r="E1097" s="680">
        <f>+P778</f>
        <v>341</v>
      </c>
      <c r="F1097" s="639" t="s">
        <v>10</v>
      </c>
      <c r="G1097" s="727">
        <v>31</v>
      </c>
      <c r="H1097" s="655" t="s">
        <v>672</v>
      </c>
      <c r="I1097" s="665">
        <f>+R778</f>
        <v>1.01</v>
      </c>
      <c r="J1097" s="665">
        <f>+S778</f>
        <v>0.9907407407407407</v>
      </c>
      <c r="K1097" s="453">
        <f t="shared" si="35"/>
        <v>10577.851574074075</v>
      </c>
      <c r="L1097" s="243" t="s">
        <v>10</v>
      </c>
      <c r="M1097" s="173"/>
      <c r="N1097" s="68"/>
      <c r="O1097" s="203"/>
      <c r="P1097" s="218"/>
      <c r="Q1097" s="68"/>
      <c r="T1097" s="217"/>
    </row>
    <row r="1098" spans="1:24" ht="30" customHeight="1" x14ac:dyDescent="0.35">
      <c r="A1098" s="241" t="s">
        <v>548</v>
      </c>
      <c r="B1098" s="1059" t="s">
        <v>744</v>
      </c>
      <c r="C1098" s="1059"/>
      <c r="D1098" s="1059"/>
      <c r="E1098" s="680">
        <f>+P781</f>
        <v>148.79</v>
      </c>
      <c r="F1098" s="639" t="s">
        <v>10</v>
      </c>
      <c r="G1098" s="727">
        <f>31*4</f>
        <v>124</v>
      </c>
      <c r="H1098" s="655" t="s">
        <v>672</v>
      </c>
      <c r="I1098" s="665">
        <f>+R781</f>
        <v>1.01</v>
      </c>
      <c r="J1098" s="665">
        <f>+S781</f>
        <v>0.9907407407407407</v>
      </c>
      <c r="K1098" s="453">
        <f t="shared" si="35"/>
        <v>18461.918307407406</v>
      </c>
      <c r="L1098" s="243" t="s">
        <v>10</v>
      </c>
      <c r="M1098" s="173"/>
      <c r="N1098" s="68"/>
      <c r="O1098" s="203"/>
      <c r="P1098" s="218"/>
      <c r="Q1098" s="68"/>
      <c r="T1098" s="217"/>
    </row>
    <row r="1099" spans="1:24" ht="30" customHeight="1" x14ac:dyDescent="0.35">
      <c r="A1099" s="241" t="s">
        <v>550</v>
      </c>
      <c r="B1099" s="1082" t="s">
        <v>587</v>
      </c>
      <c r="C1099" s="1082"/>
      <c r="D1099" s="1082"/>
      <c r="E1099" s="680">
        <f>+P782</f>
        <v>18.47</v>
      </c>
      <c r="F1099" s="639" t="s">
        <v>6</v>
      </c>
      <c r="G1099" s="716">
        <v>8152</v>
      </c>
      <c r="H1099" s="655" t="s">
        <v>675</v>
      </c>
      <c r="I1099" s="665">
        <f>+R782</f>
        <v>1.01</v>
      </c>
      <c r="J1099" s="665">
        <f>+S782</f>
        <v>0.9907407407407407</v>
      </c>
      <c r="K1099" s="453">
        <f t="shared" si="35"/>
        <v>150665.03000740739</v>
      </c>
      <c r="L1099" s="243" t="s">
        <v>10</v>
      </c>
      <c r="M1099" s="173"/>
      <c r="N1099" s="68"/>
      <c r="O1099" s="203"/>
      <c r="P1099" s="218"/>
      <c r="Q1099" s="68"/>
      <c r="T1099" s="217"/>
    </row>
    <row r="1100" spans="1:24" ht="30" customHeight="1" x14ac:dyDescent="0.35">
      <c r="A1100" s="241" t="s">
        <v>493</v>
      </c>
      <c r="B1100" s="1082" t="s">
        <v>752</v>
      </c>
      <c r="C1100" s="1082"/>
      <c r="D1100" s="1082"/>
      <c r="E1100" s="645">
        <f>+P770</f>
        <v>9.6300000000000008</v>
      </c>
      <c r="F1100" s="639" t="s">
        <v>8</v>
      </c>
      <c r="G1100" s="727">
        <f>5*104</f>
        <v>520</v>
      </c>
      <c r="H1100" s="655" t="s">
        <v>672</v>
      </c>
      <c r="I1100" s="665">
        <f>+R770</f>
        <v>1.02</v>
      </c>
      <c r="J1100" s="665">
        <f>+S770</f>
        <v>0.9907407407407407</v>
      </c>
      <c r="K1100" s="453">
        <f t="shared" si="35"/>
        <v>5060.4580000000005</v>
      </c>
      <c r="L1100" s="243" t="s">
        <v>10</v>
      </c>
      <c r="M1100" s="173"/>
      <c r="N1100" s="68"/>
      <c r="O1100" s="203"/>
      <c r="P1100" s="218"/>
      <c r="Q1100" s="68"/>
      <c r="T1100" s="217"/>
    </row>
    <row r="1101" spans="1:24" ht="30" customHeight="1" x14ac:dyDescent="0.35">
      <c r="A1101" s="241">
        <v>93410</v>
      </c>
      <c r="B1101" s="1082" t="s">
        <v>753</v>
      </c>
      <c r="C1101" s="1082"/>
      <c r="D1101" s="1082"/>
      <c r="E1101" s="680">
        <f>+P791</f>
        <v>8.5</v>
      </c>
      <c r="F1101" s="639" t="s">
        <v>283</v>
      </c>
      <c r="G1101" s="728">
        <v>785</v>
      </c>
      <c r="H1101" s="655" t="s">
        <v>554</v>
      </c>
      <c r="I1101" s="721">
        <f>+R791</f>
        <v>0.9432470865927236</v>
      </c>
      <c r="J1101" s="446"/>
      <c r="K1101" s="453">
        <f>+E1101*G1101*I1101</f>
        <v>6293.8161852899484</v>
      </c>
      <c r="L1101" s="243" t="s">
        <v>10</v>
      </c>
      <c r="M1101" s="173"/>
      <c r="O1101" s="203"/>
      <c r="P1101" s="218"/>
      <c r="Q1101" s="68"/>
      <c r="T1101" s="217"/>
    </row>
    <row r="1102" spans="1:24" ht="30" customHeight="1" x14ac:dyDescent="0.35">
      <c r="A1102" s="241">
        <v>93210</v>
      </c>
      <c r="B1102" s="1082" t="s">
        <v>754</v>
      </c>
      <c r="C1102" s="1082"/>
      <c r="D1102" s="1082"/>
      <c r="E1102" s="680">
        <f>+P793</f>
        <v>47.6</v>
      </c>
      <c r="F1102" s="639" t="s">
        <v>283</v>
      </c>
      <c r="G1102" s="728">
        <v>353</v>
      </c>
      <c r="H1102" s="655" t="s">
        <v>554</v>
      </c>
      <c r="I1102" s="731">
        <f>+R793</f>
        <v>0.9432470865927236</v>
      </c>
      <c r="J1102" s="446"/>
      <c r="K1102" s="453">
        <f>+E1102*G1102*I1102</f>
        <v>15849.192146600215</v>
      </c>
      <c r="L1102" s="243" t="s">
        <v>10</v>
      </c>
      <c r="M1102" s="173"/>
      <c r="N1102" s="68"/>
      <c r="O1102" s="203"/>
      <c r="P1102" s="218"/>
      <c r="Q1102" s="68"/>
      <c r="T1102" s="217"/>
    </row>
    <row r="1103" spans="1:24" ht="30" customHeight="1" x14ac:dyDescent="0.35">
      <c r="A1103" s="1183" t="s">
        <v>2804</v>
      </c>
      <c r="B1103" s="1184"/>
      <c r="C1103" s="1184"/>
      <c r="D1103" s="1184"/>
      <c r="E1103" s="453"/>
      <c r="F1103" s="446"/>
      <c r="G1103" s="519"/>
      <c r="H1103" s="508"/>
      <c r="I1103" s="446"/>
      <c r="J1103" s="446" t="s">
        <v>362</v>
      </c>
      <c r="K1103" s="453">
        <f>SUM(K1095:K1102)</f>
        <v>240362.55154855683</v>
      </c>
      <c r="L1103" s="243" t="s">
        <v>10</v>
      </c>
      <c r="M1103" s="173"/>
      <c r="N1103" s="68"/>
      <c r="O1103" s="203"/>
      <c r="P1103" s="218"/>
      <c r="Q1103" s="68"/>
      <c r="T1103" s="217"/>
    </row>
    <row r="1104" spans="1:24" ht="30" customHeight="1" thickBot="1" x14ac:dyDescent="0.4">
      <c r="A1104" s="1183"/>
      <c r="B1104" s="1184"/>
      <c r="C1104" s="1184"/>
      <c r="D1104" s="1184"/>
      <c r="E1104" s="458"/>
      <c r="F1104" s="458"/>
      <c r="G1104" s="592" t="s">
        <v>2358</v>
      </c>
      <c r="H1104" s="458"/>
      <c r="I1104" s="458"/>
      <c r="J1104" s="583">
        <f>VLOOKUP(B1092,'Mil Cost Premiums for PUCs'!$A$4:$R$272,18,FALSE)</f>
        <v>1.0485669999999998</v>
      </c>
      <c r="K1104" s="591">
        <f>+K1103*J1104</f>
        <v>252036.23958961555</v>
      </c>
      <c r="L1104" s="243" t="s">
        <v>10</v>
      </c>
      <c r="M1104" s="173"/>
      <c r="N1104" s="135"/>
      <c r="O1104" s="203"/>
      <c r="P1104" s="218"/>
      <c r="Q1104" s="68"/>
      <c r="T1104" s="217"/>
    </row>
    <row r="1105" spans="1:24" ht="30" customHeight="1" thickBot="1" x14ac:dyDescent="0.4">
      <c r="A1105" s="1086"/>
      <c r="B1105" s="1086"/>
      <c r="C1105" s="1086"/>
      <c r="D1105" s="1086"/>
      <c r="E1105" s="1086"/>
      <c r="F1105" s="1086"/>
      <c r="G1105" s="1086"/>
      <c r="H1105" s="1086"/>
      <c r="I1105" s="1086"/>
      <c r="J1105" s="1086"/>
      <c r="K1105" s="1086"/>
      <c r="L1105" s="1103"/>
      <c r="M1105" s="173"/>
      <c r="N1105" s="135"/>
      <c r="O1105" s="203"/>
      <c r="P1105" s="218"/>
      <c r="Q1105" s="68"/>
      <c r="T1105" s="217"/>
    </row>
    <row r="1106" spans="1:24" ht="60" customHeight="1" x14ac:dyDescent="0.35">
      <c r="A1106" s="465" t="s">
        <v>278</v>
      </c>
      <c r="B1106" s="539">
        <v>1775</v>
      </c>
      <c r="C1106" s="1017" t="s">
        <v>755</v>
      </c>
      <c r="D1106" s="1017"/>
      <c r="E1106" s="541" t="s">
        <v>280</v>
      </c>
      <c r="F1106" s="542" t="s">
        <v>10</v>
      </c>
      <c r="G1106" s="553" t="s">
        <v>756</v>
      </c>
      <c r="H1106" s="587">
        <v>1</v>
      </c>
      <c r="I1106" s="541" t="s">
        <v>281</v>
      </c>
      <c r="J1106" s="1019" t="s">
        <v>2843</v>
      </c>
      <c r="K1106" s="1019"/>
      <c r="L1106" s="1020"/>
      <c r="M1106" s="173"/>
      <c r="N1106" s="68"/>
      <c r="O1106" s="203"/>
      <c r="P1106" s="218"/>
      <c r="Q1106" s="68"/>
      <c r="T1106" s="217"/>
    </row>
    <row r="1107" spans="1:24" ht="30" customHeight="1" x14ac:dyDescent="0.35">
      <c r="A1107" s="545" t="s">
        <v>541</v>
      </c>
      <c r="B1107" s="1038" t="s">
        <v>321</v>
      </c>
      <c r="C1107" s="1038"/>
      <c r="D1107" s="1038"/>
      <c r="E1107" s="23" t="s">
        <v>290</v>
      </c>
      <c r="F1107" s="23" t="s">
        <v>322</v>
      </c>
      <c r="G1107" s="1034" t="s">
        <v>323</v>
      </c>
      <c r="H1107" s="1034"/>
      <c r="I1107" s="509" t="s">
        <v>299</v>
      </c>
      <c r="J1107" s="201" t="s">
        <v>302</v>
      </c>
      <c r="K1107" s="1012" t="s">
        <v>292</v>
      </c>
      <c r="L1107" s="1023"/>
      <c r="M1107" s="173"/>
      <c r="N1107" s="68"/>
      <c r="O1107" s="203"/>
      <c r="P1107" s="218"/>
      <c r="Q1107" s="68"/>
      <c r="T1107" s="217"/>
      <c r="U1107" s="208"/>
      <c r="V1107" s="208"/>
      <c r="W1107" s="208"/>
      <c r="X1107" s="208"/>
    </row>
    <row r="1108" spans="1:24" s="208" customFormat="1" ht="30" customHeight="1" x14ac:dyDescent="0.35">
      <c r="A1108" s="545"/>
      <c r="B1108" s="1031" t="s">
        <v>757</v>
      </c>
      <c r="C1108" s="1031"/>
      <c r="D1108" s="1031"/>
      <c r="E1108" s="23"/>
      <c r="F1108" s="23"/>
      <c r="G1108" s="486"/>
      <c r="H1108" s="487"/>
      <c r="I1108" s="647"/>
      <c r="J1108" s="647"/>
      <c r="K1108" s="23"/>
      <c r="L1108" s="715"/>
      <c r="M1108" s="173"/>
      <c r="N1108" s="68"/>
      <c r="O1108" s="203"/>
      <c r="P1108" s="218"/>
      <c r="Q1108" s="68"/>
      <c r="R1108" s="203"/>
      <c r="S1108" s="203"/>
      <c r="T1108" s="217"/>
      <c r="U1108" s="203"/>
      <c r="V1108" s="203"/>
      <c r="W1108" s="203"/>
      <c r="X1108" s="203"/>
    </row>
    <row r="1109" spans="1:24" ht="30" customHeight="1" x14ac:dyDescent="0.35">
      <c r="A1109" s="241" t="s">
        <v>493</v>
      </c>
      <c r="B1109" s="1082" t="s">
        <v>758</v>
      </c>
      <c r="C1109" s="1082"/>
      <c r="D1109" s="1082"/>
      <c r="E1109" s="680">
        <f>+P770</f>
        <v>9.6300000000000008</v>
      </c>
      <c r="F1109" s="446" t="s">
        <v>8</v>
      </c>
      <c r="G1109" s="716">
        <f>20*62</f>
        <v>1240</v>
      </c>
      <c r="H1109" s="655" t="s">
        <v>671</v>
      </c>
      <c r="I1109" s="665">
        <f>+R770</f>
        <v>1.02</v>
      </c>
      <c r="J1109" s="665">
        <f>+S770</f>
        <v>0.9907407407407407</v>
      </c>
      <c r="K1109" s="453">
        <f t="shared" ref="K1109:K1120" si="36">+E1109*G1109*I1109*J1109</f>
        <v>12067.246000000001</v>
      </c>
      <c r="L1109" s="243" t="s">
        <v>10</v>
      </c>
      <c r="M1109" s="173"/>
      <c r="N1109" s="68"/>
      <c r="O1109" s="208"/>
      <c r="P1109" s="218"/>
      <c r="Q1109" s="68"/>
      <c r="R1109" s="208"/>
      <c r="S1109" s="208"/>
      <c r="T1109" s="217"/>
    </row>
    <row r="1110" spans="1:24" ht="30" customHeight="1" x14ac:dyDescent="0.35">
      <c r="A1110" s="241" t="s">
        <v>544</v>
      </c>
      <c r="B1110" s="1082" t="s">
        <v>545</v>
      </c>
      <c r="C1110" s="1082"/>
      <c r="D1110" s="1082"/>
      <c r="E1110" s="680">
        <f>+P776</f>
        <v>475.5</v>
      </c>
      <c r="F1110" s="639" t="s">
        <v>10</v>
      </c>
      <c r="G1110" s="716">
        <v>20</v>
      </c>
      <c r="H1110" s="655" t="s">
        <v>672</v>
      </c>
      <c r="I1110" s="665">
        <f>+R776</f>
        <v>1.01</v>
      </c>
      <c r="J1110" s="665">
        <f>+S776</f>
        <v>0.9907407407407407</v>
      </c>
      <c r="K1110" s="453">
        <f t="shared" si="36"/>
        <v>9516.1638888888883</v>
      </c>
      <c r="L1110" s="243" t="s">
        <v>10</v>
      </c>
      <c r="M1110" s="173"/>
      <c r="N1110" s="68"/>
      <c r="O1110" s="203"/>
      <c r="P1110" s="218"/>
      <c r="Q1110" s="68"/>
      <c r="T1110" s="217"/>
    </row>
    <row r="1111" spans="1:24" ht="30" customHeight="1" x14ac:dyDescent="0.35">
      <c r="A1111" s="241" t="s">
        <v>544</v>
      </c>
      <c r="B1111" s="1059" t="s">
        <v>547</v>
      </c>
      <c r="C1111" s="1059"/>
      <c r="D1111" s="1059"/>
      <c r="E1111" s="680">
        <f>+P778</f>
        <v>341</v>
      </c>
      <c r="F1111" s="639" t="s">
        <v>10</v>
      </c>
      <c r="G1111" s="716">
        <v>20</v>
      </c>
      <c r="H1111" s="655" t="s">
        <v>672</v>
      </c>
      <c r="I1111" s="665">
        <f>+R778</f>
        <v>1.01</v>
      </c>
      <c r="J1111" s="665">
        <f>+S778</f>
        <v>0.9907407407407407</v>
      </c>
      <c r="K1111" s="453">
        <f t="shared" si="36"/>
        <v>6824.4203703703697</v>
      </c>
      <c r="L1111" s="243" t="s">
        <v>10</v>
      </c>
      <c r="M1111" s="173"/>
      <c r="N1111" s="68"/>
      <c r="O1111" s="203"/>
      <c r="P1111" s="218"/>
      <c r="Q1111" s="68"/>
      <c r="T1111" s="217"/>
    </row>
    <row r="1112" spans="1:24" ht="30" customHeight="1" x14ac:dyDescent="0.35">
      <c r="A1112" s="241" t="s">
        <v>493</v>
      </c>
      <c r="B1112" s="1059" t="s">
        <v>759</v>
      </c>
      <c r="C1112" s="1059"/>
      <c r="D1112" s="1059"/>
      <c r="E1112" s="680">
        <f>+P773</f>
        <v>11.77</v>
      </c>
      <c r="F1112" s="446" t="s">
        <v>8</v>
      </c>
      <c r="G1112" s="716">
        <f>6*468</f>
        <v>2808</v>
      </c>
      <c r="H1112" s="655" t="s">
        <v>671</v>
      </c>
      <c r="I1112" s="665">
        <f>+R773</f>
        <v>1.02</v>
      </c>
      <c r="J1112" s="665">
        <f>+S773</f>
        <v>0.9907407407407407</v>
      </c>
      <c r="K1112" s="453">
        <f t="shared" si="36"/>
        <v>33399.022799999992</v>
      </c>
      <c r="L1112" s="243" t="s">
        <v>10</v>
      </c>
      <c r="M1112" s="173"/>
      <c r="N1112" s="68"/>
      <c r="O1112" s="203"/>
      <c r="P1112" s="218"/>
      <c r="Q1112" s="68"/>
      <c r="T1112" s="217"/>
    </row>
    <row r="1113" spans="1:24" ht="30" customHeight="1" x14ac:dyDescent="0.35">
      <c r="A1113" s="241" t="s">
        <v>449</v>
      </c>
      <c r="B1113" s="1059" t="s">
        <v>760</v>
      </c>
      <c r="C1113" s="1059"/>
      <c r="D1113" s="1059"/>
      <c r="E1113" s="680">
        <f>+P774</f>
        <v>19</v>
      </c>
      <c r="F1113" s="446" t="s">
        <v>8</v>
      </c>
      <c r="G1113" s="716">
        <f>2152*1</f>
        <v>2152</v>
      </c>
      <c r="H1113" s="655" t="s">
        <v>671</v>
      </c>
      <c r="I1113" s="665">
        <f>+R774</f>
        <v>1.05</v>
      </c>
      <c r="J1113" s="665">
        <f>+S774</f>
        <v>0.9907407407407407</v>
      </c>
      <c r="K1113" s="453">
        <f t="shared" si="36"/>
        <v>42534.87777777778</v>
      </c>
      <c r="L1113" s="243" t="s">
        <v>10</v>
      </c>
      <c r="M1113" s="173"/>
      <c r="N1113" s="208"/>
      <c r="O1113" s="203"/>
      <c r="P1113" s="218"/>
      <c r="Q1113" s="68"/>
      <c r="T1113" s="217"/>
    </row>
    <row r="1114" spans="1:24" ht="30" customHeight="1" x14ac:dyDescent="0.35">
      <c r="A1114" s="241" t="s">
        <v>449</v>
      </c>
      <c r="B1114" s="1059" t="s">
        <v>761</v>
      </c>
      <c r="C1114" s="1059"/>
      <c r="D1114" s="1059"/>
      <c r="E1114" s="680">
        <f>+P774</f>
        <v>19</v>
      </c>
      <c r="F1114" s="446" t="s">
        <v>8</v>
      </c>
      <c r="G1114" s="716">
        <f>80.7*6</f>
        <v>484.20000000000005</v>
      </c>
      <c r="H1114" s="655" t="s">
        <v>671</v>
      </c>
      <c r="I1114" s="665">
        <f>+R774</f>
        <v>1.05</v>
      </c>
      <c r="J1114" s="665">
        <f>+S774</f>
        <v>0.9907407407407407</v>
      </c>
      <c r="K1114" s="453">
        <f t="shared" si="36"/>
        <v>9570.3474999999999</v>
      </c>
      <c r="L1114" s="243" t="s">
        <v>10</v>
      </c>
      <c r="M1114" s="173"/>
      <c r="N1114" s="68"/>
      <c r="O1114" s="203"/>
      <c r="P1114" s="218"/>
      <c r="Q1114" s="68"/>
      <c r="T1114" s="217"/>
    </row>
    <row r="1115" spans="1:24" ht="30" customHeight="1" x14ac:dyDescent="0.35">
      <c r="A1115" s="241" t="s">
        <v>544</v>
      </c>
      <c r="B1115" s="1059" t="s">
        <v>574</v>
      </c>
      <c r="C1115" s="1059"/>
      <c r="D1115" s="1059"/>
      <c r="E1115" s="680">
        <f>+P777</f>
        <v>862.5</v>
      </c>
      <c r="F1115" s="639" t="s">
        <v>10</v>
      </c>
      <c r="G1115" s="716">
        <v>13</v>
      </c>
      <c r="H1115" s="655" t="s">
        <v>672</v>
      </c>
      <c r="I1115" s="665">
        <f>+R777</f>
        <v>1.01</v>
      </c>
      <c r="J1115" s="665">
        <f>+S777</f>
        <v>0.9907407407407407</v>
      </c>
      <c r="K1115" s="453">
        <f t="shared" si="36"/>
        <v>11219.767361111111</v>
      </c>
      <c r="L1115" s="243" t="s">
        <v>10</v>
      </c>
      <c r="M1115" s="173"/>
      <c r="N1115" s="68"/>
      <c r="O1115" s="203"/>
      <c r="P1115" s="218"/>
      <c r="Q1115" s="68"/>
      <c r="T1115" s="217"/>
    </row>
    <row r="1116" spans="1:24" ht="30" customHeight="1" x14ac:dyDescent="0.35">
      <c r="A1116" s="241" t="s">
        <v>436</v>
      </c>
      <c r="B1116" s="1059" t="s">
        <v>762</v>
      </c>
      <c r="C1116" s="1059"/>
      <c r="D1116" s="1059"/>
      <c r="E1116" s="680">
        <f>+P784</f>
        <v>18.324999999999999</v>
      </c>
      <c r="F1116" s="639" t="s">
        <v>6</v>
      </c>
      <c r="G1116" s="716">
        <f>+((656*1)+(49*6))</f>
        <v>950</v>
      </c>
      <c r="H1116" s="655" t="s">
        <v>675</v>
      </c>
      <c r="I1116" s="665">
        <f>+R784</f>
        <v>1.02</v>
      </c>
      <c r="J1116" s="665">
        <f>+S784</f>
        <v>0.9907407407407407</v>
      </c>
      <c r="K1116" s="453">
        <f t="shared" si="36"/>
        <v>17592.509027777778</v>
      </c>
      <c r="L1116" s="243" t="s">
        <v>10</v>
      </c>
      <c r="M1116" s="173"/>
      <c r="N1116" s="68"/>
      <c r="O1116" s="203"/>
      <c r="P1116" s="218"/>
      <c r="Q1116" s="68"/>
      <c r="T1116" s="217"/>
    </row>
    <row r="1117" spans="1:24" ht="30" customHeight="1" x14ac:dyDescent="0.35">
      <c r="A1117" s="241" t="s">
        <v>436</v>
      </c>
      <c r="B1117" s="1082" t="s">
        <v>688</v>
      </c>
      <c r="C1117" s="1082"/>
      <c r="D1117" s="1082"/>
      <c r="E1117" s="680">
        <f>+P785</f>
        <v>2797.5</v>
      </c>
      <c r="F1117" s="639" t="s">
        <v>10</v>
      </c>
      <c r="G1117" s="716">
        <v>7</v>
      </c>
      <c r="H1117" s="655" t="s">
        <v>672</v>
      </c>
      <c r="I1117" s="665">
        <f>+R785</f>
        <v>1.02</v>
      </c>
      <c r="J1117" s="665">
        <f>+S785</f>
        <v>0.9907407407407407</v>
      </c>
      <c r="K1117" s="453">
        <f t="shared" si="36"/>
        <v>19789.204166666666</v>
      </c>
      <c r="L1117" s="243" t="s">
        <v>10</v>
      </c>
      <c r="M1117" s="173"/>
      <c r="N1117" s="68"/>
      <c r="O1117" s="203"/>
      <c r="P1117" s="218"/>
      <c r="Q1117" s="68"/>
      <c r="T1117" s="217"/>
    </row>
    <row r="1118" spans="1:24" ht="30" customHeight="1" x14ac:dyDescent="0.35">
      <c r="A1118" s="241" t="s">
        <v>544</v>
      </c>
      <c r="B1118" s="1082" t="s">
        <v>618</v>
      </c>
      <c r="C1118" s="1082"/>
      <c r="D1118" s="1082"/>
      <c r="E1118" s="680">
        <f>+P780</f>
        <v>1060</v>
      </c>
      <c r="F1118" s="639" t="s">
        <v>10</v>
      </c>
      <c r="G1118" s="716">
        <v>13</v>
      </c>
      <c r="H1118" s="655" t="s">
        <v>672</v>
      </c>
      <c r="I1118" s="665">
        <f t="shared" ref="I1118:J1120" si="37">+R780</f>
        <v>1.01</v>
      </c>
      <c r="J1118" s="665">
        <f t="shared" si="37"/>
        <v>0.9907407407407407</v>
      </c>
      <c r="K1118" s="453">
        <f t="shared" si="36"/>
        <v>13788.931481481481</v>
      </c>
      <c r="L1118" s="243" t="s">
        <v>10</v>
      </c>
      <c r="M1118" s="173"/>
      <c r="N1118" s="68"/>
      <c r="O1118" s="203"/>
      <c r="P1118" s="218"/>
      <c r="Q1118" s="68"/>
      <c r="T1118" s="217"/>
    </row>
    <row r="1119" spans="1:24" ht="30" customHeight="1" x14ac:dyDescent="0.35">
      <c r="A1119" s="241" t="s">
        <v>548</v>
      </c>
      <c r="B1119" s="1059" t="s">
        <v>689</v>
      </c>
      <c r="C1119" s="1059"/>
      <c r="D1119" s="1059"/>
      <c r="E1119" s="680">
        <f>+P781</f>
        <v>148.79</v>
      </c>
      <c r="F1119" s="639" t="s">
        <v>10</v>
      </c>
      <c r="G1119" s="716">
        <f>(5*6)+(4*27)</f>
        <v>138</v>
      </c>
      <c r="H1119" s="655" t="s">
        <v>672</v>
      </c>
      <c r="I1119" s="665">
        <f t="shared" si="37"/>
        <v>1.01</v>
      </c>
      <c r="J1119" s="665">
        <f t="shared" si="37"/>
        <v>0.9907407407407407</v>
      </c>
      <c r="K1119" s="453">
        <f t="shared" si="36"/>
        <v>20546.32843888889</v>
      </c>
      <c r="L1119" s="243" t="s">
        <v>10</v>
      </c>
      <c r="M1119" s="173"/>
      <c r="N1119" s="68"/>
      <c r="O1119" s="203"/>
      <c r="P1119" s="218"/>
      <c r="Q1119" s="68"/>
      <c r="T1119" s="217"/>
    </row>
    <row r="1120" spans="1:24" ht="30" customHeight="1" x14ac:dyDescent="0.35">
      <c r="A1120" s="241" t="s">
        <v>550</v>
      </c>
      <c r="B1120" s="1082" t="s">
        <v>690</v>
      </c>
      <c r="C1120" s="1082"/>
      <c r="D1120" s="1082"/>
      <c r="E1120" s="680">
        <f>+P782</f>
        <v>18.47</v>
      </c>
      <c r="F1120" s="639" t="s">
        <v>6</v>
      </c>
      <c r="G1120" s="716">
        <f>3280*34</f>
        <v>111520</v>
      </c>
      <c r="H1120" s="655" t="s">
        <v>675</v>
      </c>
      <c r="I1120" s="665">
        <f t="shared" si="37"/>
        <v>1.01</v>
      </c>
      <c r="J1120" s="665">
        <f t="shared" si="37"/>
        <v>0.9907407407407407</v>
      </c>
      <c r="K1120" s="453">
        <f t="shared" si="36"/>
        <v>2061109.4389629627</v>
      </c>
      <c r="L1120" s="243" t="s">
        <v>10</v>
      </c>
      <c r="M1120" s="173"/>
      <c r="N1120" s="68"/>
      <c r="O1120" s="203"/>
      <c r="P1120" s="218"/>
      <c r="Q1120" s="68"/>
      <c r="T1120" s="217"/>
    </row>
    <row r="1121" spans="1:24" ht="30" customHeight="1" x14ac:dyDescent="0.35">
      <c r="A1121" s="241">
        <v>93410</v>
      </c>
      <c r="B1121" s="1082" t="s">
        <v>763</v>
      </c>
      <c r="C1121" s="1082"/>
      <c r="D1121" s="1082"/>
      <c r="E1121" s="645">
        <f>+P792</f>
        <v>1.1000000000000001</v>
      </c>
      <c r="F1121" s="639" t="s">
        <v>3</v>
      </c>
      <c r="G1121" s="716">
        <v>2392</v>
      </c>
      <c r="H1121" s="655" t="s">
        <v>676</v>
      </c>
      <c r="I1121" s="731">
        <f>+R792</f>
        <v>0.9432470865927236</v>
      </c>
      <c r="J1121" s="446"/>
      <c r="K1121" s="453">
        <f>+E1121*G1121*I1121</f>
        <v>2481.8717342427744</v>
      </c>
      <c r="L1121" s="243" t="s">
        <v>10</v>
      </c>
      <c r="M1121" s="173"/>
      <c r="N1121" s="137"/>
      <c r="O1121" s="203"/>
      <c r="P1121" s="218"/>
      <c r="Q1121" s="68"/>
      <c r="T1121" s="217"/>
    </row>
    <row r="1122" spans="1:24" ht="30" customHeight="1" x14ac:dyDescent="0.35">
      <c r="A1122" s="241">
        <v>93210</v>
      </c>
      <c r="B1122" s="1082" t="s">
        <v>764</v>
      </c>
      <c r="C1122" s="1082"/>
      <c r="D1122" s="1082"/>
      <c r="E1122" s="680">
        <f>+P793</f>
        <v>47.6</v>
      </c>
      <c r="F1122" s="639" t="s">
        <v>283</v>
      </c>
      <c r="G1122" s="716">
        <v>9225</v>
      </c>
      <c r="H1122" s="655" t="s">
        <v>679</v>
      </c>
      <c r="I1122" s="721">
        <f>+R793</f>
        <v>0.9432470865927236</v>
      </c>
      <c r="J1122" s="446"/>
      <c r="K1122" s="453">
        <f>+E1122*G1122*I1122</f>
        <v>414189.22819373087</v>
      </c>
      <c r="L1122" s="243" t="s">
        <v>10</v>
      </c>
      <c r="M1122" s="173"/>
      <c r="N1122" s="68"/>
      <c r="O1122" s="203"/>
      <c r="P1122" s="218"/>
      <c r="Q1122" s="68"/>
      <c r="T1122" s="217"/>
    </row>
    <row r="1123" spans="1:24" ht="30" customHeight="1" x14ac:dyDescent="0.35">
      <c r="A1123" s="241" t="s">
        <v>493</v>
      </c>
      <c r="B1123" s="1082" t="s">
        <v>765</v>
      </c>
      <c r="C1123" s="1082"/>
      <c r="D1123" s="1082"/>
      <c r="E1123" s="645">
        <f>+P770</f>
        <v>9.6300000000000008</v>
      </c>
      <c r="F1123" s="639" t="s">
        <v>8</v>
      </c>
      <c r="G1123" s="716">
        <f>5*144</f>
        <v>720</v>
      </c>
      <c r="H1123" s="655" t="s">
        <v>671</v>
      </c>
      <c r="I1123" s="446">
        <f>+R770</f>
        <v>1.02</v>
      </c>
      <c r="J1123" s="665">
        <f>+S770</f>
        <v>0.9907407407407407</v>
      </c>
      <c r="K1123" s="453">
        <f>+E1123*G1123*I1123*J1123</f>
        <v>7006.7880000000005</v>
      </c>
      <c r="L1123" s="243" t="s">
        <v>10</v>
      </c>
      <c r="M1123" s="173"/>
      <c r="N1123" s="68"/>
      <c r="O1123" s="203"/>
      <c r="P1123" s="218"/>
      <c r="Q1123" s="68"/>
      <c r="T1123" s="217"/>
    </row>
    <row r="1124" spans="1:24" ht="30" customHeight="1" x14ac:dyDescent="0.35">
      <c r="A1124" s="1183" t="s">
        <v>2804</v>
      </c>
      <c r="B1124" s="1184"/>
      <c r="C1124" s="1184"/>
      <c r="D1124" s="1184"/>
      <c r="E1124" s="453"/>
      <c r="F1124" s="446"/>
      <c r="G1124" s="519"/>
      <c r="H1124" s="508"/>
      <c r="I1124" s="446"/>
      <c r="J1124" s="446" t="s">
        <v>362</v>
      </c>
      <c r="K1124" s="453">
        <f>SUM(K1109:K1123)</f>
        <v>2681636.1457038997</v>
      </c>
      <c r="L1124" s="243" t="s">
        <v>10</v>
      </c>
      <c r="M1124" s="173"/>
      <c r="N1124" s="68"/>
      <c r="O1124" s="203"/>
      <c r="P1124" s="218"/>
      <c r="Q1124" s="68"/>
      <c r="T1124" s="217"/>
    </row>
    <row r="1125" spans="1:24" ht="30" customHeight="1" thickBot="1" x14ac:dyDescent="0.4">
      <c r="A1125" s="1183"/>
      <c r="B1125" s="1184"/>
      <c r="C1125" s="1184"/>
      <c r="D1125" s="1184"/>
      <c r="E1125" s="458"/>
      <c r="F1125" s="458"/>
      <c r="G1125" s="592" t="s">
        <v>2358</v>
      </c>
      <c r="H1125" s="458"/>
      <c r="I1125" s="458"/>
      <c r="J1125" s="583">
        <f>VLOOKUP(B1106,'Mil Cost Premiums for PUCs'!$A$4:$R$272,18,FALSE)</f>
        <v>1.0485669999999998</v>
      </c>
      <c r="K1125" s="591">
        <f>+K1124*J1125</f>
        <v>2811875.1683923006</v>
      </c>
      <c r="L1125" s="243" t="s">
        <v>10</v>
      </c>
      <c r="M1125" s="173"/>
      <c r="N1125" s="68"/>
      <c r="O1125" s="203"/>
      <c r="P1125" s="218"/>
      <c r="Q1125" s="68"/>
      <c r="T1125" s="217"/>
    </row>
    <row r="1126" spans="1:24" ht="30" customHeight="1" thickBot="1" x14ac:dyDescent="0.4">
      <c r="A1126" s="1086"/>
      <c r="B1126" s="1086"/>
      <c r="C1126" s="1086"/>
      <c r="D1126" s="1086"/>
      <c r="E1126" s="1086"/>
      <c r="F1126" s="1086"/>
      <c r="G1126" s="1086"/>
      <c r="H1126" s="1086"/>
      <c r="I1126" s="1086"/>
      <c r="J1126" s="1086"/>
      <c r="K1126" s="1086"/>
      <c r="L1126" s="1103"/>
      <c r="M1126" s="173"/>
      <c r="N1126" s="68"/>
      <c r="O1126" s="203"/>
      <c r="P1126" s="218"/>
      <c r="Q1126" s="68"/>
      <c r="T1126" s="217"/>
    </row>
    <row r="1127" spans="1:24" ht="60" customHeight="1" x14ac:dyDescent="0.35">
      <c r="A1127" s="465" t="s">
        <v>278</v>
      </c>
      <c r="B1127" s="539">
        <v>1776</v>
      </c>
      <c r="C1127" s="1017" t="s">
        <v>766</v>
      </c>
      <c r="D1127" s="1017"/>
      <c r="E1127" s="541" t="s">
        <v>280</v>
      </c>
      <c r="F1127" s="542" t="s">
        <v>10</v>
      </c>
      <c r="G1127" s="553" t="s">
        <v>767</v>
      </c>
      <c r="H1127" s="587">
        <v>1</v>
      </c>
      <c r="I1127" s="541" t="s">
        <v>281</v>
      </c>
      <c r="J1127" s="1019" t="s">
        <v>2843</v>
      </c>
      <c r="K1127" s="1019"/>
      <c r="L1127" s="1020"/>
      <c r="M1127" s="173"/>
      <c r="N1127" s="68"/>
      <c r="O1127" s="203"/>
      <c r="P1127" s="218"/>
      <c r="Q1127" s="68"/>
      <c r="T1127" s="217"/>
      <c r="U1127" s="208"/>
      <c r="V1127" s="208"/>
      <c r="W1127" s="208"/>
      <c r="X1127" s="208"/>
    </row>
    <row r="1128" spans="1:24" s="208" customFormat="1" ht="30" customHeight="1" x14ac:dyDescent="0.35">
      <c r="A1128" s="545" t="s">
        <v>541</v>
      </c>
      <c r="B1128" s="1038" t="s">
        <v>321</v>
      </c>
      <c r="C1128" s="1038"/>
      <c r="D1128" s="1038"/>
      <c r="E1128" s="23" t="s">
        <v>290</v>
      </c>
      <c r="F1128" s="23" t="s">
        <v>322</v>
      </c>
      <c r="G1128" s="1034" t="s">
        <v>323</v>
      </c>
      <c r="H1128" s="1034"/>
      <c r="I1128" s="509" t="s">
        <v>299</v>
      </c>
      <c r="J1128" s="509" t="s">
        <v>302</v>
      </c>
      <c r="K1128" s="1012" t="s">
        <v>292</v>
      </c>
      <c r="L1128" s="1023"/>
      <c r="M1128" s="173"/>
      <c r="N1128" s="68"/>
      <c r="O1128" s="203"/>
      <c r="P1128" s="218"/>
      <c r="Q1128" s="68"/>
      <c r="R1128" s="203"/>
      <c r="S1128" s="203"/>
      <c r="T1128" s="217"/>
    </row>
    <row r="1129" spans="1:24" s="208" customFormat="1" ht="30" customHeight="1" x14ac:dyDescent="0.35">
      <c r="A1129" s="241" t="s">
        <v>493</v>
      </c>
      <c r="B1129" s="1082" t="s">
        <v>768</v>
      </c>
      <c r="C1129" s="1082"/>
      <c r="D1129" s="1082"/>
      <c r="E1129" s="680">
        <f>+P770</f>
        <v>9.6300000000000008</v>
      </c>
      <c r="F1129" s="446" t="s">
        <v>8</v>
      </c>
      <c r="G1129" s="716">
        <f>26*62</f>
        <v>1612</v>
      </c>
      <c r="H1129" s="655" t="s">
        <v>671</v>
      </c>
      <c r="I1129" s="665">
        <f>+R770</f>
        <v>1.02</v>
      </c>
      <c r="J1129" s="665">
        <f>+S770</f>
        <v>0.9907407407407407</v>
      </c>
      <c r="K1129" s="453">
        <f>+E1129*G1129*I1129*J1129</f>
        <v>15687.419800000001</v>
      </c>
      <c r="L1129" s="243" t="s">
        <v>10</v>
      </c>
      <c r="M1129" s="173"/>
      <c r="N1129" s="68"/>
      <c r="P1129" s="218"/>
      <c r="Q1129" s="68"/>
      <c r="T1129" s="217"/>
      <c r="U1129" s="203"/>
      <c r="V1129" s="203"/>
      <c r="W1129" s="203"/>
      <c r="X1129" s="203"/>
    </row>
    <row r="1130" spans="1:24" ht="30" customHeight="1" x14ac:dyDescent="0.35">
      <c r="A1130" s="241" t="s">
        <v>544</v>
      </c>
      <c r="B1130" s="1082" t="s">
        <v>545</v>
      </c>
      <c r="C1130" s="1082"/>
      <c r="D1130" s="1082"/>
      <c r="E1130" s="680">
        <f>+P776</f>
        <v>475.5</v>
      </c>
      <c r="F1130" s="639" t="s">
        <v>10</v>
      </c>
      <c r="G1130" s="716">
        <v>26</v>
      </c>
      <c r="H1130" s="655" t="s">
        <v>672</v>
      </c>
      <c r="I1130" s="665">
        <f>+R776</f>
        <v>1.01</v>
      </c>
      <c r="J1130" s="665">
        <f>+S776</f>
        <v>0.9907407407407407</v>
      </c>
      <c r="K1130" s="453">
        <f>+E1130*G1130*I1130*J1130</f>
        <v>12371.013055555555</v>
      </c>
      <c r="L1130" s="243" t="s">
        <v>10</v>
      </c>
      <c r="M1130" s="173"/>
      <c r="N1130" s="68"/>
      <c r="O1130" s="208"/>
      <c r="P1130" s="218"/>
      <c r="Q1130" s="68"/>
      <c r="R1130" s="208"/>
      <c r="S1130" s="208"/>
      <c r="T1130" s="217"/>
    </row>
    <row r="1131" spans="1:24" ht="30" customHeight="1" x14ac:dyDescent="0.35">
      <c r="A1131" s="241" t="s">
        <v>544</v>
      </c>
      <c r="B1131" s="1082" t="s">
        <v>547</v>
      </c>
      <c r="C1131" s="1082"/>
      <c r="D1131" s="1082"/>
      <c r="E1131" s="680">
        <f>+P778</f>
        <v>341</v>
      </c>
      <c r="F1131" s="639" t="s">
        <v>10</v>
      </c>
      <c r="G1131" s="716">
        <v>26</v>
      </c>
      <c r="H1131" s="655" t="s">
        <v>672</v>
      </c>
      <c r="I1131" s="665">
        <f>+R778</f>
        <v>1.01</v>
      </c>
      <c r="J1131" s="665">
        <f>+S778</f>
        <v>0.9907407407407407</v>
      </c>
      <c r="K1131" s="453">
        <f>+E1131*G1131*I1131*J1131</f>
        <v>8871.7464814814812</v>
      </c>
      <c r="L1131" s="243" t="s">
        <v>10</v>
      </c>
      <c r="M1131" s="173"/>
      <c r="N1131" s="68"/>
      <c r="O1131" s="203"/>
      <c r="P1131" s="218"/>
      <c r="Q1131" s="68"/>
      <c r="T1131" s="217"/>
    </row>
    <row r="1132" spans="1:24" ht="30" customHeight="1" x14ac:dyDescent="0.35">
      <c r="A1132" s="241" t="s">
        <v>548</v>
      </c>
      <c r="B1132" s="1059" t="s">
        <v>689</v>
      </c>
      <c r="C1132" s="1059"/>
      <c r="D1132" s="1059"/>
      <c r="E1132" s="680">
        <f>+P781</f>
        <v>148.79</v>
      </c>
      <c r="F1132" s="639" t="s">
        <v>10</v>
      </c>
      <c r="G1132" s="716">
        <v>104</v>
      </c>
      <c r="H1132" s="655" t="s">
        <v>672</v>
      </c>
      <c r="I1132" s="665">
        <f>+R781</f>
        <v>1.01</v>
      </c>
      <c r="J1132" s="665">
        <f>+S781</f>
        <v>0.9907407407407407</v>
      </c>
      <c r="K1132" s="453">
        <f>+E1132*G1132*I1132*J1132</f>
        <v>15484.189548148146</v>
      </c>
      <c r="L1132" s="243" t="s">
        <v>10</v>
      </c>
      <c r="M1132" s="173"/>
      <c r="N1132" s="68"/>
      <c r="O1132" s="203"/>
      <c r="P1132" s="218"/>
      <c r="Q1132" s="68"/>
      <c r="T1132" s="217"/>
    </row>
    <row r="1133" spans="1:24" ht="30" customHeight="1" x14ac:dyDescent="0.35">
      <c r="A1133" s="241" t="s">
        <v>550</v>
      </c>
      <c r="B1133" s="1082" t="s">
        <v>769</v>
      </c>
      <c r="C1133" s="1082"/>
      <c r="D1133" s="1082"/>
      <c r="E1133" s="680">
        <f>+P782</f>
        <v>18.47</v>
      </c>
      <c r="F1133" s="639" t="s">
        <v>6</v>
      </c>
      <c r="G1133" s="716">
        <v>8105</v>
      </c>
      <c r="H1133" s="655" t="s">
        <v>675</v>
      </c>
      <c r="I1133" s="665">
        <f>+R782</f>
        <v>1.01</v>
      </c>
      <c r="J1133" s="665">
        <f>+S782</f>
        <v>0.9907407407407407</v>
      </c>
      <c r="K1133" s="453">
        <f>+E1133*G1133*I1133*J1133</f>
        <v>149796.37735648148</v>
      </c>
      <c r="L1133" s="243" t="s">
        <v>10</v>
      </c>
      <c r="M1133" s="173"/>
      <c r="N1133" s="68"/>
      <c r="O1133" s="203"/>
      <c r="P1133" s="218"/>
      <c r="Q1133" s="68"/>
      <c r="T1133" s="217"/>
    </row>
    <row r="1134" spans="1:24" ht="30" customHeight="1" x14ac:dyDescent="0.35">
      <c r="A1134" s="241">
        <v>85110</v>
      </c>
      <c r="B1134" s="1082" t="s">
        <v>770</v>
      </c>
      <c r="C1134" s="1082"/>
      <c r="D1134" s="1082"/>
      <c r="E1134" s="680">
        <f>+P790</f>
        <v>60</v>
      </c>
      <c r="F1134" s="446" t="s">
        <v>3</v>
      </c>
      <c r="G1134" s="716">
        <v>897</v>
      </c>
      <c r="H1134" s="655" t="s">
        <v>676</v>
      </c>
      <c r="I1134" s="721">
        <f>+R790</f>
        <v>0.9432470865927236</v>
      </c>
      <c r="J1134" s="446"/>
      <c r="K1134" s="453">
        <f>+E1134*G1134*I1134</f>
        <v>50765.558200420382</v>
      </c>
      <c r="L1134" s="243" t="s">
        <v>10</v>
      </c>
      <c r="M1134" s="173"/>
      <c r="N1134" s="68"/>
      <c r="O1134" s="203"/>
      <c r="P1134" s="218"/>
      <c r="Q1134" s="68"/>
      <c r="T1134" s="217"/>
    </row>
    <row r="1135" spans="1:24" ht="30" customHeight="1" x14ac:dyDescent="0.35">
      <c r="A1135" s="241">
        <v>85110</v>
      </c>
      <c r="B1135" s="1082" t="s">
        <v>771</v>
      </c>
      <c r="C1135" s="1082"/>
      <c r="D1135" s="1082"/>
      <c r="E1135" s="680">
        <f>+P789</f>
        <v>19.2</v>
      </c>
      <c r="F1135" s="639" t="s">
        <v>3</v>
      </c>
      <c r="G1135" s="716">
        <v>1435</v>
      </c>
      <c r="H1135" s="655" t="s">
        <v>676</v>
      </c>
      <c r="I1135" s="721">
        <f>+R789</f>
        <v>0.9432470865927236</v>
      </c>
      <c r="J1135" s="446"/>
      <c r="K1135" s="453">
        <f>+E1135*G1135*I1135</f>
        <v>25988.34372980272</v>
      </c>
      <c r="L1135" s="243" t="s">
        <v>10</v>
      </c>
      <c r="M1135" s="173"/>
      <c r="N1135" s="68"/>
      <c r="O1135" s="203"/>
      <c r="P1135" s="218"/>
      <c r="Q1135" s="68"/>
      <c r="T1135" s="217"/>
    </row>
    <row r="1136" spans="1:24" ht="30" customHeight="1" x14ac:dyDescent="0.35">
      <c r="A1136" s="241" t="s">
        <v>324</v>
      </c>
      <c r="B1136" s="1082" t="s">
        <v>772</v>
      </c>
      <c r="C1136" s="1082"/>
      <c r="D1136" s="1082"/>
      <c r="E1136" s="680">
        <f>+P767</f>
        <v>48.5</v>
      </c>
      <c r="F1136" s="639" t="s">
        <v>8</v>
      </c>
      <c r="G1136" s="716">
        <f>12*600</f>
        <v>7200</v>
      </c>
      <c r="H1136" s="655" t="s">
        <v>671</v>
      </c>
      <c r="I1136" s="665">
        <f>+R767</f>
        <v>1.03</v>
      </c>
      <c r="J1136" s="665">
        <f>+S767</f>
        <v>0.98148148148148151</v>
      </c>
      <c r="K1136" s="453">
        <f>+E1136*G1136*I1136*J1136</f>
        <v>353015.33333333337</v>
      </c>
      <c r="L1136" s="243" t="s">
        <v>10</v>
      </c>
      <c r="M1136" s="173"/>
      <c r="N1136" s="68"/>
      <c r="O1136" s="203"/>
      <c r="P1136" s="218"/>
      <c r="Q1136" s="68"/>
      <c r="T1136" s="217"/>
    </row>
    <row r="1137" spans="1:24" ht="30" customHeight="1" x14ac:dyDescent="0.35">
      <c r="A1137" s="241">
        <v>93410</v>
      </c>
      <c r="B1137" s="1082" t="s">
        <v>773</v>
      </c>
      <c r="C1137" s="1082"/>
      <c r="D1137" s="1082"/>
      <c r="E1137" s="680">
        <f>+P791</f>
        <v>8.5</v>
      </c>
      <c r="F1137" s="639" t="s">
        <v>283</v>
      </c>
      <c r="G1137" s="716">
        <v>3923</v>
      </c>
      <c r="H1137" s="655" t="s">
        <v>679</v>
      </c>
      <c r="I1137" s="721">
        <f>+R791</f>
        <v>0.9432470865927236</v>
      </c>
      <c r="J1137" s="446"/>
      <c r="K1137" s="453">
        <f>+E1137*G1137*I1137</f>
        <v>31453.045725977667</v>
      </c>
      <c r="L1137" s="243" t="s">
        <v>10</v>
      </c>
      <c r="M1137" s="173"/>
      <c r="N1137" s="68"/>
      <c r="O1137" s="203"/>
      <c r="P1137" s="218"/>
      <c r="Q1137" s="68"/>
      <c r="T1137" s="217"/>
    </row>
    <row r="1138" spans="1:24" ht="30" customHeight="1" x14ac:dyDescent="0.35">
      <c r="A1138" s="241" t="s">
        <v>493</v>
      </c>
      <c r="B1138" s="1082" t="s">
        <v>774</v>
      </c>
      <c r="C1138" s="1082"/>
      <c r="D1138" s="1082"/>
      <c r="E1138" s="645">
        <f>+P770</f>
        <v>9.6300000000000008</v>
      </c>
      <c r="F1138" s="639" t="s">
        <v>8</v>
      </c>
      <c r="G1138" s="716">
        <f>4*144</f>
        <v>576</v>
      </c>
      <c r="H1138" s="655" t="s">
        <v>671</v>
      </c>
      <c r="I1138" s="446">
        <f>+R770</f>
        <v>1.02</v>
      </c>
      <c r="J1138" s="665">
        <f>+S770</f>
        <v>0.9907407407407407</v>
      </c>
      <c r="K1138" s="453">
        <f>+E1138*G1138*I1138*J1138</f>
        <v>5605.4304000000002</v>
      </c>
      <c r="L1138" s="243" t="s">
        <v>10</v>
      </c>
      <c r="M1138" s="173"/>
      <c r="N1138" s="68"/>
      <c r="O1138" s="203"/>
      <c r="P1138" s="218"/>
      <c r="Q1138" s="68"/>
      <c r="T1138" s="217"/>
    </row>
    <row r="1139" spans="1:24" ht="30" customHeight="1" x14ac:dyDescent="0.35">
      <c r="A1139" s="241">
        <v>93210</v>
      </c>
      <c r="B1139" s="1082" t="s">
        <v>775</v>
      </c>
      <c r="C1139" s="1082"/>
      <c r="D1139" s="1082"/>
      <c r="E1139" s="680">
        <f>+P793</f>
        <v>47.6</v>
      </c>
      <c r="F1139" s="639" t="s">
        <v>283</v>
      </c>
      <c r="G1139" s="716">
        <v>4622</v>
      </c>
      <c r="H1139" s="655" t="s">
        <v>679</v>
      </c>
      <c r="I1139" s="721">
        <f>+R793</f>
        <v>0.9432470865927236</v>
      </c>
      <c r="J1139" s="446"/>
      <c r="K1139" s="453">
        <f>+E1139*G1139*I1139</f>
        <v>207521.15042942268</v>
      </c>
      <c r="L1139" s="243" t="s">
        <v>10</v>
      </c>
      <c r="M1139" s="173"/>
      <c r="N1139" s="68"/>
      <c r="O1139" s="203"/>
      <c r="P1139" s="218"/>
      <c r="Q1139" s="68"/>
      <c r="T1139" s="217"/>
    </row>
    <row r="1140" spans="1:24" ht="30" customHeight="1" x14ac:dyDescent="0.35">
      <c r="A1140" s="241" t="s">
        <v>565</v>
      </c>
      <c r="B1140" s="1082" t="s">
        <v>776</v>
      </c>
      <c r="C1140" s="1082"/>
      <c r="D1140" s="1082"/>
      <c r="E1140" s="645">
        <f>+P768</f>
        <v>19.25</v>
      </c>
      <c r="F1140" s="639" t="s">
        <v>8</v>
      </c>
      <c r="G1140" s="716">
        <v>1200</v>
      </c>
      <c r="H1140" s="655" t="s">
        <v>671</v>
      </c>
      <c r="I1140" s="665">
        <f>+R768</f>
        <v>1.03</v>
      </c>
      <c r="J1140" s="665">
        <f>+S768</f>
        <v>0.97222222222222221</v>
      </c>
      <c r="K1140" s="453">
        <f>+E1140*G1140*I1140*J1140</f>
        <v>23132.083333333332</v>
      </c>
      <c r="L1140" s="243" t="s">
        <v>10</v>
      </c>
      <c r="M1140" s="173"/>
      <c r="N1140" s="68"/>
      <c r="O1140" s="203"/>
      <c r="P1140" s="218"/>
      <c r="Q1140" s="68"/>
      <c r="T1140" s="217"/>
    </row>
    <row r="1141" spans="1:24" ht="30" customHeight="1" x14ac:dyDescent="0.35">
      <c r="A1141" s="1183" t="s">
        <v>2804</v>
      </c>
      <c r="B1141" s="1184"/>
      <c r="C1141" s="1184"/>
      <c r="D1141" s="1184"/>
      <c r="E1141" s="453"/>
      <c r="F1141" s="446"/>
      <c r="G1141" s="519"/>
      <c r="H1141" s="508"/>
      <c r="I1141" s="446"/>
      <c r="J1141" s="446" t="s">
        <v>362</v>
      </c>
      <c r="K1141" s="453">
        <f>SUM(K1129:K1140)</f>
        <v>899691.69139395666</v>
      </c>
      <c r="L1141" s="243" t="s">
        <v>10</v>
      </c>
      <c r="M1141" s="173"/>
      <c r="N1141" s="68"/>
      <c r="O1141" s="203"/>
      <c r="P1141" s="218"/>
      <c r="Q1141" s="68"/>
      <c r="T1141" s="217"/>
    </row>
    <row r="1142" spans="1:24" ht="30" customHeight="1" thickBot="1" x14ac:dyDescent="0.4">
      <c r="A1142" s="1183"/>
      <c r="B1142" s="1184"/>
      <c r="C1142" s="1184"/>
      <c r="D1142" s="1184"/>
      <c r="E1142" s="458"/>
      <c r="F1142" s="458"/>
      <c r="G1142" s="592" t="s">
        <v>2358</v>
      </c>
      <c r="H1142" s="458"/>
      <c r="I1142" s="458"/>
      <c r="J1142" s="583">
        <f>VLOOKUP(B1127,'Mil Cost Premiums for PUCs'!$A$4:$R$272,18,FALSE)</f>
        <v>1.0821211439999998</v>
      </c>
      <c r="K1142" s="591">
        <f>+K1141*J1142</f>
        <v>973575.40233852318</v>
      </c>
      <c r="L1142" s="243" t="s">
        <v>10</v>
      </c>
      <c r="M1142" s="173"/>
      <c r="N1142" s="68"/>
      <c r="O1142" s="203"/>
      <c r="P1142" s="218"/>
      <c r="Q1142" s="68"/>
      <c r="T1142" s="217"/>
    </row>
    <row r="1143" spans="1:24" ht="30" customHeight="1" thickBot="1" x14ac:dyDescent="0.4">
      <c r="A1143" s="1086"/>
      <c r="B1143" s="1086"/>
      <c r="C1143" s="1086"/>
      <c r="D1143" s="1086"/>
      <c r="E1143" s="1086"/>
      <c r="F1143" s="1086"/>
      <c r="G1143" s="1086"/>
      <c r="H1143" s="1086"/>
      <c r="I1143" s="1086"/>
      <c r="J1143" s="1086"/>
      <c r="K1143" s="1086"/>
      <c r="L1143" s="1103"/>
      <c r="M1143" s="173"/>
      <c r="N1143" s="68"/>
      <c r="O1143" s="203"/>
      <c r="P1143" s="218"/>
      <c r="Q1143" s="68"/>
      <c r="T1143" s="217"/>
    </row>
    <row r="1144" spans="1:24" ht="60" customHeight="1" x14ac:dyDescent="0.35">
      <c r="A1144" s="465" t="s">
        <v>278</v>
      </c>
      <c r="B1144" s="539">
        <v>1777</v>
      </c>
      <c r="C1144" s="1017" t="s">
        <v>777</v>
      </c>
      <c r="D1144" s="1017"/>
      <c r="E1144" s="541" t="s">
        <v>280</v>
      </c>
      <c r="F1144" s="542" t="s">
        <v>37</v>
      </c>
      <c r="G1144" s="553" t="s">
        <v>778</v>
      </c>
      <c r="H1144" s="587">
        <v>1</v>
      </c>
      <c r="I1144" s="541" t="s">
        <v>281</v>
      </c>
      <c r="J1144" s="1019" t="s">
        <v>2843</v>
      </c>
      <c r="K1144" s="1019"/>
      <c r="L1144" s="1020"/>
      <c r="M1144" s="173"/>
      <c r="N1144" s="68"/>
      <c r="O1144" s="203"/>
      <c r="P1144" s="218"/>
      <c r="Q1144" s="68"/>
      <c r="T1144" s="217"/>
    </row>
    <row r="1145" spans="1:24" ht="30" customHeight="1" x14ac:dyDescent="0.35">
      <c r="A1145" s="545" t="s">
        <v>541</v>
      </c>
      <c r="B1145" s="1038" t="s">
        <v>321</v>
      </c>
      <c r="C1145" s="1038"/>
      <c r="D1145" s="1038"/>
      <c r="E1145" s="23" t="s">
        <v>290</v>
      </c>
      <c r="F1145" s="23" t="s">
        <v>322</v>
      </c>
      <c r="G1145" s="1034" t="s">
        <v>323</v>
      </c>
      <c r="H1145" s="1034"/>
      <c r="I1145" s="509" t="s">
        <v>299</v>
      </c>
      <c r="J1145" s="201" t="s">
        <v>302</v>
      </c>
      <c r="K1145" s="1012" t="s">
        <v>292</v>
      </c>
      <c r="L1145" s="1023"/>
      <c r="M1145" s="173"/>
      <c r="N1145" s="68"/>
      <c r="O1145" s="203"/>
      <c r="P1145" s="218"/>
      <c r="Q1145" s="68"/>
      <c r="T1145" s="217"/>
      <c r="U1145" s="208"/>
      <c r="V1145" s="208"/>
      <c r="W1145" s="208"/>
      <c r="X1145" s="208"/>
    </row>
    <row r="1146" spans="1:24" s="208" customFormat="1" ht="30" customHeight="1" x14ac:dyDescent="0.35">
      <c r="A1146" s="545"/>
      <c r="B1146" s="1031" t="s">
        <v>779</v>
      </c>
      <c r="C1146" s="1031"/>
      <c r="D1146" s="1031"/>
      <c r="E1146" s="23"/>
      <c r="F1146" s="23"/>
      <c r="G1146" s="486"/>
      <c r="H1146" s="487"/>
      <c r="I1146" s="647"/>
      <c r="J1146" s="647"/>
      <c r="K1146" s="23"/>
      <c r="L1146" s="715"/>
      <c r="M1146" s="173"/>
      <c r="N1146" s="68"/>
      <c r="O1146" s="203"/>
      <c r="P1146" s="218"/>
      <c r="Q1146" s="68"/>
      <c r="R1146" s="203"/>
      <c r="S1146" s="203"/>
      <c r="T1146" s="217"/>
      <c r="U1146" s="203"/>
      <c r="V1146" s="203"/>
      <c r="W1146" s="203"/>
      <c r="X1146" s="203"/>
    </row>
    <row r="1147" spans="1:24" ht="30" customHeight="1" x14ac:dyDescent="0.35">
      <c r="A1147" s="241" t="s">
        <v>493</v>
      </c>
      <c r="B1147" s="1082" t="s">
        <v>780</v>
      </c>
      <c r="C1147" s="1082"/>
      <c r="D1147" s="1082"/>
      <c r="E1147" s="680">
        <f>+P770</f>
        <v>9.6300000000000008</v>
      </c>
      <c r="F1147" s="446" t="s">
        <v>8</v>
      </c>
      <c r="G1147" s="716">
        <f>9*62</f>
        <v>558</v>
      </c>
      <c r="H1147" s="655" t="s">
        <v>543</v>
      </c>
      <c r="I1147" s="665">
        <f>+R770</f>
        <v>1.02</v>
      </c>
      <c r="J1147" s="665">
        <f>+S770</f>
        <v>0.9907407407407407</v>
      </c>
      <c r="K1147" s="453">
        <f t="shared" ref="K1147:K1158" si="38">+E1147*G1147*I1147*J1147</f>
        <v>5430.2607000000007</v>
      </c>
      <c r="L1147" s="243" t="s">
        <v>37</v>
      </c>
      <c r="M1147" s="173"/>
      <c r="N1147" s="68"/>
      <c r="O1147" s="208"/>
      <c r="P1147" s="218"/>
      <c r="Q1147" s="68"/>
      <c r="R1147" s="208"/>
      <c r="S1147" s="208"/>
      <c r="T1147" s="217"/>
    </row>
    <row r="1148" spans="1:24" ht="30" customHeight="1" x14ac:dyDescent="0.35">
      <c r="A1148" s="241" t="s">
        <v>544</v>
      </c>
      <c r="B1148" s="1082" t="s">
        <v>545</v>
      </c>
      <c r="C1148" s="1082"/>
      <c r="D1148" s="1082"/>
      <c r="E1148" s="680">
        <f>+P776</f>
        <v>475.5</v>
      </c>
      <c r="F1148" s="639" t="s">
        <v>10</v>
      </c>
      <c r="G1148" s="716">
        <v>9</v>
      </c>
      <c r="H1148" s="655" t="s">
        <v>546</v>
      </c>
      <c r="I1148" s="665">
        <f>+R776</f>
        <v>1.01</v>
      </c>
      <c r="J1148" s="665">
        <f>+S776</f>
        <v>0.9907407407407407</v>
      </c>
      <c r="K1148" s="453">
        <f t="shared" si="38"/>
        <v>4282.2737500000003</v>
      </c>
      <c r="L1148" s="243" t="s">
        <v>37</v>
      </c>
      <c r="M1148" s="173"/>
      <c r="N1148" s="68"/>
      <c r="O1148" s="203"/>
      <c r="P1148" s="218"/>
      <c r="Q1148" s="68"/>
      <c r="T1148" s="217"/>
    </row>
    <row r="1149" spans="1:24" ht="30" customHeight="1" x14ac:dyDescent="0.35">
      <c r="A1149" s="241" t="s">
        <v>544</v>
      </c>
      <c r="B1149" s="1059" t="s">
        <v>547</v>
      </c>
      <c r="C1149" s="1059"/>
      <c r="D1149" s="1059"/>
      <c r="E1149" s="680">
        <f>+P778</f>
        <v>341</v>
      </c>
      <c r="F1149" s="639" t="s">
        <v>10</v>
      </c>
      <c r="G1149" s="716">
        <v>9</v>
      </c>
      <c r="H1149" s="655" t="s">
        <v>546</v>
      </c>
      <c r="I1149" s="665">
        <f>+R778</f>
        <v>1.01</v>
      </c>
      <c r="J1149" s="665">
        <f>+S778</f>
        <v>0.9907407407407407</v>
      </c>
      <c r="K1149" s="453">
        <f t="shared" si="38"/>
        <v>3070.9891666666667</v>
      </c>
      <c r="L1149" s="243" t="s">
        <v>37</v>
      </c>
      <c r="M1149" s="173"/>
      <c r="N1149" s="68"/>
      <c r="O1149" s="203"/>
      <c r="P1149" s="218"/>
      <c r="Q1149" s="68"/>
      <c r="T1149" s="217"/>
    </row>
    <row r="1150" spans="1:24" ht="30" customHeight="1" x14ac:dyDescent="0.35">
      <c r="A1150" s="241" t="s">
        <v>493</v>
      </c>
      <c r="B1150" s="1059" t="s">
        <v>616</v>
      </c>
      <c r="C1150" s="1059"/>
      <c r="D1150" s="1059"/>
      <c r="E1150" s="680">
        <f>+P773</f>
        <v>11.77</v>
      </c>
      <c r="F1150" s="446" t="s">
        <v>8</v>
      </c>
      <c r="G1150" s="716">
        <f>2*468</f>
        <v>936</v>
      </c>
      <c r="H1150" s="655" t="s">
        <v>543</v>
      </c>
      <c r="I1150" s="665">
        <f>+R773</f>
        <v>1.02</v>
      </c>
      <c r="J1150" s="665">
        <f>+S773</f>
        <v>0.9907407407407407</v>
      </c>
      <c r="K1150" s="453">
        <f t="shared" si="38"/>
        <v>11133.007599999999</v>
      </c>
      <c r="L1150" s="243" t="s">
        <v>37</v>
      </c>
      <c r="M1150" s="173"/>
      <c r="N1150" s="68"/>
      <c r="O1150" s="203"/>
      <c r="P1150" s="218"/>
      <c r="Q1150" s="68"/>
      <c r="T1150" s="217"/>
    </row>
    <row r="1151" spans="1:24" ht="30" customHeight="1" x14ac:dyDescent="0.35">
      <c r="A1151" s="241" t="s">
        <v>449</v>
      </c>
      <c r="B1151" s="1059" t="s">
        <v>781</v>
      </c>
      <c r="C1151" s="1059"/>
      <c r="D1151" s="1059"/>
      <c r="E1151" s="680">
        <f>+P774</f>
        <v>19</v>
      </c>
      <c r="F1151" s="446" t="s">
        <v>8</v>
      </c>
      <c r="G1151" s="716">
        <f>2152*2</f>
        <v>4304</v>
      </c>
      <c r="H1151" s="655" t="s">
        <v>543</v>
      </c>
      <c r="I1151" s="665">
        <f>+R774</f>
        <v>1.05</v>
      </c>
      <c r="J1151" s="665">
        <f>+S774</f>
        <v>0.9907407407407407</v>
      </c>
      <c r="K1151" s="453">
        <f t="shared" si="38"/>
        <v>85069.755555555559</v>
      </c>
      <c r="L1151" s="243" t="s">
        <v>37</v>
      </c>
      <c r="M1151" s="173"/>
      <c r="N1151" s="68"/>
      <c r="O1151" s="203"/>
      <c r="P1151" s="218"/>
      <c r="Q1151" s="68"/>
      <c r="T1151" s="217"/>
    </row>
    <row r="1152" spans="1:24" ht="30" customHeight="1" x14ac:dyDescent="0.35">
      <c r="A1152" s="241" t="s">
        <v>449</v>
      </c>
      <c r="B1152" s="1059" t="s">
        <v>701</v>
      </c>
      <c r="C1152" s="1059"/>
      <c r="D1152" s="1059"/>
      <c r="E1152" s="680">
        <f>+P774</f>
        <v>19</v>
      </c>
      <c r="F1152" s="446" t="s">
        <v>8</v>
      </c>
      <c r="G1152" s="732">
        <f>80.7*1</f>
        <v>80.7</v>
      </c>
      <c r="H1152" s="655" t="s">
        <v>543</v>
      </c>
      <c r="I1152" s="665">
        <f>+R774</f>
        <v>1.05</v>
      </c>
      <c r="J1152" s="665">
        <f>+S774</f>
        <v>0.9907407407407407</v>
      </c>
      <c r="K1152" s="453">
        <f t="shared" si="38"/>
        <v>1595.0579166666664</v>
      </c>
      <c r="L1152" s="243" t="s">
        <v>37</v>
      </c>
      <c r="M1152" s="173"/>
      <c r="N1152" s="68"/>
      <c r="O1152" s="203"/>
      <c r="P1152" s="218"/>
      <c r="Q1152" s="68"/>
      <c r="T1152" s="217"/>
    </row>
    <row r="1153" spans="1:24" ht="30" customHeight="1" x14ac:dyDescent="0.35">
      <c r="A1153" s="241" t="s">
        <v>544</v>
      </c>
      <c r="B1153" s="1059" t="s">
        <v>574</v>
      </c>
      <c r="C1153" s="1059"/>
      <c r="D1153" s="1059"/>
      <c r="E1153" s="680">
        <f>+P777</f>
        <v>862.5</v>
      </c>
      <c r="F1153" s="639" t="s">
        <v>10</v>
      </c>
      <c r="G1153" s="716">
        <v>5</v>
      </c>
      <c r="H1153" s="655" t="s">
        <v>546</v>
      </c>
      <c r="I1153" s="665">
        <f>+R777</f>
        <v>1.01</v>
      </c>
      <c r="J1153" s="665">
        <f>+S777</f>
        <v>0.9907407407407407</v>
      </c>
      <c r="K1153" s="453">
        <f t="shared" si="38"/>
        <v>4315.2951388888887</v>
      </c>
      <c r="L1153" s="243" t="s">
        <v>37</v>
      </c>
      <c r="M1153" s="173"/>
      <c r="N1153" s="68"/>
      <c r="O1153" s="203"/>
      <c r="P1153" s="218"/>
      <c r="Q1153" s="68"/>
      <c r="T1153" s="217"/>
    </row>
    <row r="1154" spans="1:24" ht="30" customHeight="1" x14ac:dyDescent="0.35">
      <c r="A1154" s="241" t="s">
        <v>436</v>
      </c>
      <c r="B1154" s="1059" t="s">
        <v>782</v>
      </c>
      <c r="C1154" s="1059"/>
      <c r="D1154" s="1059"/>
      <c r="E1154" s="680">
        <f>+P784</f>
        <v>18.324999999999999</v>
      </c>
      <c r="F1154" s="639" t="s">
        <v>6</v>
      </c>
      <c r="G1154" s="716">
        <f>+((656*2)+(49*1))</f>
        <v>1361</v>
      </c>
      <c r="H1154" s="655" t="s">
        <v>552</v>
      </c>
      <c r="I1154" s="665">
        <f>+R784</f>
        <v>1.02</v>
      </c>
      <c r="J1154" s="665">
        <f>+S784</f>
        <v>0.9907407407407407</v>
      </c>
      <c r="K1154" s="453">
        <f t="shared" si="38"/>
        <v>25203.583986111109</v>
      </c>
      <c r="L1154" s="243" t="s">
        <v>37</v>
      </c>
      <c r="M1154" s="173"/>
      <c r="N1154" s="68"/>
      <c r="O1154" s="203"/>
      <c r="P1154" s="218"/>
      <c r="Q1154" s="68"/>
      <c r="T1154" s="217"/>
    </row>
    <row r="1155" spans="1:24" ht="30" customHeight="1" x14ac:dyDescent="0.35">
      <c r="A1155" s="241" t="s">
        <v>436</v>
      </c>
      <c r="B1155" s="1059" t="s">
        <v>688</v>
      </c>
      <c r="C1155" s="1059"/>
      <c r="D1155" s="1059"/>
      <c r="E1155" s="680">
        <f>+P785</f>
        <v>2797.5</v>
      </c>
      <c r="F1155" s="639" t="s">
        <v>10</v>
      </c>
      <c r="G1155" s="716">
        <v>3</v>
      </c>
      <c r="H1155" s="655" t="s">
        <v>546</v>
      </c>
      <c r="I1155" s="665">
        <f>+R785</f>
        <v>1.02</v>
      </c>
      <c r="J1155" s="665">
        <f>+S785</f>
        <v>0.9907407407407407</v>
      </c>
      <c r="K1155" s="453">
        <f t="shared" si="38"/>
        <v>8481.0874999999996</v>
      </c>
      <c r="L1155" s="243" t="s">
        <v>37</v>
      </c>
      <c r="M1155" s="173"/>
      <c r="N1155" s="68"/>
      <c r="O1155" s="203"/>
      <c r="P1155" s="218"/>
      <c r="Q1155" s="68"/>
      <c r="T1155" s="217"/>
    </row>
    <row r="1156" spans="1:24" ht="30" customHeight="1" x14ac:dyDescent="0.35">
      <c r="A1156" s="241" t="s">
        <v>544</v>
      </c>
      <c r="B1156" s="1059" t="s">
        <v>618</v>
      </c>
      <c r="C1156" s="1059"/>
      <c r="D1156" s="1059"/>
      <c r="E1156" s="680">
        <f>+P780</f>
        <v>1060</v>
      </c>
      <c r="F1156" s="639" t="s">
        <v>10</v>
      </c>
      <c r="G1156" s="716">
        <v>5</v>
      </c>
      <c r="H1156" s="655" t="s">
        <v>546</v>
      </c>
      <c r="I1156" s="665">
        <f t="shared" ref="I1156:J1158" si="39">+R780</f>
        <v>1.01</v>
      </c>
      <c r="J1156" s="665">
        <f t="shared" si="39"/>
        <v>0.9907407407407407</v>
      </c>
      <c r="K1156" s="453">
        <f t="shared" si="38"/>
        <v>5303.4351851851852</v>
      </c>
      <c r="L1156" s="243" t="s">
        <v>37</v>
      </c>
      <c r="M1156" s="173"/>
      <c r="N1156" s="68"/>
      <c r="O1156" s="203"/>
      <c r="P1156" s="218"/>
      <c r="Q1156" s="68"/>
      <c r="T1156" s="217"/>
    </row>
    <row r="1157" spans="1:24" ht="30" customHeight="1" x14ac:dyDescent="0.35">
      <c r="A1157" s="241" t="s">
        <v>548</v>
      </c>
      <c r="B1157" s="1059" t="s">
        <v>689</v>
      </c>
      <c r="C1157" s="1059"/>
      <c r="D1157" s="1059"/>
      <c r="E1157" s="680">
        <f>+P781</f>
        <v>148.79</v>
      </c>
      <c r="F1157" s="639" t="s">
        <v>10</v>
      </c>
      <c r="G1157" s="716">
        <v>46</v>
      </c>
      <c r="H1157" s="655" t="s">
        <v>546</v>
      </c>
      <c r="I1157" s="665">
        <f t="shared" si="39"/>
        <v>1.01</v>
      </c>
      <c r="J1157" s="665">
        <f t="shared" si="39"/>
        <v>0.9907407407407407</v>
      </c>
      <c r="K1157" s="453">
        <f t="shared" si="38"/>
        <v>6848.7761462962953</v>
      </c>
      <c r="L1157" s="243" t="s">
        <v>37</v>
      </c>
      <c r="M1157" s="173"/>
      <c r="N1157" s="68"/>
      <c r="O1157" s="203"/>
      <c r="P1157" s="218"/>
      <c r="Q1157" s="68"/>
      <c r="T1157" s="217"/>
    </row>
    <row r="1158" spans="1:24" ht="30" customHeight="1" x14ac:dyDescent="0.35">
      <c r="A1158" s="241" t="s">
        <v>550</v>
      </c>
      <c r="B1158" s="1082" t="s">
        <v>563</v>
      </c>
      <c r="C1158" s="1082"/>
      <c r="D1158" s="1082"/>
      <c r="E1158" s="680">
        <f>+P782</f>
        <v>18.47</v>
      </c>
      <c r="F1158" s="639" t="s">
        <v>6</v>
      </c>
      <c r="G1158" s="716">
        <v>13582</v>
      </c>
      <c r="H1158" s="655" t="s">
        <v>552</v>
      </c>
      <c r="I1158" s="665">
        <f t="shared" si="39"/>
        <v>1.01</v>
      </c>
      <c r="J1158" s="665">
        <f t="shared" si="39"/>
        <v>0.9907407407407407</v>
      </c>
      <c r="K1158" s="453">
        <f t="shared" si="38"/>
        <v>251022.13414629624</v>
      </c>
      <c r="L1158" s="243" t="s">
        <v>37</v>
      </c>
      <c r="M1158" s="173"/>
      <c r="N1158" s="68"/>
      <c r="O1158" s="203"/>
      <c r="P1158" s="218"/>
      <c r="Q1158" s="68"/>
      <c r="T1158" s="217"/>
    </row>
    <row r="1159" spans="1:24" ht="30" customHeight="1" x14ac:dyDescent="0.35">
      <c r="A1159" s="241">
        <v>93410</v>
      </c>
      <c r="B1159" s="1082" t="s">
        <v>783</v>
      </c>
      <c r="C1159" s="1082"/>
      <c r="D1159" s="1082"/>
      <c r="E1159" s="645">
        <f>+P792</f>
        <v>1.1000000000000001</v>
      </c>
      <c r="F1159" s="639" t="s">
        <v>3</v>
      </c>
      <c r="G1159" s="716">
        <v>1435</v>
      </c>
      <c r="H1159" s="655" t="s">
        <v>784</v>
      </c>
      <c r="I1159" s="721">
        <f>+R792</f>
        <v>0.9432470865927236</v>
      </c>
      <c r="J1159" s="446"/>
      <c r="K1159" s="453">
        <f>+E1159*G1159*I1159</f>
        <v>1488.9155261866144</v>
      </c>
      <c r="L1159" s="243" t="s">
        <v>37</v>
      </c>
      <c r="M1159" s="173"/>
      <c r="N1159" s="68"/>
      <c r="O1159" s="203"/>
      <c r="P1159" s="218"/>
      <c r="Q1159" s="68"/>
      <c r="T1159" s="217"/>
    </row>
    <row r="1160" spans="1:24" ht="30" customHeight="1" x14ac:dyDescent="0.35">
      <c r="A1160" s="241">
        <v>93410</v>
      </c>
      <c r="B1160" s="1082" t="s">
        <v>785</v>
      </c>
      <c r="C1160" s="1082"/>
      <c r="D1160" s="1082"/>
      <c r="E1160" s="680">
        <f>+P791</f>
        <v>8.5</v>
      </c>
      <c r="F1160" s="639" t="s">
        <v>283</v>
      </c>
      <c r="G1160" s="716">
        <v>17139</v>
      </c>
      <c r="H1160" s="655" t="s">
        <v>554</v>
      </c>
      <c r="I1160" s="721">
        <f>+R791</f>
        <v>0.9432470865927236</v>
      </c>
      <c r="J1160" s="446"/>
      <c r="K1160" s="453">
        <f>+E1160*G1160*I1160</f>
        <v>137413.65044545787</v>
      </c>
      <c r="L1160" s="243" t="s">
        <v>37</v>
      </c>
      <c r="M1160" s="173"/>
      <c r="N1160" s="68"/>
      <c r="O1160" s="203"/>
      <c r="P1160" s="218"/>
      <c r="Q1160" s="68"/>
      <c r="T1160" s="217"/>
    </row>
    <row r="1161" spans="1:24" ht="30" customHeight="1" x14ac:dyDescent="0.35">
      <c r="A1161" s="241">
        <v>93210</v>
      </c>
      <c r="B1161" s="1082" t="s">
        <v>786</v>
      </c>
      <c r="C1161" s="1082"/>
      <c r="D1161" s="1082"/>
      <c r="E1161" s="680">
        <f>+P793</f>
        <v>47.6</v>
      </c>
      <c r="F1161" s="639" t="s">
        <v>283</v>
      </c>
      <c r="G1161" s="716">
        <v>431</v>
      </c>
      <c r="H1161" s="655" t="s">
        <v>554</v>
      </c>
      <c r="I1161" s="721">
        <f>+R793</f>
        <v>0.9432470865927236</v>
      </c>
      <c r="J1161" s="446"/>
      <c r="K1161" s="453">
        <f>+E1161*G1161*I1161</f>
        <v>19351.279929701683</v>
      </c>
      <c r="L1161" s="243" t="s">
        <v>37</v>
      </c>
      <c r="M1161" s="173"/>
      <c r="N1161" s="68"/>
      <c r="O1161" s="203"/>
      <c r="P1161" s="218"/>
      <c r="Q1161" s="68"/>
      <c r="T1161" s="217"/>
    </row>
    <row r="1162" spans="1:24" ht="30" customHeight="1" x14ac:dyDescent="0.35">
      <c r="A1162" s="241" t="s">
        <v>565</v>
      </c>
      <c r="B1162" s="1082" t="s">
        <v>787</v>
      </c>
      <c r="C1162" s="1082"/>
      <c r="D1162" s="1082"/>
      <c r="E1162" s="645">
        <f>+P768</f>
        <v>19.25</v>
      </c>
      <c r="F1162" s="639" t="s">
        <v>8</v>
      </c>
      <c r="G1162" s="716">
        <v>1600</v>
      </c>
      <c r="H1162" s="655" t="s">
        <v>543</v>
      </c>
      <c r="I1162" s="704">
        <f>+R768</f>
        <v>1.03</v>
      </c>
      <c r="J1162" s="665">
        <f>+S768</f>
        <v>0.97222222222222221</v>
      </c>
      <c r="K1162" s="453">
        <f>+E1162*G1162*I1162*J1162</f>
        <v>30842.777777777777</v>
      </c>
      <c r="L1162" s="243" t="s">
        <v>37</v>
      </c>
      <c r="M1162" s="173"/>
      <c r="N1162" s="68"/>
      <c r="O1162" s="203"/>
      <c r="P1162" s="218"/>
      <c r="Q1162" s="68"/>
      <c r="T1162" s="217"/>
    </row>
    <row r="1163" spans="1:24" ht="30" customHeight="1" x14ac:dyDescent="0.35">
      <c r="A1163" s="1183" t="s">
        <v>2804</v>
      </c>
      <c r="B1163" s="1184"/>
      <c r="C1163" s="1184"/>
      <c r="D1163" s="1184"/>
      <c r="E1163" s="453"/>
      <c r="F1163" s="446"/>
      <c r="G1163" s="519"/>
      <c r="H1163" s="508"/>
      <c r="I1163" s="446"/>
      <c r="J1163" s="446" t="s">
        <v>362</v>
      </c>
      <c r="K1163" s="453">
        <f>SUM(K1147:K1162)</f>
        <v>600852.28047079057</v>
      </c>
      <c r="L1163" s="243" t="s">
        <v>37</v>
      </c>
      <c r="M1163" s="173"/>
      <c r="N1163" s="68"/>
      <c r="O1163" s="203"/>
      <c r="P1163" s="218"/>
      <c r="Q1163" s="68"/>
      <c r="T1163" s="217"/>
    </row>
    <row r="1164" spans="1:24" ht="30" customHeight="1" thickBot="1" x14ac:dyDescent="0.4">
      <c r="A1164" s="1183"/>
      <c r="B1164" s="1184"/>
      <c r="C1164" s="1184"/>
      <c r="D1164" s="1184"/>
      <c r="E1164" s="458"/>
      <c r="F1164" s="458"/>
      <c r="G1164" s="592" t="s">
        <v>2358</v>
      </c>
      <c r="H1164" s="458"/>
      <c r="I1164" s="458"/>
      <c r="J1164" s="583">
        <f>VLOOKUP(B1144,'Mil Cost Premiums for PUCs'!$A$4:$R$272,18,FALSE)</f>
        <v>1.0485669999999998</v>
      </c>
      <c r="K1164" s="591">
        <f>+K1163*J1164</f>
        <v>630033.87317641533</v>
      </c>
      <c r="L1164" s="243" t="s">
        <v>37</v>
      </c>
      <c r="M1164" s="173"/>
      <c r="N1164" s="68"/>
      <c r="O1164" s="203"/>
      <c r="P1164" s="218"/>
      <c r="Q1164" s="68"/>
      <c r="T1164" s="217"/>
    </row>
    <row r="1165" spans="1:24" ht="30" customHeight="1" thickBot="1" x14ac:dyDescent="0.4">
      <c r="A1165" s="1086"/>
      <c r="B1165" s="1086"/>
      <c r="C1165" s="1086"/>
      <c r="D1165" s="1086"/>
      <c r="E1165" s="1086"/>
      <c r="F1165" s="1086"/>
      <c r="G1165" s="1086"/>
      <c r="H1165" s="1086"/>
      <c r="I1165" s="1086"/>
      <c r="J1165" s="1086"/>
      <c r="K1165" s="1086"/>
      <c r="L1165" s="1103"/>
      <c r="M1165" s="173"/>
      <c r="N1165" s="68"/>
      <c r="O1165" s="203"/>
      <c r="P1165" s="218"/>
      <c r="Q1165" s="68"/>
      <c r="T1165" s="217"/>
    </row>
    <row r="1166" spans="1:24" ht="30" customHeight="1" x14ac:dyDescent="0.35">
      <c r="A1166" s="465" t="s">
        <v>278</v>
      </c>
      <c r="B1166" s="539">
        <v>1781</v>
      </c>
      <c r="C1166" s="1017" t="s">
        <v>788</v>
      </c>
      <c r="D1166" s="1017"/>
      <c r="E1166" s="541" t="s">
        <v>280</v>
      </c>
      <c r="F1166" s="542" t="s">
        <v>37</v>
      </c>
      <c r="G1166" s="553" t="s">
        <v>789</v>
      </c>
      <c r="H1166" s="587">
        <v>1</v>
      </c>
      <c r="I1166" s="541" t="s">
        <v>281</v>
      </c>
      <c r="J1166" s="1019" t="s">
        <v>2843</v>
      </c>
      <c r="K1166" s="1019"/>
      <c r="L1166" s="1020"/>
      <c r="M1166" s="173"/>
      <c r="N1166" s="68"/>
      <c r="O1166" s="203"/>
      <c r="P1166" s="218"/>
      <c r="Q1166" s="68"/>
      <c r="T1166" s="217"/>
    </row>
    <row r="1167" spans="1:24" ht="30" customHeight="1" x14ac:dyDescent="0.35">
      <c r="A1167" s="545" t="s">
        <v>541</v>
      </c>
      <c r="B1167" s="1038" t="s">
        <v>321</v>
      </c>
      <c r="C1167" s="1038"/>
      <c r="D1167" s="1038"/>
      <c r="E1167" s="23" t="s">
        <v>290</v>
      </c>
      <c r="F1167" s="23" t="s">
        <v>322</v>
      </c>
      <c r="G1167" s="1034" t="s">
        <v>323</v>
      </c>
      <c r="H1167" s="1034"/>
      <c r="I1167" s="509" t="s">
        <v>299</v>
      </c>
      <c r="J1167" s="201" t="s">
        <v>302</v>
      </c>
      <c r="K1167" s="1012" t="s">
        <v>292</v>
      </c>
      <c r="L1167" s="1023"/>
      <c r="M1167" s="173"/>
      <c r="N1167" s="68"/>
      <c r="O1167" s="203"/>
      <c r="P1167" s="218"/>
      <c r="Q1167" s="68"/>
      <c r="T1167" s="217"/>
      <c r="U1167" s="208"/>
      <c r="V1167" s="208"/>
      <c r="W1167" s="208"/>
      <c r="X1167" s="208"/>
    </row>
    <row r="1168" spans="1:24" s="208" customFormat="1" ht="30" customHeight="1" x14ac:dyDescent="0.35">
      <c r="A1168" s="241">
        <v>93210</v>
      </c>
      <c r="B1168" s="1082" t="s">
        <v>790</v>
      </c>
      <c r="C1168" s="1082"/>
      <c r="D1168" s="1082"/>
      <c r="E1168" s="680">
        <f>+P793</f>
        <v>47.6</v>
      </c>
      <c r="F1168" s="639" t="s">
        <v>283</v>
      </c>
      <c r="G1168" s="716">
        <v>205</v>
      </c>
      <c r="H1168" s="655" t="s">
        <v>554</v>
      </c>
      <c r="I1168" s="721">
        <f>+R793</f>
        <v>0.9432470865927236</v>
      </c>
      <c r="J1168" s="446"/>
      <c r="K1168" s="453">
        <f>+E1168*G1168*I1168</f>
        <v>9204.2050709717969</v>
      </c>
      <c r="L1168" s="243" t="s">
        <v>37</v>
      </c>
      <c r="M1168" s="173"/>
      <c r="N1168" s="68"/>
      <c r="O1168" s="203"/>
      <c r="P1168" s="218"/>
      <c r="Q1168" s="68"/>
      <c r="R1168" s="203"/>
      <c r="S1168" s="203"/>
      <c r="T1168" s="217"/>
      <c r="U1168" s="203"/>
      <c r="V1168" s="203"/>
      <c r="W1168" s="203"/>
      <c r="X1168" s="203"/>
    </row>
    <row r="1169" spans="1:24" ht="30" customHeight="1" x14ac:dyDescent="0.35">
      <c r="A1169" s="241" t="s">
        <v>493</v>
      </c>
      <c r="B1169" s="1082" t="s">
        <v>791</v>
      </c>
      <c r="C1169" s="1082"/>
      <c r="D1169" s="1082"/>
      <c r="E1169" s="645">
        <f>+P770</f>
        <v>9.6300000000000008</v>
      </c>
      <c r="F1169" s="639" t="s">
        <v>8</v>
      </c>
      <c r="G1169" s="716">
        <v>160</v>
      </c>
      <c r="H1169" s="655" t="s">
        <v>543</v>
      </c>
      <c r="I1169" s="446">
        <f>+R770</f>
        <v>1.02</v>
      </c>
      <c r="J1169" s="665">
        <f>+S770</f>
        <v>0.9907407407407407</v>
      </c>
      <c r="K1169" s="453">
        <f>+E1169*G1169*I1169*J1169</f>
        <v>1557.0640000000001</v>
      </c>
      <c r="L1169" s="243" t="s">
        <v>37</v>
      </c>
      <c r="M1169" s="173"/>
      <c r="N1169" s="135"/>
      <c r="O1169" s="208"/>
      <c r="P1169" s="218"/>
      <c r="Q1169" s="68"/>
      <c r="R1169" s="208"/>
      <c r="S1169" s="208"/>
      <c r="T1169" s="217"/>
    </row>
    <row r="1170" spans="1:24" ht="30" customHeight="1" x14ac:dyDescent="0.35">
      <c r="A1170" s="241" t="s">
        <v>493</v>
      </c>
      <c r="B1170" s="1082" t="s">
        <v>792</v>
      </c>
      <c r="C1170" s="1082"/>
      <c r="D1170" s="1082"/>
      <c r="E1170" s="645">
        <f>+P773</f>
        <v>11.77</v>
      </c>
      <c r="F1170" s="446" t="s">
        <v>8</v>
      </c>
      <c r="G1170" s="716">
        <v>1614</v>
      </c>
      <c r="H1170" s="655" t="s">
        <v>543</v>
      </c>
      <c r="I1170" s="446">
        <f>+R773</f>
        <v>1.02</v>
      </c>
      <c r="J1170" s="665">
        <f>+S773</f>
        <v>0.9907407407407407</v>
      </c>
      <c r="K1170" s="453">
        <f>+E1170*G1170*I1170*J1170</f>
        <v>19197.301566666665</v>
      </c>
      <c r="L1170" s="243" t="s">
        <v>37</v>
      </c>
      <c r="M1170" s="173"/>
      <c r="N1170" s="135"/>
      <c r="O1170" s="203"/>
      <c r="P1170" s="218"/>
      <c r="Q1170" s="68"/>
      <c r="T1170" s="217"/>
    </row>
    <row r="1171" spans="1:24" ht="30" customHeight="1" x14ac:dyDescent="0.35">
      <c r="A1171" s="241">
        <v>93410</v>
      </c>
      <c r="B1171" s="1082" t="s">
        <v>793</v>
      </c>
      <c r="C1171" s="1082"/>
      <c r="D1171" s="1082"/>
      <c r="E1171" s="680">
        <f>+P791</f>
        <v>8.5</v>
      </c>
      <c r="F1171" s="639" t="s">
        <v>283</v>
      </c>
      <c r="G1171" s="716">
        <v>235</v>
      </c>
      <c r="H1171" s="655" t="s">
        <v>554</v>
      </c>
      <c r="I1171" s="721">
        <f>+R791</f>
        <v>0.9432470865927236</v>
      </c>
      <c r="J1171" s="446"/>
      <c r="K1171" s="453">
        <f>+E1171*G1171*I1171</f>
        <v>1884.1360554689654</v>
      </c>
      <c r="L1171" s="243" t="s">
        <v>37</v>
      </c>
      <c r="M1171" s="173"/>
      <c r="N1171" s="68"/>
      <c r="O1171" s="203"/>
      <c r="P1171" s="218"/>
      <c r="Q1171" s="68"/>
      <c r="T1171" s="217"/>
    </row>
    <row r="1172" spans="1:24" ht="30" customHeight="1" x14ac:dyDescent="0.35">
      <c r="A1172" s="1183" t="s">
        <v>2804</v>
      </c>
      <c r="B1172" s="1184"/>
      <c r="C1172" s="1184"/>
      <c r="D1172" s="1184"/>
      <c r="E1172" s="453"/>
      <c r="F1172" s="446"/>
      <c r="G1172" s="519"/>
      <c r="H1172" s="508"/>
      <c r="I1172" s="446"/>
      <c r="J1172" s="446" t="s">
        <v>362</v>
      </c>
      <c r="K1172" s="453">
        <f>SUM(K1168:K1170)</f>
        <v>29958.570637638462</v>
      </c>
      <c r="L1172" s="243" t="s">
        <v>37</v>
      </c>
      <c r="M1172" s="173"/>
      <c r="N1172" s="68"/>
      <c r="O1172" s="203"/>
      <c r="P1172" s="218"/>
      <c r="Q1172" s="68"/>
      <c r="T1172" s="217"/>
    </row>
    <row r="1173" spans="1:24" ht="30" customHeight="1" thickBot="1" x14ac:dyDescent="0.4">
      <c r="A1173" s="1183"/>
      <c r="B1173" s="1184"/>
      <c r="C1173" s="1184"/>
      <c r="D1173" s="1184"/>
      <c r="E1173" s="458"/>
      <c r="F1173" s="458"/>
      <c r="G1173" s="592" t="s">
        <v>2358</v>
      </c>
      <c r="H1173" s="458"/>
      <c r="I1173" s="458"/>
      <c r="J1173" s="583">
        <f>VLOOKUP(B1166,'Mil Cost Premiums for PUCs'!$A$4:$R$272,18,FALSE)</f>
        <v>1.0485669999999998</v>
      </c>
      <c r="K1173" s="591">
        <f>+K1172*J1173</f>
        <v>31413.568537796644</v>
      </c>
      <c r="L1173" s="243" t="s">
        <v>37</v>
      </c>
      <c r="M1173" s="173"/>
      <c r="N1173" s="68"/>
      <c r="O1173" s="203"/>
      <c r="P1173" s="218"/>
      <c r="Q1173" s="68"/>
      <c r="T1173" s="217"/>
    </row>
    <row r="1174" spans="1:24" ht="30" customHeight="1" thickBot="1" x14ac:dyDescent="0.4">
      <c r="A1174" s="1086"/>
      <c r="B1174" s="1086"/>
      <c r="C1174" s="1086"/>
      <c r="D1174" s="1086"/>
      <c r="E1174" s="1086"/>
      <c r="F1174" s="1086"/>
      <c r="G1174" s="1086"/>
      <c r="H1174" s="1086"/>
      <c r="I1174" s="1086"/>
      <c r="J1174" s="1086"/>
      <c r="K1174" s="1086"/>
      <c r="L1174" s="1103"/>
      <c r="M1174" s="173"/>
      <c r="N1174" s="68"/>
      <c r="O1174" s="203"/>
      <c r="P1174" s="218"/>
      <c r="Q1174" s="68"/>
      <c r="T1174" s="217"/>
    </row>
    <row r="1175" spans="1:24" ht="30" customHeight="1" x14ac:dyDescent="0.35">
      <c r="A1175" s="465" t="s">
        <v>278</v>
      </c>
      <c r="B1175" s="539">
        <v>1782</v>
      </c>
      <c r="C1175" s="1017" t="s">
        <v>794</v>
      </c>
      <c r="D1175" s="1017"/>
      <c r="E1175" s="541" t="s">
        <v>280</v>
      </c>
      <c r="F1175" s="542" t="s">
        <v>37</v>
      </c>
      <c r="G1175" s="553" t="s">
        <v>795</v>
      </c>
      <c r="H1175" s="587">
        <v>10</v>
      </c>
      <c r="I1175" s="541" t="s">
        <v>281</v>
      </c>
      <c r="J1175" s="1019" t="s">
        <v>2843</v>
      </c>
      <c r="K1175" s="1019"/>
      <c r="L1175" s="1020"/>
      <c r="M1175" s="173"/>
      <c r="N1175" s="68"/>
      <c r="O1175" s="203"/>
      <c r="P1175" s="218"/>
      <c r="Q1175" s="68"/>
      <c r="T1175" s="217"/>
    </row>
    <row r="1176" spans="1:24" ht="30" customHeight="1" x14ac:dyDescent="0.35">
      <c r="A1176" s="545" t="s">
        <v>541</v>
      </c>
      <c r="B1176" s="1038" t="s">
        <v>321</v>
      </c>
      <c r="C1176" s="1038"/>
      <c r="D1176" s="1038"/>
      <c r="E1176" s="23" t="s">
        <v>290</v>
      </c>
      <c r="F1176" s="23" t="s">
        <v>322</v>
      </c>
      <c r="G1176" s="1034" t="s">
        <v>323</v>
      </c>
      <c r="H1176" s="1034"/>
      <c r="I1176" s="509" t="s">
        <v>299</v>
      </c>
      <c r="J1176" s="201" t="s">
        <v>302</v>
      </c>
      <c r="K1176" s="1012" t="s">
        <v>292</v>
      </c>
      <c r="L1176" s="1023"/>
      <c r="M1176" s="173"/>
      <c r="N1176" s="68"/>
      <c r="O1176" s="203"/>
      <c r="P1176" s="218"/>
      <c r="Q1176" s="68"/>
      <c r="T1176" s="217"/>
      <c r="U1176" s="208"/>
      <c r="V1176" s="208"/>
      <c r="W1176" s="208"/>
      <c r="X1176" s="208"/>
    </row>
    <row r="1177" spans="1:24" s="208" customFormat="1" ht="30" customHeight="1" x14ac:dyDescent="0.35">
      <c r="A1177" s="545"/>
      <c r="B1177" s="1031" t="s">
        <v>796</v>
      </c>
      <c r="C1177" s="1031"/>
      <c r="D1177" s="1031"/>
      <c r="E1177" s="23"/>
      <c r="F1177" s="23"/>
      <c r="G1177" s="486"/>
      <c r="H1177" s="487"/>
      <c r="I1177" s="647"/>
      <c r="J1177" s="647"/>
      <c r="K1177" s="23"/>
      <c r="L1177" s="715"/>
      <c r="M1177" s="173"/>
      <c r="N1177" s="68"/>
      <c r="O1177" s="203"/>
      <c r="P1177" s="218"/>
      <c r="Q1177" s="68"/>
      <c r="R1177" s="203"/>
      <c r="S1177" s="203"/>
      <c r="T1177" s="217"/>
      <c r="U1177" s="203"/>
      <c r="V1177" s="203"/>
      <c r="W1177" s="203"/>
      <c r="X1177" s="203"/>
    </row>
    <row r="1178" spans="1:24" ht="30" customHeight="1" x14ac:dyDescent="0.35">
      <c r="A1178" s="241" t="s">
        <v>493</v>
      </c>
      <c r="B1178" s="1082" t="s">
        <v>797</v>
      </c>
      <c r="C1178" s="1082"/>
      <c r="D1178" s="1082"/>
      <c r="E1178" s="680">
        <f>+P770</f>
        <v>9.6300000000000008</v>
      </c>
      <c r="F1178" s="446" t="s">
        <v>8</v>
      </c>
      <c r="G1178" s="716">
        <f>9*62</f>
        <v>558</v>
      </c>
      <c r="H1178" s="655" t="s">
        <v>543</v>
      </c>
      <c r="I1178" s="665">
        <f>+R770</f>
        <v>1.02</v>
      </c>
      <c r="J1178" s="665">
        <f>+S770</f>
        <v>0.9907407407407407</v>
      </c>
      <c r="K1178" s="453">
        <f t="shared" ref="K1178:K1186" si="40">+E1178*G1178*I1178*J1178</f>
        <v>5430.2607000000007</v>
      </c>
      <c r="L1178" s="243" t="s">
        <v>37</v>
      </c>
      <c r="M1178" s="173"/>
      <c r="N1178" s="68"/>
      <c r="O1178" s="208"/>
      <c r="P1178" s="218"/>
      <c r="Q1178" s="68"/>
      <c r="R1178" s="208"/>
      <c r="S1178" s="208"/>
      <c r="T1178" s="217"/>
    </row>
    <row r="1179" spans="1:24" ht="30" customHeight="1" x14ac:dyDescent="0.35">
      <c r="A1179" s="241" t="s">
        <v>544</v>
      </c>
      <c r="B1179" s="1082" t="s">
        <v>545</v>
      </c>
      <c r="C1179" s="1082"/>
      <c r="D1179" s="1082"/>
      <c r="E1179" s="680">
        <f>+P776</f>
        <v>475.5</v>
      </c>
      <c r="F1179" s="639" t="s">
        <v>10</v>
      </c>
      <c r="G1179" s="716">
        <v>9</v>
      </c>
      <c r="H1179" s="655" t="s">
        <v>546</v>
      </c>
      <c r="I1179" s="665">
        <f>+R776</f>
        <v>1.01</v>
      </c>
      <c r="J1179" s="665">
        <f>+S776</f>
        <v>0.9907407407407407</v>
      </c>
      <c r="K1179" s="453">
        <f t="shared" si="40"/>
        <v>4282.2737500000003</v>
      </c>
      <c r="L1179" s="243" t="s">
        <v>37</v>
      </c>
      <c r="M1179" s="173"/>
      <c r="N1179" s="68"/>
      <c r="O1179" s="203"/>
      <c r="P1179" s="218"/>
      <c r="Q1179" s="68"/>
      <c r="T1179" s="217"/>
    </row>
    <row r="1180" spans="1:24" ht="30" customHeight="1" x14ac:dyDescent="0.35">
      <c r="A1180" s="241" t="s">
        <v>544</v>
      </c>
      <c r="B1180" s="1059" t="s">
        <v>547</v>
      </c>
      <c r="C1180" s="1059"/>
      <c r="D1180" s="1059"/>
      <c r="E1180" s="680">
        <f>+P778</f>
        <v>341</v>
      </c>
      <c r="F1180" s="639" t="s">
        <v>10</v>
      </c>
      <c r="G1180" s="716">
        <v>9</v>
      </c>
      <c r="H1180" s="655" t="s">
        <v>546</v>
      </c>
      <c r="I1180" s="665">
        <f>+R778</f>
        <v>1.01</v>
      </c>
      <c r="J1180" s="665">
        <f>+S778</f>
        <v>0.9907407407407407</v>
      </c>
      <c r="K1180" s="453">
        <f t="shared" si="40"/>
        <v>3070.9891666666667</v>
      </c>
      <c r="L1180" s="243" t="s">
        <v>37</v>
      </c>
      <c r="M1180" s="173"/>
      <c r="N1180" s="68"/>
      <c r="O1180" s="203"/>
      <c r="P1180" s="218"/>
      <c r="Q1180" s="68"/>
      <c r="T1180" s="217"/>
    </row>
    <row r="1181" spans="1:24" ht="30" customHeight="1" x14ac:dyDescent="0.35">
      <c r="A1181" s="241" t="s">
        <v>493</v>
      </c>
      <c r="B1181" s="1059" t="s">
        <v>798</v>
      </c>
      <c r="C1181" s="1059"/>
      <c r="D1181" s="1059"/>
      <c r="E1181" s="680">
        <f>+P773</f>
        <v>11.77</v>
      </c>
      <c r="F1181" s="446" t="s">
        <v>8</v>
      </c>
      <c r="G1181" s="716">
        <f>2*468</f>
        <v>936</v>
      </c>
      <c r="H1181" s="655" t="s">
        <v>543</v>
      </c>
      <c r="I1181" s="665">
        <f>+R773</f>
        <v>1.02</v>
      </c>
      <c r="J1181" s="665">
        <f>+S773</f>
        <v>0.9907407407407407</v>
      </c>
      <c r="K1181" s="453">
        <f t="shared" si="40"/>
        <v>11133.007599999999</v>
      </c>
      <c r="L1181" s="243" t="s">
        <v>37</v>
      </c>
      <c r="M1181" s="173"/>
      <c r="N1181" s="68"/>
      <c r="O1181" s="203"/>
      <c r="P1181" s="218"/>
      <c r="Q1181" s="68"/>
      <c r="T1181" s="217"/>
    </row>
    <row r="1182" spans="1:24" ht="30" customHeight="1" x14ac:dyDescent="0.35">
      <c r="A1182" s="241" t="s">
        <v>449</v>
      </c>
      <c r="B1182" s="1059" t="s">
        <v>701</v>
      </c>
      <c r="C1182" s="1059"/>
      <c r="D1182" s="1059"/>
      <c r="E1182" s="680">
        <f>+P774</f>
        <v>19</v>
      </c>
      <c r="F1182" s="446" t="s">
        <v>8</v>
      </c>
      <c r="G1182" s="732">
        <f>80.7*1</f>
        <v>80.7</v>
      </c>
      <c r="H1182" s="655" t="s">
        <v>543</v>
      </c>
      <c r="I1182" s="665">
        <f>+R774</f>
        <v>1.05</v>
      </c>
      <c r="J1182" s="665">
        <f>+S774</f>
        <v>0.9907407407407407</v>
      </c>
      <c r="K1182" s="453">
        <f t="shared" si="40"/>
        <v>1595.0579166666664</v>
      </c>
      <c r="L1182" s="243" t="s">
        <v>37</v>
      </c>
      <c r="M1182" s="173"/>
      <c r="N1182" s="68"/>
      <c r="O1182" s="203"/>
      <c r="P1182" s="218"/>
      <c r="Q1182" s="68"/>
      <c r="T1182" s="217"/>
    </row>
    <row r="1183" spans="1:24" ht="30" customHeight="1" x14ac:dyDescent="0.35">
      <c r="A1183" s="241" t="s">
        <v>544</v>
      </c>
      <c r="B1183" s="1059" t="s">
        <v>574</v>
      </c>
      <c r="C1183" s="1059"/>
      <c r="D1183" s="1059"/>
      <c r="E1183" s="680">
        <f>+P777</f>
        <v>862.5</v>
      </c>
      <c r="F1183" s="639" t="s">
        <v>10</v>
      </c>
      <c r="G1183" s="716">
        <v>2</v>
      </c>
      <c r="H1183" s="655" t="s">
        <v>546</v>
      </c>
      <c r="I1183" s="665">
        <f>+R777</f>
        <v>1.01</v>
      </c>
      <c r="J1183" s="665">
        <f>+S777</f>
        <v>0.9907407407407407</v>
      </c>
      <c r="K1183" s="453">
        <f t="shared" si="40"/>
        <v>1726.1180555555554</v>
      </c>
      <c r="L1183" s="243" t="s">
        <v>37</v>
      </c>
      <c r="M1183" s="173"/>
      <c r="N1183" s="68"/>
      <c r="O1183" s="203"/>
      <c r="P1183" s="218"/>
      <c r="Q1183" s="68"/>
      <c r="T1183" s="217"/>
    </row>
    <row r="1184" spans="1:24" ht="30" customHeight="1" x14ac:dyDescent="0.35">
      <c r="A1184" s="241" t="s">
        <v>544</v>
      </c>
      <c r="B1184" s="1059" t="s">
        <v>618</v>
      </c>
      <c r="C1184" s="1059"/>
      <c r="D1184" s="1059"/>
      <c r="E1184" s="680">
        <f>+P780</f>
        <v>1060</v>
      </c>
      <c r="F1184" s="639" t="s">
        <v>10</v>
      </c>
      <c r="G1184" s="716">
        <v>2</v>
      </c>
      <c r="H1184" s="655" t="s">
        <v>546</v>
      </c>
      <c r="I1184" s="665">
        <f t="shared" ref="I1184:J1186" si="41">+R780</f>
        <v>1.01</v>
      </c>
      <c r="J1184" s="665">
        <f t="shared" si="41"/>
        <v>0.9907407407407407</v>
      </c>
      <c r="K1184" s="453">
        <f t="shared" si="40"/>
        <v>2121.3740740740736</v>
      </c>
      <c r="L1184" s="243" t="s">
        <v>37</v>
      </c>
      <c r="M1184" s="173"/>
      <c r="N1184" s="68"/>
      <c r="O1184" s="203"/>
      <c r="P1184" s="218"/>
      <c r="Q1184" s="68"/>
      <c r="T1184" s="217"/>
    </row>
    <row r="1185" spans="1:24" ht="30" customHeight="1" x14ac:dyDescent="0.35">
      <c r="A1185" s="241" t="s">
        <v>548</v>
      </c>
      <c r="B1185" s="1059" t="s">
        <v>812</v>
      </c>
      <c r="C1185" s="1059"/>
      <c r="D1185" s="1059"/>
      <c r="E1185" s="680">
        <f>+P781</f>
        <v>148.79</v>
      </c>
      <c r="F1185" s="639" t="s">
        <v>10</v>
      </c>
      <c r="G1185" s="716">
        <v>46</v>
      </c>
      <c r="H1185" s="655" t="s">
        <v>546</v>
      </c>
      <c r="I1185" s="665">
        <f t="shared" si="41"/>
        <v>1.01</v>
      </c>
      <c r="J1185" s="665">
        <f t="shared" si="41"/>
        <v>0.9907407407407407</v>
      </c>
      <c r="K1185" s="453">
        <f t="shared" si="40"/>
        <v>6848.7761462962953</v>
      </c>
      <c r="L1185" s="243" t="s">
        <v>37</v>
      </c>
      <c r="M1185" s="173"/>
      <c r="N1185" s="68"/>
      <c r="O1185" s="203"/>
      <c r="P1185" s="218"/>
      <c r="Q1185" s="68"/>
      <c r="T1185" s="217"/>
    </row>
    <row r="1186" spans="1:24" ht="30" customHeight="1" x14ac:dyDescent="0.35">
      <c r="A1186" s="241" t="s">
        <v>550</v>
      </c>
      <c r="B1186" s="1082" t="s">
        <v>563</v>
      </c>
      <c r="C1186" s="1082"/>
      <c r="D1186" s="1082"/>
      <c r="E1186" s="680">
        <f>+P782</f>
        <v>18.47</v>
      </c>
      <c r="F1186" s="639" t="s">
        <v>6</v>
      </c>
      <c r="G1186" s="716">
        <v>2753</v>
      </c>
      <c r="H1186" s="655" t="s">
        <v>552</v>
      </c>
      <c r="I1186" s="665">
        <f t="shared" si="41"/>
        <v>1.01</v>
      </c>
      <c r="J1186" s="665">
        <f t="shared" si="41"/>
        <v>0.9907407407407407</v>
      </c>
      <c r="K1186" s="453">
        <f t="shared" si="40"/>
        <v>50880.866978703692</v>
      </c>
      <c r="L1186" s="243" t="s">
        <v>37</v>
      </c>
      <c r="M1186" s="173"/>
      <c r="N1186" s="68"/>
      <c r="O1186" s="203"/>
      <c r="P1186" s="218"/>
      <c r="Q1186" s="68"/>
      <c r="T1186" s="217"/>
    </row>
    <row r="1187" spans="1:24" ht="30" customHeight="1" x14ac:dyDescent="0.35">
      <c r="A1187" s="241">
        <v>93410</v>
      </c>
      <c r="B1187" s="1082" t="s">
        <v>783</v>
      </c>
      <c r="C1187" s="1082"/>
      <c r="D1187" s="1082"/>
      <c r="E1187" s="645">
        <f>+P792</f>
        <v>1.1000000000000001</v>
      </c>
      <c r="F1187" s="639" t="s">
        <v>3</v>
      </c>
      <c r="G1187" s="716">
        <v>1435</v>
      </c>
      <c r="H1187" s="655" t="s">
        <v>784</v>
      </c>
      <c r="I1187" s="721">
        <f>+R792</f>
        <v>0.9432470865927236</v>
      </c>
      <c r="J1187" s="446"/>
      <c r="K1187" s="453">
        <f>+E1187*G1187*I1187</f>
        <v>1488.9155261866144</v>
      </c>
      <c r="L1187" s="243" t="s">
        <v>37</v>
      </c>
      <c r="M1187" s="173"/>
      <c r="N1187" s="68"/>
      <c r="O1187" s="203"/>
      <c r="P1187" s="218"/>
      <c r="Q1187" s="68"/>
      <c r="T1187" s="217"/>
    </row>
    <row r="1188" spans="1:24" ht="30" customHeight="1" x14ac:dyDescent="0.35">
      <c r="A1188" s="241">
        <v>93410</v>
      </c>
      <c r="B1188" s="1082" t="s">
        <v>733</v>
      </c>
      <c r="C1188" s="1082"/>
      <c r="D1188" s="1082"/>
      <c r="E1188" s="680">
        <f>+P791</f>
        <v>8.5</v>
      </c>
      <c r="F1188" s="639" t="s">
        <v>283</v>
      </c>
      <c r="G1188" s="716">
        <v>17139</v>
      </c>
      <c r="H1188" s="655" t="s">
        <v>554</v>
      </c>
      <c r="I1188" s="721">
        <f>+R791</f>
        <v>0.9432470865927236</v>
      </c>
      <c r="J1188" s="446"/>
      <c r="K1188" s="453">
        <f>+E1188*G1188*I1188</f>
        <v>137413.65044545787</v>
      </c>
      <c r="L1188" s="243" t="s">
        <v>37</v>
      </c>
      <c r="M1188" s="173"/>
      <c r="N1188" s="68"/>
      <c r="O1188" s="203"/>
      <c r="P1188" s="218"/>
      <c r="Q1188" s="68"/>
      <c r="T1188" s="217"/>
    </row>
    <row r="1189" spans="1:24" ht="30" customHeight="1" x14ac:dyDescent="0.35">
      <c r="A1189" s="241">
        <v>93210</v>
      </c>
      <c r="B1189" s="1082" t="s">
        <v>786</v>
      </c>
      <c r="C1189" s="1082"/>
      <c r="D1189" s="1082"/>
      <c r="E1189" s="680">
        <f>+P793</f>
        <v>47.6</v>
      </c>
      <c r="F1189" s="639" t="s">
        <v>283</v>
      </c>
      <c r="G1189" s="716">
        <v>431</v>
      </c>
      <c r="H1189" s="655" t="s">
        <v>554</v>
      </c>
      <c r="I1189" s="721">
        <f>+R793</f>
        <v>0.9432470865927236</v>
      </c>
      <c r="J1189" s="446"/>
      <c r="K1189" s="453">
        <f>+E1189*G1189*I1189</f>
        <v>19351.279929701683</v>
      </c>
      <c r="L1189" s="243" t="s">
        <v>37</v>
      </c>
      <c r="M1189" s="173"/>
      <c r="N1189" s="68"/>
      <c r="O1189" s="203"/>
      <c r="P1189" s="218"/>
      <c r="Q1189" s="68"/>
      <c r="T1189" s="217"/>
    </row>
    <row r="1190" spans="1:24" ht="30" customHeight="1" x14ac:dyDescent="0.35">
      <c r="A1190" s="241" t="s">
        <v>565</v>
      </c>
      <c r="B1190" s="1082" t="s">
        <v>2161</v>
      </c>
      <c r="C1190" s="1082"/>
      <c r="D1190" s="1082"/>
      <c r="E1190" s="645">
        <f>+P768</f>
        <v>19.25</v>
      </c>
      <c r="F1190" s="639" t="s">
        <v>8</v>
      </c>
      <c r="G1190" s="716">
        <v>4800</v>
      </c>
      <c r="H1190" s="655" t="s">
        <v>543</v>
      </c>
      <c r="I1190" s="665">
        <f>+R768</f>
        <v>1.03</v>
      </c>
      <c r="J1190" s="665">
        <f>+S768</f>
        <v>0.97222222222222221</v>
      </c>
      <c r="K1190" s="453">
        <f>+E1190*G1190*I1190*J1190</f>
        <v>92528.333333333328</v>
      </c>
      <c r="L1190" s="243" t="s">
        <v>37</v>
      </c>
      <c r="M1190" s="173"/>
      <c r="N1190" s="68"/>
      <c r="O1190" s="203"/>
      <c r="P1190" s="218"/>
      <c r="Q1190" s="68"/>
      <c r="T1190" s="217"/>
    </row>
    <row r="1191" spans="1:24" ht="30" customHeight="1" x14ac:dyDescent="0.35">
      <c r="A1191" s="241" t="s">
        <v>493</v>
      </c>
      <c r="B1191" s="1082" t="s">
        <v>800</v>
      </c>
      <c r="C1191" s="1082"/>
      <c r="D1191" s="1082"/>
      <c r="E1191" s="645">
        <f>+P770</f>
        <v>9.6300000000000008</v>
      </c>
      <c r="F1191" s="639" t="s">
        <v>8</v>
      </c>
      <c r="G1191" s="716">
        <f>4*144</f>
        <v>576</v>
      </c>
      <c r="H1191" s="655" t="s">
        <v>543</v>
      </c>
      <c r="I1191" s="665">
        <f>+R770</f>
        <v>1.02</v>
      </c>
      <c r="J1191" s="665">
        <f>+S770</f>
        <v>0.9907407407407407</v>
      </c>
      <c r="K1191" s="453">
        <f>+E1191*G1191*I1191*J1191</f>
        <v>5605.4304000000002</v>
      </c>
      <c r="L1191" s="243" t="s">
        <v>37</v>
      </c>
      <c r="M1191" s="173"/>
      <c r="N1191" s="68"/>
      <c r="O1191" s="203"/>
      <c r="P1191" s="218"/>
      <c r="Q1191" s="68"/>
      <c r="T1191" s="217"/>
    </row>
    <row r="1192" spans="1:24" ht="30" customHeight="1" x14ac:dyDescent="0.35">
      <c r="A1192" s="241" t="s">
        <v>493</v>
      </c>
      <c r="B1192" s="1082" t="s">
        <v>801</v>
      </c>
      <c r="C1192" s="1082"/>
      <c r="D1192" s="1082"/>
      <c r="E1192" s="645">
        <f>+P773</f>
        <v>11.77</v>
      </c>
      <c r="F1192" s="446" t="s">
        <v>8</v>
      </c>
      <c r="G1192" s="716">
        <v>2152.8000000000002</v>
      </c>
      <c r="H1192" s="655" t="s">
        <v>543</v>
      </c>
      <c r="I1192" s="665">
        <f>+R773</f>
        <v>1.02</v>
      </c>
      <c r="J1192" s="665">
        <f>+S773</f>
        <v>0.9907407407407407</v>
      </c>
      <c r="K1192" s="453">
        <f>+E1192*G1192*I1192*J1192</f>
        <v>25605.91748</v>
      </c>
      <c r="L1192" s="243" t="s">
        <v>37</v>
      </c>
      <c r="M1192" s="173"/>
      <c r="N1192" s="68"/>
      <c r="O1192" s="203"/>
      <c r="P1192" s="218"/>
      <c r="Q1192" s="68"/>
      <c r="T1192" s="217"/>
    </row>
    <row r="1193" spans="1:24" ht="30" customHeight="1" x14ac:dyDescent="0.35">
      <c r="A1193" s="1183" t="s">
        <v>2804</v>
      </c>
      <c r="B1193" s="1184"/>
      <c r="C1193" s="1184"/>
      <c r="D1193" s="1184"/>
      <c r="E1193" s="453"/>
      <c r="F1193" s="446"/>
      <c r="G1193" s="519"/>
      <c r="H1193" s="508"/>
      <c r="I1193" s="446"/>
      <c r="J1193" s="446" t="s">
        <v>362</v>
      </c>
      <c r="K1193" s="453">
        <f>SUM(K1178:K1190)</f>
        <v>337870.90362264245</v>
      </c>
      <c r="L1193" s="243" t="s">
        <v>37</v>
      </c>
      <c r="M1193" s="173"/>
      <c r="N1193" s="68"/>
      <c r="O1193" s="203"/>
      <c r="P1193" s="218"/>
      <c r="Q1193" s="68"/>
      <c r="T1193" s="217"/>
    </row>
    <row r="1194" spans="1:24" ht="30" customHeight="1" thickBot="1" x14ac:dyDescent="0.4">
      <c r="A1194" s="1183"/>
      <c r="B1194" s="1184"/>
      <c r="C1194" s="1184"/>
      <c r="D1194" s="1184"/>
      <c r="E1194" s="458"/>
      <c r="F1194" s="458"/>
      <c r="G1194" s="592" t="s">
        <v>2358</v>
      </c>
      <c r="H1194" s="458"/>
      <c r="I1194" s="458"/>
      <c r="J1194" s="583">
        <f>VLOOKUP(B1175,'Mil Cost Premiums for PUCs'!$A$4:$R$272,18,FALSE)</f>
        <v>1.0485669999999998</v>
      </c>
      <c r="K1194" s="591">
        <f>+K1193*J1194</f>
        <v>354280.27979888325</v>
      </c>
      <c r="L1194" s="243" t="s">
        <v>37</v>
      </c>
      <c r="M1194" s="173"/>
      <c r="N1194" s="68"/>
      <c r="O1194" s="203"/>
      <c r="P1194" s="218"/>
      <c r="Q1194" s="68"/>
      <c r="T1194" s="217"/>
    </row>
    <row r="1195" spans="1:24" ht="30" customHeight="1" thickBot="1" x14ac:dyDescent="0.4">
      <c r="A1195" s="1086"/>
      <c r="B1195" s="1086"/>
      <c r="C1195" s="1086"/>
      <c r="D1195" s="1086"/>
      <c r="E1195" s="1086"/>
      <c r="F1195" s="1086"/>
      <c r="G1195" s="1086"/>
      <c r="H1195" s="1086"/>
      <c r="I1195" s="1086"/>
      <c r="J1195" s="1086"/>
      <c r="K1195" s="1086"/>
      <c r="L1195" s="1103"/>
      <c r="M1195" s="173"/>
      <c r="N1195" s="68"/>
      <c r="O1195" s="203"/>
      <c r="P1195" s="218"/>
      <c r="Q1195" s="68"/>
      <c r="T1195" s="217"/>
    </row>
    <row r="1196" spans="1:24" ht="30" customHeight="1" x14ac:dyDescent="0.35">
      <c r="A1196" s="465" t="s">
        <v>278</v>
      </c>
      <c r="B1196" s="539">
        <v>1783</v>
      </c>
      <c r="C1196" s="1017" t="s">
        <v>802</v>
      </c>
      <c r="D1196" s="1017"/>
      <c r="E1196" s="541" t="s">
        <v>280</v>
      </c>
      <c r="F1196" s="542" t="s">
        <v>37</v>
      </c>
      <c r="G1196" s="553" t="s">
        <v>803</v>
      </c>
      <c r="H1196" s="587">
        <v>1</v>
      </c>
      <c r="I1196" s="541" t="s">
        <v>281</v>
      </c>
      <c r="J1196" s="1019" t="s">
        <v>2843</v>
      </c>
      <c r="K1196" s="1019"/>
      <c r="L1196" s="1020"/>
      <c r="M1196" s="173"/>
      <c r="N1196" s="68"/>
      <c r="O1196" s="203"/>
      <c r="P1196" s="218"/>
      <c r="Q1196" s="68"/>
      <c r="T1196" s="217"/>
    </row>
    <row r="1197" spans="1:24" ht="30" customHeight="1" x14ac:dyDescent="0.35">
      <c r="A1197" s="545" t="s">
        <v>541</v>
      </c>
      <c r="B1197" s="1038" t="s">
        <v>321</v>
      </c>
      <c r="C1197" s="1038"/>
      <c r="D1197" s="1038"/>
      <c r="E1197" s="23" t="s">
        <v>290</v>
      </c>
      <c r="F1197" s="23" t="s">
        <v>322</v>
      </c>
      <c r="G1197" s="1034" t="s">
        <v>323</v>
      </c>
      <c r="H1197" s="1034"/>
      <c r="I1197" s="509" t="s">
        <v>299</v>
      </c>
      <c r="J1197" s="201" t="s">
        <v>302</v>
      </c>
      <c r="K1197" s="1012" t="s">
        <v>292</v>
      </c>
      <c r="L1197" s="1023"/>
      <c r="M1197" s="173"/>
      <c r="N1197" s="68"/>
      <c r="O1197" s="203"/>
      <c r="P1197" s="218"/>
      <c r="Q1197" s="68"/>
      <c r="T1197" s="217"/>
      <c r="U1197" s="208"/>
      <c r="V1197" s="208"/>
      <c r="W1197" s="208"/>
      <c r="X1197" s="208"/>
    </row>
    <row r="1198" spans="1:24" s="208" customFormat="1" ht="30" customHeight="1" x14ac:dyDescent="0.35">
      <c r="A1198" s="241" t="s">
        <v>493</v>
      </c>
      <c r="B1198" s="1082" t="s">
        <v>804</v>
      </c>
      <c r="C1198" s="1082"/>
      <c r="D1198" s="1082"/>
      <c r="E1198" s="645">
        <f>+P770</f>
        <v>9.6300000000000008</v>
      </c>
      <c r="F1198" s="639" t="s">
        <v>8</v>
      </c>
      <c r="G1198" s="716">
        <v>2896</v>
      </c>
      <c r="H1198" s="655" t="s">
        <v>543</v>
      </c>
      <c r="I1198" s="446">
        <f>+R770</f>
        <v>1.02</v>
      </c>
      <c r="J1198" s="665">
        <f>+S770</f>
        <v>0.9907407407407407</v>
      </c>
      <c r="K1198" s="453">
        <f>+E1198*G1198*I1198*J1198</f>
        <v>28182.858400000001</v>
      </c>
      <c r="L1198" s="243" t="s">
        <v>37</v>
      </c>
      <c r="M1198" s="173"/>
      <c r="N1198" s="68"/>
      <c r="O1198" s="203"/>
      <c r="P1198" s="218"/>
      <c r="Q1198" s="68"/>
      <c r="R1198" s="203"/>
      <c r="S1198" s="203"/>
      <c r="T1198" s="217"/>
      <c r="U1198" s="203"/>
      <c r="V1198" s="203"/>
      <c r="W1198" s="203"/>
      <c r="X1198" s="203"/>
    </row>
    <row r="1199" spans="1:24" ht="30" customHeight="1" x14ac:dyDescent="0.35">
      <c r="A1199" s="241" t="s">
        <v>493</v>
      </c>
      <c r="B1199" s="1082" t="s">
        <v>805</v>
      </c>
      <c r="C1199" s="1082"/>
      <c r="D1199" s="1082"/>
      <c r="E1199" s="680">
        <f>+P773</f>
        <v>11.77</v>
      </c>
      <c r="F1199" s="446" t="s">
        <v>8</v>
      </c>
      <c r="G1199" s="716">
        <f>100*3*10.7639</f>
        <v>3229.17</v>
      </c>
      <c r="H1199" s="655" t="s">
        <v>543</v>
      </c>
      <c r="I1199" s="446">
        <f>+R773</f>
        <v>1.02</v>
      </c>
      <c r="J1199" s="665">
        <f>+S773</f>
        <v>0.9907407407407407</v>
      </c>
      <c r="K1199" s="453">
        <f>+E1199*G1199*I1199*J1199</f>
        <v>38408.519392833332</v>
      </c>
      <c r="L1199" s="243" t="s">
        <v>37</v>
      </c>
      <c r="M1199" s="173"/>
      <c r="N1199" s="68"/>
      <c r="O1199" s="208"/>
      <c r="P1199" s="218"/>
      <c r="Q1199" s="68"/>
      <c r="R1199" s="208"/>
      <c r="S1199" s="208"/>
      <c r="T1199" s="217"/>
    </row>
    <row r="1200" spans="1:24" ht="30" customHeight="1" x14ac:dyDescent="0.35">
      <c r="A1200" s="241" t="s">
        <v>493</v>
      </c>
      <c r="B1200" s="1082" t="s">
        <v>806</v>
      </c>
      <c r="C1200" s="1082"/>
      <c r="D1200" s="1082"/>
      <c r="E1200" s="680">
        <f>+P773</f>
        <v>11.77</v>
      </c>
      <c r="F1200" s="446" t="s">
        <v>8</v>
      </c>
      <c r="G1200" s="716">
        <v>2153</v>
      </c>
      <c r="H1200" s="655" t="s">
        <v>543</v>
      </c>
      <c r="I1200" s="446">
        <f>+R773</f>
        <v>1.02</v>
      </c>
      <c r="J1200" s="665">
        <f>+S773</f>
        <v>0.9907407407407407</v>
      </c>
      <c r="K1200" s="453">
        <f>+E1200*G1200*I1200*J1200</f>
        <v>25608.296327777774</v>
      </c>
      <c r="L1200" s="243" t="s">
        <v>37</v>
      </c>
      <c r="M1200" s="173"/>
      <c r="N1200" s="68"/>
      <c r="O1200" s="203"/>
      <c r="P1200" s="218"/>
      <c r="Q1200" s="68"/>
      <c r="T1200" s="217"/>
    </row>
    <row r="1201" spans="1:24" ht="30" customHeight="1" x14ac:dyDescent="0.35">
      <c r="A1201" s="241">
        <v>93410</v>
      </c>
      <c r="B1201" s="1082" t="s">
        <v>807</v>
      </c>
      <c r="C1201" s="1082"/>
      <c r="D1201" s="1082"/>
      <c r="E1201" s="680">
        <f>+P791</f>
        <v>8.5</v>
      </c>
      <c r="F1201" s="639" t="s">
        <v>283</v>
      </c>
      <c r="G1201" s="716">
        <v>2040</v>
      </c>
      <c r="H1201" s="655" t="s">
        <v>554</v>
      </c>
      <c r="I1201" s="731">
        <f>+R791</f>
        <v>0.9432470865927236</v>
      </c>
      <c r="J1201" s="446"/>
      <c r="K1201" s="453">
        <f>+E1201*G1201*I1201</f>
        <v>16355.904481517828</v>
      </c>
      <c r="L1201" s="243" t="s">
        <v>37</v>
      </c>
      <c r="M1201" s="173"/>
      <c r="N1201" s="137"/>
      <c r="O1201" s="203"/>
      <c r="P1201" s="218"/>
      <c r="Q1201" s="68"/>
      <c r="T1201" s="217"/>
    </row>
    <row r="1202" spans="1:24" ht="30" customHeight="1" x14ac:dyDescent="0.35">
      <c r="A1202" s="1183" t="s">
        <v>2804</v>
      </c>
      <c r="B1202" s="1184"/>
      <c r="C1202" s="1184"/>
      <c r="D1202" s="1184"/>
      <c r="E1202" s="453"/>
      <c r="F1202" s="446"/>
      <c r="G1202" s="519"/>
      <c r="H1202" s="508"/>
      <c r="I1202" s="446"/>
      <c r="J1202" s="446" t="s">
        <v>362</v>
      </c>
      <c r="K1202" s="453">
        <f>SUM(K1198:K1199)</f>
        <v>66591.377792833329</v>
      </c>
      <c r="L1202" s="243" t="s">
        <v>37</v>
      </c>
      <c r="M1202" s="173"/>
      <c r="N1202" s="68"/>
      <c r="O1202" s="203"/>
      <c r="P1202" s="218"/>
      <c r="Q1202" s="68"/>
      <c r="T1202" s="217"/>
    </row>
    <row r="1203" spans="1:24" ht="30" customHeight="1" thickBot="1" x14ac:dyDescent="0.4">
      <c r="A1203" s="1183"/>
      <c r="B1203" s="1184"/>
      <c r="C1203" s="1184"/>
      <c r="D1203" s="1184"/>
      <c r="E1203" s="458"/>
      <c r="F1203" s="458"/>
      <c r="G1203" s="592" t="s">
        <v>2358</v>
      </c>
      <c r="H1203" s="458"/>
      <c r="I1203" s="458"/>
      <c r="J1203" s="583">
        <f>VLOOKUP(B1196,'Mil Cost Premiums for PUCs'!$A$4:$R$272,18,FALSE)</f>
        <v>1.0485669999999998</v>
      </c>
      <c r="K1203" s="591">
        <f>+K1202*J1203</f>
        <v>69825.521238097848</v>
      </c>
      <c r="L1203" s="243" t="s">
        <v>37</v>
      </c>
      <c r="M1203" s="173"/>
      <c r="N1203" s="68"/>
      <c r="O1203" s="203"/>
      <c r="P1203" s="218"/>
      <c r="Q1203" s="68"/>
      <c r="T1203" s="217"/>
    </row>
    <row r="1204" spans="1:24" ht="30" customHeight="1" thickBot="1" x14ac:dyDescent="0.4">
      <c r="A1204" s="1086"/>
      <c r="B1204" s="1086"/>
      <c r="C1204" s="1086"/>
      <c r="D1204" s="1086"/>
      <c r="E1204" s="1086"/>
      <c r="F1204" s="1086"/>
      <c r="G1204" s="1086"/>
      <c r="H1204" s="1086"/>
      <c r="I1204" s="1086"/>
      <c r="J1204" s="1086"/>
      <c r="K1204" s="1086"/>
      <c r="L1204" s="1103"/>
      <c r="M1204" s="173"/>
      <c r="N1204" s="68"/>
      <c r="O1204" s="203"/>
      <c r="P1204" s="218"/>
      <c r="Q1204" s="68"/>
      <c r="T1204" s="217"/>
    </row>
    <row r="1205" spans="1:24" ht="30" customHeight="1" x14ac:dyDescent="0.35">
      <c r="A1205" s="465" t="s">
        <v>278</v>
      </c>
      <c r="B1205" s="539">
        <v>1790</v>
      </c>
      <c r="C1205" s="1017" t="s">
        <v>808</v>
      </c>
      <c r="D1205" s="1017"/>
      <c r="E1205" s="541" t="s">
        <v>280</v>
      </c>
      <c r="F1205" s="542" t="s">
        <v>10</v>
      </c>
      <c r="G1205" s="553" t="s">
        <v>795</v>
      </c>
      <c r="H1205" s="587">
        <v>1</v>
      </c>
      <c r="I1205" s="541" t="s">
        <v>281</v>
      </c>
      <c r="J1205" s="1019" t="s">
        <v>2843</v>
      </c>
      <c r="K1205" s="1019"/>
      <c r="L1205" s="1020"/>
      <c r="M1205" s="173"/>
      <c r="N1205" s="68"/>
      <c r="O1205" s="203"/>
      <c r="P1205" s="218"/>
      <c r="Q1205" s="68"/>
      <c r="T1205" s="217"/>
    </row>
    <row r="1206" spans="1:24" ht="30" customHeight="1" x14ac:dyDescent="0.35">
      <c r="A1206" s="545" t="s">
        <v>541</v>
      </c>
      <c r="B1206" s="1038" t="s">
        <v>321</v>
      </c>
      <c r="C1206" s="1038"/>
      <c r="D1206" s="1038"/>
      <c r="E1206" s="23" t="s">
        <v>290</v>
      </c>
      <c r="F1206" s="23" t="s">
        <v>322</v>
      </c>
      <c r="G1206" s="1034" t="s">
        <v>323</v>
      </c>
      <c r="H1206" s="1034"/>
      <c r="I1206" s="509" t="s">
        <v>299</v>
      </c>
      <c r="J1206" s="201" t="s">
        <v>302</v>
      </c>
      <c r="K1206" s="1012" t="s">
        <v>292</v>
      </c>
      <c r="L1206" s="1023"/>
      <c r="M1206" s="173"/>
      <c r="N1206" s="68"/>
      <c r="O1206" s="203"/>
      <c r="P1206" s="218"/>
      <c r="Q1206" s="68"/>
      <c r="T1206" s="217"/>
      <c r="U1206" s="208"/>
      <c r="V1206" s="208"/>
      <c r="W1206" s="208"/>
      <c r="X1206" s="208"/>
    </row>
    <row r="1207" spans="1:24" s="208" customFormat="1" ht="30" customHeight="1" x14ac:dyDescent="0.35">
      <c r="A1207" s="545"/>
      <c r="B1207" s="1082" t="s">
        <v>809</v>
      </c>
      <c r="C1207" s="1082"/>
      <c r="D1207" s="1082"/>
      <c r="E1207" s="23"/>
      <c r="F1207" s="23"/>
      <c r="G1207" s="486"/>
      <c r="H1207" s="487"/>
      <c r="I1207" s="509"/>
      <c r="J1207" s="201"/>
      <c r="K1207" s="595"/>
      <c r="L1207" s="739"/>
      <c r="M1207" s="173"/>
      <c r="N1207" s="68"/>
      <c r="O1207" s="203"/>
      <c r="P1207" s="218"/>
      <c r="Q1207" s="68"/>
      <c r="R1207" s="203"/>
      <c r="S1207" s="203"/>
      <c r="T1207" s="217"/>
    </row>
    <row r="1208" spans="1:24" s="208" customFormat="1" ht="30" customHeight="1" x14ac:dyDescent="0.35">
      <c r="A1208" s="241" t="s">
        <v>493</v>
      </c>
      <c r="B1208" s="1082" t="s">
        <v>810</v>
      </c>
      <c r="C1208" s="1082"/>
      <c r="D1208" s="1082"/>
      <c r="E1208" s="680">
        <f>+P770</f>
        <v>9.6300000000000008</v>
      </c>
      <c r="F1208" s="446" t="s">
        <v>8</v>
      </c>
      <c r="G1208" s="716">
        <f>6*62</f>
        <v>372</v>
      </c>
      <c r="H1208" s="655" t="s">
        <v>671</v>
      </c>
      <c r="I1208" s="665">
        <f>+R770</f>
        <v>1.02</v>
      </c>
      <c r="J1208" s="665">
        <f>+S770</f>
        <v>0.9907407407407407</v>
      </c>
      <c r="K1208" s="453">
        <f t="shared" ref="K1208:K1215" si="42">+E1208*G1208*I1208*J1208</f>
        <v>3620.1738</v>
      </c>
      <c r="L1208" s="243" t="s">
        <v>10</v>
      </c>
      <c r="M1208" s="173"/>
      <c r="N1208" s="68"/>
      <c r="P1208" s="218"/>
      <c r="Q1208" s="68"/>
      <c r="T1208" s="217"/>
      <c r="U1208" s="203"/>
      <c r="V1208" s="203"/>
      <c r="W1208" s="203"/>
      <c r="X1208" s="203"/>
    </row>
    <row r="1209" spans="1:24" ht="30" customHeight="1" x14ac:dyDescent="0.35">
      <c r="A1209" s="241" t="s">
        <v>544</v>
      </c>
      <c r="B1209" s="1082" t="s">
        <v>545</v>
      </c>
      <c r="C1209" s="1082"/>
      <c r="D1209" s="1082"/>
      <c r="E1209" s="680">
        <f>+P776</f>
        <v>475.5</v>
      </c>
      <c r="F1209" s="639" t="s">
        <v>10</v>
      </c>
      <c r="G1209" s="716">
        <v>6</v>
      </c>
      <c r="H1209" s="655" t="s">
        <v>672</v>
      </c>
      <c r="I1209" s="665">
        <f>+R776</f>
        <v>1.01</v>
      </c>
      <c r="J1209" s="665">
        <f>+S776</f>
        <v>0.9907407407407407</v>
      </c>
      <c r="K1209" s="453">
        <f t="shared" si="42"/>
        <v>2854.8491666666669</v>
      </c>
      <c r="L1209" s="243" t="s">
        <v>10</v>
      </c>
      <c r="M1209" s="173"/>
      <c r="N1209" s="68"/>
      <c r="O1209" s="208"/>
      <c r="P1209" s="218"/>
      <c r="Q1209" s="68"/>
      <c r="R1209" s="208"/>
      <c r="S1209" s="208"/>
      <c r="T1209" s="217"/>
    </row>
    <row r="1210" spans="1:24" ht="30" customHeight="1" x14ac:dyDescent="0.35">
      <c r="A1210" s="241" t="s">
        <v>544</v>
      </c>
      <c r="B1210" s="1082" t="s">
        <v>547</v>
      </c>
      <c r="C1210" s="1082"/>
      <c r="D1210" s="1082"/>
      <c r="E1210" s="680">
        <f>+P778</f>
        <v>341</v>
      </c>
      <c r="F1210" s="639" t="s">
        <v>10</v>
      </c>
      <c r="G1210" s="716">
        <v>6</v>
      </c>
      <c r="H1210" s="655" t="s">
        <v>672</v>
      </c>
      <c r="I1210" s="665">
        <f>+R778</f>
        <v>1.01</v>
      </c>
      <c r="J1210" s="665">
        <f>+S778</f>
        <v>0.9907407407407407</v>
      </c>
      <c r="K1210" s="453">
        <f t="shared" si="42"/>
        <v>2047.326111111111</v>
      </c>
      <c r="L1210" s="243" t="s">
        <v>10</v>
      </c>
      <c r="M1210" s="173"/>
      <c r="N1210" s="68"/>
      <c r="O1210" s="203"/>
      <c r="P1210" s="218"/>
      <c r="Q1210" s="68"/>
      <c r="T1210" s="217"/>
    </row>
    <row r="1211" spans="1:24" ht="30" customHeight="1" x14ac:dyDescent="0.35">
      <c r="A1211" s="241" t="s">
        <v>493</v>
      </c>
      <c r="B1211" s="1082" t="s">
        <v>811</v>
      </c>
      <c r="C1211" s="1082"/>
      <c r="D1211" s="1082"/>
      <c r="E1211" s="680">
        <f>+P773</f>
        <v>11.77</v>
      </c>
      <c r="F1211" s="446" t="s">
        <v>8</v>
      </c>
      <c r="G1211" s="716">
        <f>2*468</f>
        <v>936</v>
      </c>
      <c r="H1211" s="655" t="s">
        <v>671</v>
      </c>
      <c r="I1211" s="665">
        <f>+R773</f>
        <v>1.02</v>
      </c>
      <c r="J1211" s="665">
        <f>+S773</f>
        <v>0.9907407407407407</v>
      </c>
      <c r="K1211" s="453">
        <f t="shared" si="42"/>
        <v>11133.007599999999</v>
      </c>
      <c r="L1211" s="243" t="s">
        <v>10</v>
      </c>
      <c r="M1211" s="173"/>
      <c r="N1211" s="68"/>
      <c r="O1211" s="203"/>
      <c r="P1211" s="218"/>
      <c r="Q1211" s="68"/>
      <c r="T1211" s="217"/>
    </row>
    <row r="1212" spans="1:24" ht="30" customHeight="1" x14ac:dyDescent="0.35">
      <c r="A1212" s="241" t="s">
        <v>544</v>
      </c>
      <c r="B1212" s="1082" t="s">
        <v>574</v>
      </c>
      <c r="C1212" s="1082"/>
      <c r="D1212" s="1082"/>
      <c r="E1212" s="680">
        <f>+P777</f>
        <v>862.5</v>
      </c>
      <c r="F1212" s="639" t="s">
        <v>10</v>
      </c>
      <c r="G1212" s="716">
        <v>2</v>
      </c>
      <c r="H1212" s="655" t="s">
        <v>672</v>
      </c>
      <c r="I1212" s="665">
        <f>+R777</f>
        <v>1.01</v>
      </c>
      <c r="J1212" s="665">
        <f>+S777</f>
        <v>0.9907407407407407</v>
      </c>
      <c r="K1212" s="453">
        <f t="shared" si="42"/>
        <v>1726.1180555555554</v>
      </c>
      <c r="L1212" s="243" t="s">
        <v>10</v>
      </c>
      <c r="M1212" s="173"/>
      <c r="N1212" s="68"/>
      <c r="O1212" s="203"/>
      <c r="P1212" s="218"/>
      <c r="Q1212" s="68"/>
      <c r="T1212" s="217"/>
    </row>
    <row r="1213" spans="1:24" ht="30" customHeight="1" x14ac:dyDescent="0.35">
      <c r="A1213" s="241" t="s">
        <v>544</v>
      </c>
      <c r="B1213" s="1082" t="s">
        <v>618</v>
      </c>
      <c r="C1213" s="1082"/>
      <c r="D1213" s="1082"/>
      <c r="E1213" s="680">
        <f>+P780</f>
        <v>1060</v>
      </c>
      <c r="F1213" s="639" t="s">
        <v>10</v>
      </c>
      <c r="G1213" s="716">
        <v>2</v>
      </c>
      <c r="H1213" s="655" t="s">
        <v>672</v>
      </c>
      <c r="I1213" s="665">
        <f t="shared" ref="I1213:J1215" si="43">+R780</f>
        <v>1.01</v>
      </c>
      <c r="J1213" s="665">
        <f t="shared" si="43"/>
        <v>0.9907407407407407</v>
      </c>
      <c r="K1213" s="453">
        <f t="shared" si="42"/>
        <v>2121.3740740740736</v>
      </c>
      <c r="L1213" s="243" t="s">
        <v>10</v>
      </c>
      <c r="M1213" s="173"/>
      <c r="N1213" s="68"/>
      <c r="O1213" s="203"/>
      <c r="P1213" s="218"/>
      <c r="Q1213" s="68"/>
      <c r="T1213" s="217"/>
    </row>
    <row r="1214" spans="1:24" ht="30" customHeight="1" x14ac:dyDescent="0.35">
      <c r="A1214" s="241" t="s">
        <v>548</v>
      </c>
      <c r="B1214" s="1059" t="s">
        <v>812</v>
      </c>
      <c r="C1214" s="1059"/>
      <c r="D1214" s="1059"/>
      <c r="E1214" s="680">
        <f>+P781</f>
        <v>148.79</v>
      </c>
      <c r="F1214" s="639" t="s">
        <v>10</v>
      </c>
      <c r="G1214" s="716">
        <f>6*4+2*5</f>
        <v>34</v>
      </c>
      <c r="H1214" s="655" t="s">
        <v>672</v>
      </c>
      <c r="I1214" s="665">
        <f t="shared" si="43"/>
        <v>1.01</v>
      </c>
      <c r="J1214" s="665">
        <f t="shared" si="43"/>
        <v>0.9907407407407407</v>
      </c>
      <c r="K1214" s="453">
        <f t="shared" si="42"/>
        <v>5062.13889074074</v>
      </c>
      <c r="L1214" s="243" t="s">
        <v>10</v>
      </c>
      <c r="M1214" s="173"/>
      <c r="N1214" s="68"/>
      <c r="O1214" s="203"/>
      <c r="P1214" s="218"/>
      <c r="Q1214" s="68"/>
      <c r="T1214" s="217"/>
    </row>
    <row r="1215" spans="1:24" ht="30" customHeight="1" x14ac:dyDescent="0.35">
      <c r="A1215" s="241" t="s">
        <v>550</v>
      </c>
      <c r="B1215" s="1082" t="s">
        <v>563</v>
      </c>
      <c r="C1215" s="1082"/>
      <c r="D1215" s="1082"/>
      <c r="E1215" s="680">
        <f>+P782</f>
        <v>18.47</v>
      </c>
      <c r="F1215" s="639" t="s">
        <v>6</v>
      </c>
      <c r="G1215" s="716">
        <v>905</v>
      </c>
      <c r="H1215" s="655" t="s">
        <v>675</v>
      </c>
      <c r="I1215" s="665">
        <f t="shared" si="43"/>
        <v>1.01</v>
      </c>
      <c r="J1215" s="665">
        <f t="shared" si="43"/>
        <v>0.9907407407407407</v>
      </c>
      <c r="K1215" s="453">
        <f t="shared" si="42"/>
        <v>16726.184023148147</v>
      </c>
      <c r="L1215" s="243" t="s">
        <v>10</v>
      </c>
      <c r="M1215" s="173"/>
      <c r="N1215" s="68"/>
      <c r="O1215" s="203"/>
      <c r="P1215" s="218"/>
      <c r="Q1215" s="68"/>
      <c r="T1215" s="217"/>
    </row>
    <row r="1216" spans="1:24" ht="30" customHeight="1" x14ac:dyDescent="0.35">
      <c r="A1216" s="241">
        <v>93410</v>
      </c>
      <c r="B1216" s="1082" t="s">
        <v>813</v>
      </c>
      <c r="C1216" s="1082"/>
      <c r="D1216" s="1082"/>
      <c r="E1216" s="645">
        <f>+P792</f>
        <v>1.1000000000000001</v>
      </c>
      <c r="F1216" s="639" t="s">
        <v>3</v>
      </c>
      <c r="G1216" s="716">
        <v>1913</v>
      </c>
      <c r="H1216" s="655" t="s">
        <v>676</v>
      </c>
      <c r="I1216" s="721">
        <f>+R792</f>
        <v>0.9432470865927236</v>
      </c>
      <c r="J1216" s="446"/>
      <c r="K1216" s="453">
        <f>+E1216*G1216*I1216</f>
        <v>1984.8748443170684</v>
      </c>
      <c r="L1216" s="243" t="s">
        <v>10</v>
      </c>
      <c r="M1216" s="173"/>
      <c r="N1216" s="68"/>
      <c r="O1216" s="203"/>
      <c r="P1216" s="218"/>
      <c r="Q1216" s="68"/>
      <c r="T1216" s="217"/>
    </row>
    <row r="1217" spans="1:24" ht="30" customHeight="1" x14ac:dyDescent="0.35">
      <c r="A1217" s="241">
        <v>93410</v>
      </c>
      <c r="B1217" s="1082" t="s">
        <v>814</v>
      </c>
      <c r="C1217" s="1082"/>
      <c r="D1217" s="1082"/>
      <c r="E1217" s="680">
        <f>+P791</f>
        <v>8.5</v>
      </c>
      <c r="F1217" s="639" t="s">
        <v>283</v>
      </c>
      <c r="G1217" s="716">
        <v>1046</v>
      </c>
      <c r="H1217" s="655" t="s">
        <v>679</v>
      </c>
      <c r="I1217" s="721">
        <f>+R791</f>
        <v>0.9432470865927236</v>
      </c>
      <c r="J1217" s="446"/>
      <c r="K1217" s="453">
        <f>+E1217*G1217*I1217</f>
        <v>8386.4098468959055</v>
      </c>
      <c r="L1217" s="243" t="s">
        <v>10</v>
      </c>
      <c r="M1217" s="173"/>
      <c r="N1217" s="68"/>
      <c r="O1217" s="203"/>
      <c r="P1217" s="218"/>
      <c r="Q1217" s="68"/>
      <c r="T1217" s="217"/>
    </row>
    <row r="1218" spans="1:24" ht="30" customHeight="1" x14ac:dyDescent="0.35">
      <c r="A1218" s="241">
        <v>93210</v>
      </c>
      <c r="B1218" s="1082" t="s">
        <v>815</v>
      </c>
      <c r="C1218" s="1082"/>
      <c r="D1218" s="1082"/>
      <c r="E1218" s="680">
        <f>+P793</f>
        <v>47.6</v>
      </c>
      <c r="F1218" s="639" t="s">
        <v>283</v>
      </c>
      <c r="G1218" s="716">
        <v>628</v>
      </c>
      <c r="H1218" s="655" t="s">
        <v>679</v>
      </c>
      <c r="I1218" s="721">
        <f>+R793</f>
        <v>0.9432470865927236</v>
      </c>
      <c r="J1218" s="446"/>
      <c r="K1218" s="453">
        <f>+E1218*G1218*I1218</f>
        <v>28196.296510098968</v>
      </c>
      <c r="L1218" s="243" t="s">
        <v>10</v>
      </c>
      <c r="M1218" s="173"/>
      <c r="N1218" s="68"/>
      <c r="O1218" s="203"/>
      <c r="P1218" s="218"/>
      <c r="Q1218" s="68"/>
      <c r="T1218" s="217"/>
    </row>
    <row r="1219" spans="1:24" ht="30" customHeight="1" x14ac:dyDescent="0.35">
      <c r="A1219" s="241" t="s">
        <v>565</v>
      </c>
      <c r="B1219" s="1082" t="s">
        <v>799</v>
      </c>
      <c r="C1219" s="1082"/>
      <c r="D1219" s="1082"/>
      <c r="E1219" s="645">
        <f>+P768</f>
        <v>19.25</v>
      </c>
      <c r="F1219" s="639" t="s">
        <v>8</v>
      </c>
      <c r="G1219" s="716">
        <v>800</v>
      </c>
      <c r="H1219" s="655" t="s">
        <v>671</v>
      </c>
      <c r="I1219" s="665">
        <f>+R768</f>
        <v>1.03</v>
      </c>
      <c r="J1219" s="665">
        <f>+S768</f>
        <v>0.97222222222222221</v>
      </c>
      <c r="K1219" s="453">
        <f>+E1219*G1219*I1219*J1219</f>
        <v>15421.388888888889</v>
      </c>
      <c r="L1219" s="243" t="s">
        <v>10</v>
      </c>
      <c r="M1219" s="173"/>
      <c r="N1219" s="68"/>
      <c r="O1219" s="203"/>
      <c r="P1219" s="218"/>
      <c r="Q1219" s="68"/>
      <c r="T1219" s="217"/>
    </row>
    <row r="1220" spans="1:24" ht="30" customHeight="1" x14ac:dyDescent="0.35">
      <c r="A1220" s="241" t="s">
        <v>493</v>
      </c>
      <c r="B1220" s="1082" t="s">
        <v>816</v>
      </c>
      <c r="C1220" s="1082"/>
      <c r="D1220" s="1082"/>
      <c r="E1220" s="645">
        <f>+P770</f>
        <v>9.6300000000000008</v>
      </c>
      <c r="F1220" s="639" t="s">
        <v>8</v>
      </c>
      <c r="G1220" s="716">
        <f>2*144</f>
        <v>288</v>
      </c>
      <c r="H1220" s="655" t="s">
        <v>671</v>
      </c>
      <c r="I1220" s="446">
        <f>+R770</f>
        <v>1.02</v>
      </c>
      <c r="J1220" s="665">
        <f>+S770</f>
        <v>0.9907407407407407</v>
      </c>
      <c r="K1220" s="453">
        <f>+E1220*G1220*I1220*J1220</f>
        <v>2802.7152000000001</v>
      </c>
      <c r="L1220" s="243" t="s">
        <v>10</v>
      </c>
      <c r="M1220" s="173"/>
      <c r="N1220" s="68"/>
      <c r="O1220" s="203"/>
      <c r="P1220" s="218"/>
      <c r="Q1220" s="68"/>
      <c r="T1220" s="217"/>
    </row>
    <row r="1221" spans="1:24" ht="30" customHeight="1" x14ac:dyDescent="0.35">
      <c r="A1221" s="241"/>
      <c r="B1221" s="1168" t="s">
        <v>2845</v>
      </c>
      <c r="C1221" s="1168"/>
      <c r="D1221" s="1168"/>
      <c r="E1221" s="453"/>
      <c r="F1221" s="446"/>
      <c r="G1221" s="519"/>
      <c r="H1221" s="508"/>
      <c r="I1221" s="446"/>
      <c r="J1221" s="446" t="s">
        <v>362</v>
      </c>
      <c r="K1221" s="453">
        <f>SUM(K1208:K1220)</f>
        <v>102082.85701149712</v>
      </c>
      <c r="L1221" s="243" t="s">
        <v>10</v>
      </c>
      <c r="M1221" s="173"/>
      <c r="N1221" s="68"/>
      <c r="O1221" s="203"/>
      <c r="P1221" s="218"/>
      <c r="Q1221" s="68"/>
      <c r="T1221" s="217"/>
    </row>
    <row r="1222" spans="1:24" ht="30" customHeight="1" x14ac:dyDescent="0.35">
      <c r="A1222" s="1183" t="s">
        <v>2804</v>
      </c>
      <c r="B1222" s="1207"/>
      <c r="C1222" s="1207"/>
      <c r="D1222" s="1207"/>
      <c r="E1222" s="579"/>
      <c r="F1222" s="458"/>
      <c r="G1222" s="592" t="s">
        <v>2358</v>
      </c>
      <c r="H1222" s="458"/>
      <c r="I1222" s="458"/>
      <c r="J1222" s="583">
        <f>VLOOKUP(B1205,'Mil Cost Premiums for PUCs'!$A$4:$R$272,18,FALSE)</f>
        <v>1.0485669999999998</v>
      </c>
      <c r="K1222" s="591">
        <f>+K1221*J1222</f>
        <v>107040.71512797449</v>
      </c>
      <c r="L1222" s="243" t="s">
        <v>10</v>
      </c>
      <c r="M1222" s="173"/>
      <c r="N1222" s="68"/>
      <c r="O1222" s="203"/>
      <c r="P1222" s="218"/>
      <c r="Q1222" s="68"/>
      <c r="T1222" s="217"/>
    </row>
    <row r="1223" spans="1:24" ht="30" customHeight="1" thickBot="1" x14ac:dyDescent="0.4">
      <c r="A1223" s="1183"/>
      <c r="B1223" s="1207"/>
      <c r="C1223" s="1207"/>
      <c r="D1223" s="1207"/>
      <c r="E1223" s="1390"/>
      <c r="F1223" s="1390"/>
      <c r="G1223" s="1390"/>
      <c r="H1223" s="1390"/>
      <c r="I1223" s="1390"/>
      <c r="J1223" s="1390"/>
      <c r="K1223" s="1390"/>
      <c r="L1223" s="1391"/>
      <c r="M1223" s="173"/>
      <c r="N1223" s="68"/>
      <c r="O1223" s="203"/>
      <c r="P1223" s="218"/>
      <c r="Q1223" s="68"/>
      <c r="T1223" s="217"/>
    </row>
    <row r="1224" spans="1:24" ht="30" customHeight="1" thickBot="1" x14ac:dyDescent="0.4">
      <c r="A1224" s="1086"/>
      <c r="B1224" s="1086"/>
      <c r="C1224" s="1086"/>
      <c r="D1224" s="1086"/>
      <c r="E1224" s="1086"/>
      <c r="F1224" s="1086"/>
      <c r="G1224" s="1086"/>
      <c r="H1224" s="1086"/>
      <c r="I1224" s="1086"/>
      <c r="J1224" s="1086"/>
      <c r="K1224" s="1086"/>
      <c r="L1224" s="1103"/>
      <c r="M1224" s="173"/>
      <c r="N1224" s="68"/>
      <c r="O1224" s="203"/>
      <c r="P1224" s="218"/>
      <c r="Q1224" s="68"/>
      <c r="T1224" s="217"/>
    </row>
    <row r="1225" spans="1:24" ht="30" customHeight="1" x14ac:dyDescent="0.35">
      <c r="A1225" s="465" t="s">
        <v>278</v>
      </c>
      <c r="B1225" s="539">
        <v>1791</v>
      </c>
      <c r="C1225" s="1017" t="s">
        <v>817</v>
      </c>
      <c r="D1225" s="1017"/>
      <c r="E1225" s="541" t="s">
        <v>280</v>
      </c>
      <c r="F1225" s="542" t="s">
        <v>10</v>
      </c>
      <c r="G1225" s="553" t="s">
        <v>818</v>
      </c>
      <c r="H1225" s="587">
        <v>1</v>
      </c>
      <c r="I1225" s="541" t="s">
        <v>281</v>
      </c>
      <c r="J1225" s="1019" t="s">
        <v>2843</v>
      </c>
      <c r="K1225" s="1019"/>
      <c r="L1225" s="1020"/>
      <c r="M1225" s="173"/>
      <c r="N1225" s="68"/>
      <c r="O1225" s="203"/>
      <c r="P1225" s="218"/>
      <c r="Q1225" s="68"/>
      <c r="T1225" s="217"/>
      <c r="U1225" s="208"/>
      <c r="V1225" s="208"/>
      <c r="W1225" s="208"/>
      <c r="X1225" s="208"/>
    </row>
    <row r="1226" spans="1:24" s="208" customFormat="1" ht="30" customHeight="1" x14ac:dyDescent="0.35">
      <c r="A1226" s="545" t="s">
        <v>541</v>
      </c>
      <c r="B1226" s="1038" t="s">
        <v>321</v>
      </c>
      <c r="C1226" s="1038"/>
      <c r="D1226" s="1038"/>
      <c r="E1226" s="23" t="s">
        <v>290</v>
      </c>
      <c r="F1226" s="23" t="s">
        <v>322</v>
      </c>
      <c r="G1226" s="1034" t="s">
        <v>323</v>
      </c>
      <c r="H1226" s="1034"/>
      <c r="I1226" s="509" t="s">
        <v>299</v>
      </c>
      <c r="J1226" s="201" t="s">
        <v>302</v>
      </c>
      <c r="K1226" s="1012" t="s">
        <v>292</v>
      </c>
      <c r="L1226" s="1023"/>
      <c r="M1226" s="173"/>
      <c r="N1226" s="68"/>
      <c r="O1226" s="203"/>
      <c r="P1226" s="218"/>
      <c r="Q1226" s="68"/>
      <c r="R1226" s="203"/>
      <c r="S1226" s="203"/>
      <c r="T1226" s="217"/>
      <c r="U1226" s="203"/>
      <c r="V1226" s="203"/>
      <c r="W1226" s="203"/>
      <c r="X1226" s="203"/>
    </row>
    <row r="1227" spans="1:24" ht="30" customHeight="1" x14ac:dyDescent="0.35">
      <c r="A1227" s="545"/>
      <c r="B1227" s="1031" t="s">
        <v>819</v>
      </c>
      <c r="C1227" s="1031"/>
      <c r="D1227" s="1031"/>
      <c r="E1227" s="23"/>
      <c r="F1227" s="23"/>
      <c r="G1227" s="486"/>
      <c r="H1227" s="487"/>
      <c r="I1227" s="647"/>
      <c r="J1227" s="647"/>
      <c r="K1227" s="23"/>
      <c r="L1227" s="715"/>
      <c r="M1227" s="173"/>
      <c r="N1227" s="68"/>
      <c r="O1227" s="208"/>
      <c r="P1227" s="218"/>
      <c r="Q1227" s="68"/>
      <c r="R1227" s="208"/>
      <c r="S1227" s="208"/>
      <c r="T1227" s="217"/>
    </row>
    <row r="1228" spans="1:24" ht="30" customHeight="1" x14ac:dyDescent="0.35">
      <c r="A1228" s="241" t="s">
        <v>493</v>
      </c>
      <c r="B1228" s="1082" t="s">
        <v>820</v>
      </c>
      <c r="C1228" s="1082"/>
      <c r="D1228" s="1082"/>
      <c r="E1228" s="680">
        <f>+P770</f>
        <v>9.6300000000000008</v>
      </c>
      <c r="F1228" s="446" t="s">
        <v>8</v>
      </c>
      <c r="G1228" s="716">
        <f>8*62</f>
        <v>496</v>
      </c>
      <c r="H1228" s="655" t="s">
        <v>671</v>
      </c>
      <c r="I1228" s="665">
        <f>+R770</f>
        <v>1.02</v>
      </c>
      <c r="J1228" s="665">
        <f>+S770</f>
        <v>0.9907407407407407</v>
      </c>
      <c r="K1228" s="453">
        <f t="shared" ref="K1228:K1235" si="44">+E1228*G1228*I1228*J1228</f>
        <v>4826.8984</v>
      </c>
      <c r="L1228" s="243" t="s">
        <v>10</v>
      </c>
      <c r="M1228" s="173"/>
      <c r="N1228" s="68"/>
      <c r="O1228" s="203"/>
      <c r="P1228" s="218"/>
      <c r="Q1228" s="68"/>
      <c r="T1228" s="217"/>
    </row>
    <row r="1229" spans="1:24" ht="30" customHeight="1" x14ac:dyDescent="0.35">
      <c r="A1229" s="241" t="s">
        <v>544</v>
      </c>
      <c r="B1229" s="1082" t="s">
        <v>545</v>
      </c>
      <c r="C1229" s="1082"/>
      <c r="D1229" s="1082"/>
      <c r="E1229" s="680">
        <f>+P776</f>
        <v>475.5</v>
      </c>
      <c r="F1229" s="639" t="s">
        <v>10</v>
      </c>
      <c r="G1229" s="716">
        <v>8</v>
      </c>
      <c r="H1229" s="655" t="s">
        <v>672</v>
      </c>
      <c r="I1229" s="665">
        <f>+R776</f>
        <v>1.01</v>
      </c>
      <c r="J1229" s="665">
        <f>+S776</f>
        <v>0.9907407407407407</v>
      </c>
      <c r="K1229" s="453">
        <f t="shared" si="44"/>
        <v>3806.4655555555555</v>
      </c>
      <c r="L1229" s="243" t="s">
        <v>10</v>
      </c>
      <c r="M1229" s="173"/>
      <c r="N1229" s="68"/>
      <c r="O1229" s="203"/>
      <c r="P1229" s="218"/>
      <c r="Q1229" s="68"/>
      <c r="T1229" s="217"/>
    </row>
    <row r="1230" spans="1:24" ht="30" customHeight="1" x14ac:dyDescent="0.35">
      <c r="A1230" s="241" t="s">
        <v>544</v>
      </c>
      <c r="B1230" s="1082" t="s">
        <v>547</v>
      </c>
      <c r="C1230" s="1082"/>
      <c r="D1230" s="1082"/>
      <c r="E1230" s="680">
        <f>+P778</f>
        <v>341</v>
      </c>
      <c r="F1230" s="639" t="s">
        <v>10</v>
      </c>
      <c r="G1230" s="716">
        <v>8</v>
      </c>
      <c r="H1230" s="655" t="s">
        <v>672</v>
      </c>
      <c r="I1230" s="665">
        <f>+R778</f>
        <v>1.01</v>
      </c>
      <c r="J1230" s="665">
        <f>+S778</f>
        <v>0.9907407407407407</v>
      </c>
      <c r="K1230" s="453">
        <f t="shared" si="44"/>
        <v>2729.7681481481482</v>
      </c>
      <c r="L1230" s="243" t="s">
        <v>10</v>
      </c>
      <c r="M1230" s="173"/>
      <c r="N1230" s="68"/>
      <c r="O1230" s="203"/>
      <c r="P1230" s="218"/>
      <c r="Q1230" s="68"/>
      <c r="T1230" s="217"/>
    </row>
    <row r="1231" spans="1:24" ht="30" customHeight="1" x14ac:dyDescent="0.35">
      <c r="A1231" s="241" t="s">
        <v>493</v>
      </c>
      <c r="B1231" s="1082" t="s">
        <v>821</v>
      </c>
      <c r="C1231" s="1082"/>
      <c r="D1231" s="1082"/>
      <c r="E1231" s="680">
        <f>+P773</f>
        <v>11.77</v>
      </c>
      <c r="F1231" s="446" t="s">
        <v>8</v>
      </c>
      <c r="G1231" s="716">
        <f>8*468</f>
        <v>3744</v>
      </c>
      <c r="H1231" s="655" t="s">
        <v>671</v>
      </c>
      <c r="I1231" s="665">
        <f>+R773</f>
        <v>1.02</v>
      </c>
      <c r="J1231" s="665">
        <f>+S773</f>
        <v>0.9907407407407407</v>
      </c>
      <c r="K1231" s="453">
        <f t="shared" si="44"/>
        <v>44532.030399999996</v>
      </c>
      <c r="L1231" s="243" t="s">
        <v>10</v>
      </c>
      <c r="M1231" s="173"/>
      <c r="N1231" s="68"/>
      <c r="O1231" s="203"/>
      <c r="P1231" s="218"/>
      <c r="Q1231" s="68"/>
      <c r="T1231" s="217"/>
    </row>
    <row r="1232" spans="1:24" ht="30" customHeight="1" x14ac:dyDescent="0.35">
      <c r="A1232" s="241" t="s">
        <v>544</v>
      </c>
      <c r="B1232" s="1082" t="s">
        <v>574</v>
      </c>
      <c r="C1232" s="1082"/>
      <c r="D1232" s="1082"/>
      <c r="E1232" s="680">
        <f>+P777</f>
        <v>862.5</v>
      </c>
      <c r="F1232" s="639" t="s">
        <v>10</v>
      </c>
      <c r="G1232" s="716">
        <v>8</v>
      </c>
      <c r="H1232" s="655" t="s">
        <v>672</v>
      </c>
      <c r="I1232" s="665">
        <f>+R777</f>
        <v>1.01</v>
      </c>
      <c r="J1232" s="665">
        <f>+S777</f>
        <v>0.9907407407407407</v>
      </c>
      <c r="K1232" s="453">
        <f t="shared" si="44"/>
        <v>6904.4722222222217</v>
      </c>
      <c r="L1232" s="243" t="s">
        <v>10</v>
      </c>
      <c r="M1232" s="173"/>
      <c r="N1232" s="68"/>
      <c r="O1232" s="203"/>
      <c r="P1232" s="218"/>
      <c r="Q1232" s="68"/>
      <c r="T1232" s="217"/>
    </row>
    <row r="1233" spans="1:24" ht="30" customHeight="1" x14ac:dyDescent="0.35">
      <c r="A1233" s="241" t="s">
        <v>544</v>
      </c>
      <c r="B1233" s="1082" t="s">
        <v>618</v>
      </c>
      <c r="C1233" s="1082"/>
      <c r="D1233" s="1082"/>
      <c r="E1233" s="680">
        <f>+P780</f>
        <v>1060</v>
      </c>
      <c r="F1233" s="639" t="s">
        <v>10</v>
      </c>
      <c r="G1233" s="716">
        <v>8</v>
      </c>
      <c r="H1233" s="655" t="s">
        <v>672</v>
      </c>
      <c r="I1233" s="665">
        <f t="shared" ref="I1233:J1235" si="45">+R780</f>
        <v>1.01</v>
      </c>
      <c r="J1233" s="665">
        <f t="shared" si="45"/>
        <v>0.9907407407407407</v>
      </c>
      <c r="K1233" s="453">
        <f t="shared" si="44"/>
        <v>8485.4962962962945</v>
      </c>
      <c r="L1233" s="243" t="s">
        <v>10</v>
      </c>
      <c r="M1233" s="173"/>
      <c r="N1233" s="68"/>
      <c r="O1233" s="203"/>
      <c r="P1233" s="218"/>
      <c r="Q1233" s="68"/>
      <c r="T1233" s="217"/>
    </row>
    <row r="1234" spans="1:24" ht="30" customHeight="1" x14ac:dyDescent="0.35">
      <c r="A1234" s="241" t="s">
        <v>548</v>
      </c>
      <c r="B1234" s="1059" t="s">
        <v>689</v>
      </c>
      <c r="C1234" s="1059"/>
      <c r="D1234" s="1059"/>
      <c r="E1234" s="680">
        <f>+P781</f>
        <v>148.79</v>
      </c>
      <c r="F1234" s="639" t="s">
        <v>10</v>
      </c>
      <c r="G1234" s="716">
        <v>72</v>
      </c>
      <c r="H1234" s="655" t="s">
        <v>672</v>
      </c>
      <c r="I1234" s="665">
        <f t="shared" si="45"/>
        <v>1.01</v>
      </c>
      <c r="J1234" s="665">
        <f t="shared" si="45"/>
        <v>0.9907407407407407</v>
      </c>
      <c r="K1234" s="453">
        <f t="shared" si="44"/>
        <v>10719.823533333332</v>
      </c>
      <c r="L1234" s="243" t="s">
        <v>10</v>
      </c>
      <c r="M1234" s="173"/>
      <c r="N1234" s="68"/>
      <c r="O1234" s="203"/>
      <c r="P1234" s="218"/>
      <c r="Q1234" s="68"/>
      <c r="T1234" s="217"/>
    </row>
    <row r="1235" spans="1:24" ht="30" customHeight="1" x14ac:dyDescent="0.35">
      <c r="A1235" s="241" t="s">
        <v>550</v>
      </c>
      <c r="B1235" s="1082" t="s">
        <v>563</v>
      </c>
      <c r="C1235" s="1082"/>
      <c r="D1235" s="1082"/>
      <c r="E1235" s="680">
        <f>+P782</f>
        <v>18.47</v>
      </c>
      <c r="F1235" s="639" t="s">
        <v>6</v>
      </c>
      <c r="G1235" s="716">
        <v>4248</v>
      </c>
      <c r="H1235" s="655" t="s">
        <v>675</v>
      </c>
      <c r="I1235" s="665">
        <f t="shared" si="45"/>
        <v>1.01</v>
      </c>
      <c r="J1235" s="665">
        <f t="shared" si="45"/>
        <v>0.9907407407407407</v>
      </c>
      <c r="K1235" s="453">
        <f t="shared" si="44"/>
        <v>78511.41406666665</v>
      </c>
      <c r="L1235" s="243" t="s">
        <v>10</v>
      </c>
      <c r="M1235" s="173"/>
      <c r="N1235" s="68"/>
      <c r="O1235" s="203"/>
      <c r="P1235" s="218"/>
      <c r="Q1235" s="68"/>
      <c r="T1235" s="217"/>
    </row>
    <row r="1236" spans="1:24" ht="30" customHeight="1" x14ac:dyDescent="0.35">
      <c r="A1236" s="241">
        <v>93410</v>
      </c>
      <c r="B1236" s="1082" t="s">
        <v>822</v>
      </c>
      <c r="C1236" s="1082"/>
      <c r="D1236" s="1082"/>
      <c r="E1236" s="645">
        <f>+P792</f>
        <v>1.1000000000000001</v>
      </c>
      <c r="F1236" s="639" t="s">
        <v>3</v>
      </c>
      <c r="G1236" s="716">
        <v>1913</v>
      </c>
      <c r="H1236" s="655" t="s">
        <v>676</v>
      </c>
      <c r="I1236" s="731">
        <f>+R792</f>
        <v>0.9432470865927236</v>
      </c>
      <c r="J1236" s="446"/>
      <c r="K1236" s="453">
        <f>+E1236*G1236*I1236</f>
        <v>1984.8748443170684</v>
      </c>
      <c r="L1236" s="243" t="s">
        <v>10</v>
      </c>
      <c r="M1236" s="173"/>
      <c r="N1236" s="68"/>
      <c r="O1236" s="203"/>
      <c r="P1236" s="218"/>
      <c r="Q1236" s="68"/>
      <c r="T1236" s="217"/>
    </row>
    <row r="1237" spans="1:24" ht="30" customHeight="1" x14ac:dyDescent="0.35">
      <c r="A1237" s="241">
        <v>85110</v>
      </c>
      <c r="B1237" s="1082" t="s">
        <v>823</v>
      </c>
      <c r="C1237" s="1082"/>
      <c r="D1237" s="1082"/>
      <c r="E1237" s="645">
        <f>+P790</f>
        <v>60</v>
      </c>
      <c r="F1237" s="639" t="s">
        <v>3</v>
      </c>
      <c r="G1237" s="716">
        <f>40*40/9</f>
        <v>177.77777777777777</v>
      </c>
      <c r="H1237" s="655" t="s">
        <v>676</v>
      </c>
      <c r="I1237" s="731">
        <f>+R790</f>
        <v>0.9432470865927236</v>
      </c>
      <c r="J1237" s="171"/>
      <c r="K1237" s="453">
        <f>+E1237*G1237*I1237</f>
        <v>10061.302256989051</v>
      </c>
      <c r="L1237" s="243" t="s">
        <v>10</v>
      </c>
      <c r="M1237" s="173"/>
      <c r="N1237" s="68"/>
      <c r="O1237" s="203"/>
      <c r="P1237" s="218"/>
      <c r="Q1237" s="68"/>
      <c r="T1237" s="217"/>
    </row>
    <row r="1238" spans="1:24" ht="30" customHeight="1" x14ac:dyDescent="0.35">
      <c r="A1238" s="1183" t="s">
        <v>2804</v>
      </c>
      <c r="B1238" s="1184"/>
      <c r="C1238" s="1184"/>
      <c r="D1238" s="1184"/>
      <c r="E1238" s="453"/>
      <c r="F1238" s="446"/>
      <c r="G1238" s="519"/>
      <c r="H1238" s="508"/>
      <c r="I1238" s="446"/>
      <c r="J1238" s="446" t="s">
        <v>362</v>
      </c>
      <c r="K1238" s="453">
        <f>SUM(K1227:K1237)</f>
        <v>172562.54572352831</v>
      </c>
      <c r="L1238" s="243" t="s">
        <v>10</v>
      </c>
      <c r="M1238" s="173"/>
      <c r="N1238" s="68"/>
      <c r="O1238" s="203"/>
      <c r="P1238" s="218"/>
      <c r="Q1238" s="68"/>
      <c r="T1238" s="217"/>
    </row>
    <row r="1239" spans="1:24" ht="30" customHeight="1" thickBot="1" x14ac:dyDescent="0.4">
      <c r="A1239" s="1183"/>
      <c r="B1239" s="1184"/>
      <c r="C1239" s="1184"/>
      <c r="D1239" s="1184"/>
      <c r="E1239" s="458"/>
      <c r="F1239" s="458"/>
      <c r="G1239" s="592" t="s">
        <v>2358</v>
      </c>
      <c r="H1239" s="458"/>
      <c r="I1239" s="458"/>
      <c r="J1239" s="583">
        <f>VLOOKUP(B1225,'Mil Cost Premiums for PUCs'!$A$4:$R$272,18,FALSE)</f>
        <v>1.0485669999999998</v>
      </c>
      <c r="K1239" s="591">
        <f>+K1238*J1239</f>
        <v>180943.39088168286</v>
      </c>
      <c r="L1239" s="243" t="s">
        <v>10</v>
      </c>
      <c r="M1239" s="173"/>
      <c r="N1239" s="68"/>
      <c r="O1239" s="203"/>
      <c r="P1239" s="218"/>
      <c r="Q1239" s="68"/>
      <c r="T1239" s="217"/>
    </row>
    <row r="1240" spans="1:24" ht="30" customHeight="1" thickBot="1" x14ac:dyDescent="0.4">
      <c r="A1240" s="1086"/>
      <c r="B1240" s="1086"/>
      <c r="C1240" s="1086"/>
      <c r="D1240" s="1086"/>
      <c r="E1240" s="1086"/>
      <c r="F1240" s="1086"/>
      <c r="G1240" s="1086"/>
      <c r="H1240" s="1086"/>
      <c r="I1240" s="1086"/>
      <c r="J1240" s="1086"/>
      <c r="K1240" s="1086"/>
      <c r="L1240" s="1103"/>
      <c r="M1240" s="173"/>
      <c r="N1240" s="68"/>
      <c r="O1240" s="203"/>
      <c r="P1240" s="218"/>
      <c r="Q1240" s="68"/>
      <c r="T1240" s="217"/>
    </row>
    <row r="1241" spans="1:24" ht="30" customHeight="1" x14ac:dyDescent="0.35">
      <c r="A1241" s="465" t="s">
        <v>278</v>
      </c>
      <c r="B1241" s="539">
        <v>1792</v>
      </c>
      <c r="C1241" s="1017" t="s">
        <v>824</v>
      </c>
      <c r="D1241" s="1017"/>
      <c r="E1241" s="541" t="s">
        <v>280</v>
      </c>
      <c r="F1241" s="542" t="s">
        <v>10</v>
      </c>
      <c r="G1241" s="553" t="s">
        <v>825</v>
      </c>
      <c r="H1241" s="587">
        <v>1</v>
      </c>
      <c r="I1241" s="541" t="s">
        <v>281</v>
      </c>
      <c r="J1241" s="1019" t="s">
        <v>2843</v>
      </c>
      <c r="K1241" s="1019"/>
      <c r="L1241" s="1020"/>
      <c r="M1241" s="173"/>
      <c r="N1241" s="68"/>
      <c r="O1241" s="203"/>
      <c r="P1241" s="218"/>
      <c r="Q1241" s="68"/>
      <c r="T1241" s="217"/>
    </row>
    <row r="1242" spans="1:24" ht="30" customHeight="1" x14ac:dyDescent="0.35">
      <c r="A1242" s="545" t="s">
        <v>541</v>
      </c>
      <c r="B1242" s="1038" t="s">
        <v>321</v>
      </c>
      <c r="C1242" s="1038"/>
      <c r="D1242" s="1038"/>
      <c r="E1242" s="23" t="s">
        <v>290</v>
      </c>
      <c r="F1242" s="23" t="s">
        <v>322</v>
      </c>
      <c r="G1242" s="1034" t="s">
        <v>323</v>
      </c>
      <c r="H1242" s="1034"/>
      <c r="I1242" s="509" t="s">
        <v>299</v>
      </c>
      <c r="J1242" s="201" t="s">
        <v>302</v>
      </c>
      <c r="K1242" s="1012" t="s">
        <v>292</v>
      </c>
      <c r="L1242" s="1023"/>
      <c r="M1242" s="173"/>
      <c r="N1242" s="68"/>
      <c r="O1242" s="203"/>
      <c r="P1242" s="218"/>
      <c r="Q1242" s="68"/>
      <c r="T1242" s="217"/>
      <c r="U1242" s="208"/>
      <c r="V1242" s="208"/>
      <c r="W1242" s="208"/>
      <c r="X1242" s="208"/>
    </row>
    <row r="1243" spans="1:24" s="208" customFormat="1" ht="30" customHeight="1" x14ac:dyDescent="0.35">
      <c r="A1243" s="545"/>
      <c r="B1243" s="1031" t="s">
        <v>826</v>
      </c>
      <c r="C1243" s="1031"/>
      <c r="D1243" s="1031"/>
      <c r="E1243" s="23"/>
      <c r="F1243" s="23"/>
      <c r="G1243" s="486"/>
      <c r="H1243" s="487"/>
      <c r="I1243" s="647"/>
      <c r="J1243" s="647"/>
      <c r="K1243" s="23"/>
      <c r="L1243" s="715"/>
      <c r="M1243" s="173"/>
      <c r="N1243" s="68"/>
      <c r="O1243" s="203"/>
      <c r="P1243" s="218"/>
      <c r="Q1243" s="68"/>
      <c r="R1243" s="203"/>
      <c r="S1243" s="203"/>
      <c r="T1243" s="217"/>
      <c r="U1243" s="203"/>
      <c r="V1243" s="203"/>
      <c r="W1243" s="203"/>
      <c r="X1243" s="203"/>
    </row>
    <row r="1244" spans="1:24" ht="30" customHeight="1" x14ac:dyDescent="0.35">
      <c r="A1244" s="241" t="s">
        <v>493</v>
      </c>
      <c r="B1244" s="1082" t="s">
        <v>827</v>
      </c>
      <c r="C1244" s="1082"/>
      <c r="D1244" s="1082"/>
      <c r="E1244" s="680">
        <f>+P770</f>
        <v>9.6300000000000008</v>
      </c>
      <c r="F1244" s="446" t="s">
        <v>8</v>
      </c>
      <c r="G1244" s="716">
        <f>246*62</f>
        <v>15252</v>
      </c>
      <c r="H1244" s="655" t="s">
        <v>671</v>
      </c>
      <c r="I1244" s="665">
        <f>+R770</f>
        <v>1.02</v>
      </c>
      <c r="J1244" s="665">
        <f>+S770</f>
        <v>0.9907407407407407</v>
      </c>
      <c r="K1244" s="453">
        <f t="shared" ref="K1244:K1255" si="46">+E1244*G1244*I1244*J1244</f>
        <v>148427.12580000001</v>
      </c>
      <c r="L1244" s="243" t="s">
        <v>10</v>
      </c>
      <c r="M1244" s="173"/>
      <c r="N1244" s="68"/>
      <c r="O1244" s="208"/>
      <c r="P1244" s="218"/>
      <c r="Q1244" s="68"/>
      <c r="R1244" s="208"/>
      <c r="S1244" s="208"/>
      <c r="T1244" s="217"/>
    </row>
    <row r="1245" spans="1:24" ht="30" customHeight="1" x14ac:dyDescent="0.35">
      <c r="A1245" s="241" t="s">
        <v>544</v>
      </c>
      <c r="B1245" s="1082" t="s">
        <v>828</v>
      </c>
      <c r="C1245" s="1082"/>
      <c r="D1245" s="1082"/>
      <c r="E1245" s="680">
        <f>+P776</f>
        <v>475.5</v>
      </c>
      <c r="F1245" s="639" t="s">
        <v>10</v>
      </c>
      <c r="G1245" s="716">
        <v>246</v>
      </c>
      <c r="H1245" s="655" t="s">
        <v>672</v>
      </c>
      <c r="I1245" s="665">
        <f>+R776</f>
        <v>1.01</v>
      </c>
      <c r="J1245" s="665">
        <f>+S776</f>
        <v>0.9907407407407407</v>
      </c>
      <c r="K1245" s="453">
        <f t="shared" si="46"/>
        <v>117048.81583333333</v>
      </c>
      <c r="L1245" s="243" t="s">
        <v>10</v>
      </c>
      <c r="M1245" s="173"/>
      <c r="N1245" s="68"/>
      <c r="O1245" s="203"/>
      <c r="P1245" s="218"/>
      <c r="Q1245" s="68"/>
      <c r="T1245" s="217"/>
    </row>
    <row r="1246" spans="1:24" ht="30" customHeight="1" x14ac:dyDescent="0.35">
      <c r="A1246" s="241" t="s">
        <v>544</v>
      </c>
      <c r="B1246" s="1082" t="s">
        <v>829</v>
      </c>
      <c r="C1246" s="1082"/>
      <c r="D1246" s="1082"/>
      <c r="E1246" s="680">
        <f>+P778</f>
        <v>341</v>
      </c>
      <c r="F1246" s="639" t="s">
        <v>10</v>
      </c>
      <c r="G1246" s="716">
        <v>246</v>
      </c>
      <c r="H1246" s="655" t="s">
        <v>672</v>
      </c>
      <c r="I1246" s="665">
        <f>+R778</f>
        <v>1.01</v>
      </c>
      <c r="J1246" s="665">
        <f>+S778</f>
        <v>0.9907407407407407</v>
      </c>
      <c r="K1246" s="453">
        <f t="shared" si="46"/>
        <v>83940.37055555555</v>
      </c>
      <c r="L1246" s="243" t="s">
        <v>10</v>
      </c>
      <c r="M1246" s="173"/>
      <c r="N1246" s="68"/>
      <c r="O1246" s="203"/>
      <c r="P1246" s="218"/>
      <c r="Q1246" s="68"/>
      <c r="T1246" s="217"/>
    </row>
    <row r="1247" spans="1:24" ht="30" customHeight="1" x14ac:dyDescent="0.35">
      <c r="A1247" s="241" t="s">
        <v>493</v>
      </c>
      <c r="B1247" s="1059" t="s">
        <v>830</v>
      </c>
      <c r="C1247" s="1059"/>
      <c r="D1247" s="1059"/>
      <c r="E1247" s="680">
        <f>+P773</f>
        <v>11.77</v>
      </c>
      <c r="F1247" s="446" t="s">
        <v>8</v>
      </c>
      <c r="G1247" s="716">
        <f>50*468</f>
        <v>23400</v>
      </c>
      <c r="H1247" s="655" t="s">
        <v>671</v>
      </c>
      <c r="I1247" s="665">
        <f>+R773</f>
        <v>1.02</v>
      </c>
      <c r="J1247" s="665">
        <f>+S773</f>
        <v>0.9907407407407407</v>
      </c>
      <c r="K1247" s="453">
        <f t="shared" si="46"/>
        <v>278325.19</v>
      </c>
      <c r="L1247" s="243" t="s">
        <v>10</v>
      </c>
      <c r="M1247" s="173"/>
      <c r="N1247" s="68"/>
      <c r="O1247" s="203"/>
      <c r="P1247" s="218"/>
      <c r="Q1247" s="68"/>
      <c r="T1247" s="217"/>
    </row>
    <row r="1248" spans="1:24" ht="30" customHeight="1" x14ac:dyDescent="0.35">
      <c r="A1248" s="241" t="s">
        <v>449</v>
      </c>
      <c r="B1248" s="1059" t="s">
        <v>685</v>
      </c>
      <c r="C1248" s="1059"/>
      <c r="D1248" s="1059"/>
      <c r="E1248" s="680">
        <f>+P774</f>
        <v>19</v>
      </c>
      <c r="F1248" s="446" t="s">
        <v>8</v>
      </c>
      <c r="G1248" s="716">
        <f>2152*8</f>
        <v>17216</v>
      </c>
      <c r="H1248" s="655" t="s">
        <v>671</v>
      </c>
      <c r="I1248" s="665">
        <f>+R774</f>
        <v>1.05</v>
      </c>
      <c r="J1248" s="665">
        <f>+S774</f>
        <v>0.9907407407407407</v>
      </c>
      <c r="K1248" s="453">
        <f t="shared" si="46"/>
        <v>340279.02222222224</v>
      </c>
      <c r="L1248" s="243" t="s">
        <v>10</v>
      </c>
      <c r="M1248" s="173"/>
      <c r="N1248" s="68"/>
      <c r="O1248" s="203"/>
      <c r="P1248" s="218"/>
      <c r="Q1248" s="68"/>
      <c r="T1248" s="217"/>
    </row>
    <row r="1249" spans="1:24" ht="30" customHeight="1" x14ac:dyDescent="0.35">
      <c r="A1249" s="241" t="s">
        <v>449</v>
      </c>
      <c r="B1249" s="1059" t="s">
        <v>701</v>
      </c>
      <c r="C1249" s="1059"/>
      <c r="D1249" s="1059"/>
      <c r="E1249" s="680">
        <f>+P774</f>
        <v>19</v>
      </c>
      <c r="F1249" s="446" t="s">
        <v>8</v>
      </c>
      <c r="G1249" s="716">
        <f>80.7*35</f>
        <v>2824.5</v>
      </c>
      <c r="H1249" s="655" t="s">
        <v>671</v>
      </c>
      <c r="I1249" s="665">
        <f>+R774</f>
        <v>1.05</v>
      </c>
      <c r="J1249" s="665">
        <f>+S774</f>
        <v>0.9907407407407407</v>
      </c>
      <c r="K1249" s="453">
        <f t="shared" si="46"/>
        <v>55827.027083333334</v>
      </c>
      <c r="L1249" s="243" t="s">
        <v>10</v>
      </c>
      <c r="M1249" s="173"/>
      <c r="N1249" s="68"/>
      <c r="O1249" s="203"/>
      <c r="P1249" s="218"/>
      <c r="Q1249" s="68"/>
      <c r="T1249" s="217"/>
    </row>
    <row r="1250" spans="1:24" ht="30" customHeight="1" x14ac:dyDescent="0.35">
      <c r="A1250" s="241" t="s">
        <v>544</v>
      </c>
      <c r="B1250" s="1059" t="s">
        <v>831</v>
      </c>
      <c r="C1250" s="1059"/>
      <c r="D1250" s="1059"/>
      <c r="E1250" s="680">
        <f>+P777</f>
        <v>862.5</v>
      </c>
      <c r="F1250" s="639" t="s">
        <v>10</v>
      </c>
      <c r="G1250" s="716">
        <v>93</v>
      </c>
      <c r="H1250" s="655" t="s">
        <v>672</v>
      </c>
      <c r="I1250" s="665">
        <f>+R777</f>
        <v>1.01</v>
      </c>
      <c r="J1250" s="665">
        <f>+S777</f>
        <v>0.9907407407407407</v>
      </c>
      <c r="K1250" s="453">
        <f t="shared" si="46"/>
        <v>80264.489583333328</v>
      </c>
      <c r="L1250" s="243" t="s">
        <v>10</v>
      </c>
      <c r="M1250" s="173"/>
      <c r="N1250" s="68"/>
      <c r="O1250" s="203"/>
      <c r="P1250" s="218"/>
      <c r="Q1250" s="68"/>
      <c r="T1250" s="217"/>
    </row>
    <row r="1251" spans="1:24" ht="30" customHeight="1" x14ac:dyDescent="0.35">
      <c r="A1251" s="241" t="s">
        <v>436</v>
      </c>
      <c r="B1251" s="1059" t="s">
        <v>832</v>
      </c>
      <c r="C1251" s="1059"/>
      <c r="D1251" s="1059"/>
      <c r="E1251" s="680">
        <f>+P784</f>
        <v>18.324999999999999</v>
      </c>
      <c r="F1251" s="639" t="s">
        <v>6</v>
      </c>
      <c r="G1251" s="716">
        <f>+((656*8)+(49*35))</f>
        <v>6963</v>
      </c>
      <c r="H1251" s="655" t="s">
        <v>675</v>
      </c>
      <c r="I1251" s="665">
        <f>+R784</f>
        <v>1.02</v>
      </c>
      <c r="J1251" s="665">
        <f>+S784</f>
        <v>0.9907407407407407</v>
      </c>
      <c r="K1251" s="453">
        <f t="shared" si="46"/>
        <v>128943.83195833332</v>
      </c>
      <c r="L1251" s="243" t="s">
        <v>10</v>
      </c>
      <c r="M1251" s="173"/>
      <c r="N1251" s="68"/>
      <c r="O1251" s="203"/>
      <c r="P1251" s="218"/>
      <c r="Q1251" s="68"/>
      <c r="T1251" s="217"/>
    </row>
    <row r="1252" spans="1:24" ht="30" customHeight="1" x14ac:dyDescent="0.35">
      <c r="A1252" s="241" t="s">
        <v>436</v>
      </c>
      <c r="B1252" s="1082" t="s">
        <v>688</v>
      </c>
      <c r="C1252" s="1082"/>
      <c r="D1252" s="1082"/>
      <c r="E1252" s="680">
        <f>+P785</f>
        <v>2797.5</v>
      </c>
      <c r="F1252" s="639" t="s">
        <v>10</v>
      </c>
      <c r="G1252" s="716">
        <v>43</v>
      </c>
      <c r="H1252" s="655" t="s">
        <v>672</v>
      </c>
      <c r="I1252" s="665">
        <f>+R785</f>
        <v>1.02</v>
      </c>
      <c r="J1252" s="665">
        <f>+S785</f>
        <v>0.9907407407407407</v>
      </c>
      <c r="K1252" s="453">
        <f t="shared" si="46"/>
        <v>121562.25416666667</v>
      </c>
      <c r="L1252" s="243" t="s">
        <v>10</v>
      </c>
      <c r="M1252" s="173"/>
      <c r="N1252" s="68"/>
      <c r="O1252" s="203"/>
      <c r="P1252" s="218"/>
      <c r="Q1252" s="68"/>
      <c r="T1252" s="217"/>
    </row>
    <row r="1253" spans="1:24" ht="30" customHeight="1" x14ac:dyDescent="0.35">
      <c r="A1253" s="241" t="s">
        <v>544</v>
      </c>
      <c r="B1253" s="1082" t="s">
        <v>618</v>
      </c>
      <c r="C1253" s="1082"/>
      <c r="D1253" s="1082"/>
      <c r="E1253" s="680">
        <f>+P780</f>
        <v>1060</v>
      </c>
      <c r="F1253" s="639" t="s">
        <v>10</v>
      </c>
      <c r="G1253" s="716">
        <v>93</v>
      </c>
      <c r="H1253" s="655" t="s">
        <v>672</v>
      </c>
      <c r="I1253" s="665">
        <f t="shared" ref="I1253:J1255" si="47">+R780</f>
        <v>1.01</v>
      </c>
      <c r="J1253" s="665">
        <f t="shared" si="47"/>
        <v>0.9907407407407407</v>
      </c>
      <c r="K1253" s="453">
        <f t="shared" si="46"/>
        <v>98643.89444444445</v>
      </c>
      <c r="L1253" s="243" t="s">
        <v>10</v>
      </c>
      <c r="M1253" s="173"/>
      <c r="N1253" s="68"/>
      <c r="O1253" s="203"/>
      <c r="P1253" s="218"/>
      <c r="Q1253" s="68"/>
      <c r="T1253" s="217"/>
    </row>
    <row r="1254" spans="1:24" ht="30" customHeight="1" x14ac:dyDescent="0.35">
      <c r="A1254" s="241" t="s">
        <v>548</v>
      </c>
      <c r="B1254" s="1059" t="s">
        <v>689</v>
      </c>
      <c r="C1254" s="1059"/>
      <c r="D1254" s="1059"/>
      <c r="E1254" s="680">
        <f>+P781</f>
        <v>148.79</v>
      </c>
      <c r="F1254" s="639" t="s">
        <v>10</v>
      </c>
      <c r="G1254" s="716">
        <f>(5*50)+(4*(8+246+35))</f>
        <v>1406</v>
      </c>
      <c r="H1254" s="655" t="s">
        <v>672</v>
      </c>
      <c r="I1254" s="665">
        <f t="shared" si="47"/>
        <v>1.01</v>
      </c>
      <c r="J1254" s="665">
        <f t="shared" si="47"/>
        <v>0.9907407407407407</v>
      </c>
      <c r="K1254" s="453">
        <f t="shared" si="46"/>
        <v>209334.33177592591</v>
      </c>
      <c r="L1254" s="243" t="s">
        <v>10</v>
      </c>
      <c r="M1254" s="173"/>
      <c r="N1254" s="68"/>
      <c r="O1254" s="203"/>
      <c r="P1254" s="218"/>
      <c r="Q1254" s="68"/>
      <c r="T1254" s="217"/>
    </row>
    <row r="1255" spans="1:24" ht="30" customHeight="1" x14ac:dyDescent="0.35">
      <c r="A1255" s="241" t="s">
        <v>550</v>
      </c>
      <c r="B1255" s="1082" t="s">
        <v>563</v>
      </c>
      <c r="C1255" s="1082"/>
      <c r="D1255" s="1082"/>
      <c r="E1255" s="680">
        <f>+P782</f>
        <v>18.47</v>
      </c>
      <c r="F1255" s="639" t="s">
        <v>6</v>
      </c>
      <c r="G1255" s="716">
        <v>29527</v>
      </c>
      <c r="H1255" s="655" t="s">
        <v>675</v>
      </c>
      <c r="I1255" s="665">
        <f t="shared" si="47"/>
        <v>1.01</v>
      </c>
      <c r="J1255" s="665">
        <f t="shared" si="47"/>
        <v>0.9907407407407407</v>
      </c>
      <c r="K1255" s="453">
        <f t="shared" si="46"/>
        <v>545717.16646574065</v>
      </c>
      <c r="L1255" s="243" t="s">
        <v>10</v>
      </c>
      <c r="M1255" s="173"/>
      <c r="N1255" s="68"/>
      <c r="O1255" s="203"/>
      <c r="P1255" s="218"/>
      <c r="Q1255" s="68"/>
      <c r="T1255" s="217"/>
    </row>
    <row r="1256" spans="1:24" ht="30" customHeight="1" x14ac:dyDescent="0.35">
      <c r="A1256" s="241">
        <v>93410</v>
      </c>
      <c r="B1256" s="1082" t="s">
        <v>833</v>
      </c>
      <c r="C1256" s="1082"/>
      <c r="D1256" s="1082"/>
      <c r="E1256" s="645">
        <f>+P792</f>
        <v>1.1000000000000001</v>
      </c>
      <c r="F1256" s="639" t="s">
        <v>3</v>
      </c>
      <c r="G1256" s="716">
        <v>10525</v>
      </c>
      <c r="H1256" s="655" t="s">
        <v>676</v>
      </c>
      <c r="I1256" s="731">
        <f>+R792</f>
        <v>0.9432470865927236</v>
      </c>
      <c r="J1256" s="446"/>
      <c r="K1256" s="453">
        <f>+E1256*G1256*I1256</f>
        <v>10920.443145027259</v>
      </c>
      <c r="L1256" s="243" t="s">
        <v>10</v>
      </c>
      <c r="M1256" s="173"/>
      <c r="N1256" s="250"/>
      <c r="O1256" s="203"/>
      <c r="P1256" s="218"/>
      <c r="Q1256" s="68"/>
      <c r="T1256" s="217"/>
    </row>
    <row r="1257" spans="1:24" ht="30" customHeight="1" x14ac:dyDescent="0.35">
      <c r="A1257" s="241">
        <v>93410</v>
      </c>
      <c r="B1257" s="1082" t="s">
        <v>834</v>
      </c>
      <c r="C1257" s="1082"/>
      <c r="D1257" s="1082"/>
      <c r="E1257" s="680">
        <f>+P791</f>
        <v>8.5</v>
      </c>
      <c r="F1257" s="639" t="s">
        <v>283</v>
      </c>
      <c r="G1257" s="716">
        <v>6644</v>
      </c>
      <c r="H1257" s="655" t="s">
        <v>679</v>
      </c>
      <c r="I1257" s="731">
        <f>+R791</f>
        <v>0.9432470865927236</v>
      </c>
      <c r="J1257" s="446"/>
      <c r="K1257" s="453">
        <f>+E1257*G1257*I1257</f>
        <v>53268.935968237471</v>
      </c>
      <c r="L1257" s="243" t="s">
        <v>10</v>
      </c>
      <c r="M1257" s="173"/>
      <c r="N1257" s="68"/>
      <c r="O1257" s="203"/>
      <c r="P1257" s="218"/>
      <c r="Q1257" s="68"/>
      <c r="T1257" s="217"/>
    </row>
    <row r="1258" spans="1:24" ht="30" customHeight="1" x14ac:dyDescent="0.35">
      <c r="A1258" s="241">
        <v>93210</v>
      </c>
      <c r="B1258" s="1082" t="s">
        <v>835</v>
      </c>
      <c r="C1258" s="1082"/>
      <c r="D1258" s="1082"/>
      <c r="E1258" s="680">
        <f>+P793</f>
        <v>47.6</v>
      </c>
      <c r="F1258" s="639" t="s">
        <v>283</v>
      </c>
      <c r="G1258" s="716">
        <v>1569</v>
      </c>
      <c r="H1258" s="655" t="s">
        <v>679</v>
      </c>
      <c r="I1258" s="731">
        <f>+R793</f>
        <v>0.9432470865927236</v>
      </c>
      <c r="J1258" s="446"/>
      <c r="K1258" s="453">
        <f>+E1258*G1258*I1258</f>
        <v>70445.842713925609</v>
      </c>
      <c r="L1258" s="243" t="s">
        <v>10</v>
      </c>
      <c r="M1258" s="173"/>
      <c r="N1258" s="68"/>
      <c r="O1258" s="203"/>
      <c r="P1258" s="218"/>
      <c r="Q1258" s="68"/>
      <c r="T1258" s="217"/>
    </row>
    <row r="1259" spans="1:24" ht="30" customHeight="1" x14ac:dyDescent="0.35">
      <c r="A1259" s="241" t="s">
        <v>565</v>
      </c>
      <c r="B1259" s="1082" t="s">
        <v>836</v>
      </c>
      <c r="C1259" s="1082"/>
      <c r="D1259" s="1082"/>
      <c r="E1259" s="645">
        <f>+P768</f>
        <v>19.25</v>
      </c>
      <c r="F1259" s="639" t="s">
        <v>8</v>
      </c>
      <c r="G1259" s="716">
        <f>20*20*13</f>
        <v>5200</v>
      </c>
      <c r="H1259" s="655" t="s">
        <v>671</v>
      </c>
      <c r="I1259" s="704">
        <f>+R768</f>
        <v>1.03</v>
      </c>
      <c r="J1259" s="665">
        <f>+S768</f>
        <v>0.97222222222222221</v>
      </c>
      <c r="K1259" s="453">
        <f>+E1259*G1259*I1259*J1259</f>
        <v>100239.02777777778</v>
      </c>
      <c r="L1259" s="243" t="s">
        <v>10</v>
      </c>
      <c r="M1259" s="173"/>
      <c r="N1259" s="68"/>
      <c r="O1259" s="203"/>
      <c r="P1259" s="218"/>
      <c r="Q1259" s="68"/>
      <c r="T1259" s="217"/>
    </row>
    <row r="1260" spans="1:24" ht="30" customHeight="1" x14ac:dyDescent="0.35">
      <c r="A1260" s="1183" t="s">
        <v>2804</v>
      </c>
      <c r="B1260" s="1184"/>
      <c r="C1260" s="1184"/>
      <c r="D1260" s="1184"/>
      <c r="E1260" s="453"/>
      <c r="F1260" s="446"/>
      <c r="G1260" s="519"/>
      <c r="H1260" s="508"/>
      <c r="I1260" s="446"/>
      <c r="J1260" s="446" t="s">
        <v>362</v>
      </c>
      <c r="K1260" s="453">
        <f>SUM(K1244:K1259)</f>
        <v>2443187.7694938569</v>
      </c>
      <c r="L1260" s="243" t="s">
        <v>10</v>
      </c>
      <c r="M1260" s="173"/>
      <c r="N1260" s="68"/>
      <c r="O1260" s="203"/>
      <c r="P1260" s="218"/>
      <c r="Q1260" s="68"/>
      <c r="T1260" s="217"/>
    </row>
    <row r="1261" spans="1:24" ht="30" customHeight="1" thickBot="1" x14ac:dyDescent="0.4">
      <c r="A1261" s="1183"/>
      <c r="B1261" s="1184"/>
      <c r="C1261" s="1184"/>
      <c r="D1261" s="1184"/>
      <c r="E1261" s="458"/>
      <c r="F1261" s="458"/>
      <c r="G1261" s="592" t="s">
        <v>2358</v>
      </c>
      <c r="H1261" s="458"/>
      <c r="I1261" s="458"/>
      <c r="J1261" s="583">
        <f>VLOOKUP(B1241,'Mil Cost Premiums for PUCs'!$A$4:$R$272,18,FALSE)</f>
        <v>1.0821211439999998</v>
      </c>
      <c r="K1261" s="591">
        <f>+K1260*J1261</f>
        <v>2643825.1441315003</v>
      </c>
      <c r="L1261" s="243" t="s">
        <v>10</v>
      </c>
      <c r="M1261" s="173"/>
      <c r="N1261" s="68"/>
      <c r="O1261" s="203"/>
      <c r="P1261" s="218"/>
      <c r="Q1261" s="68"/>
      <c r="T1261" s="217"/>
    </row>
    <row r="1262" spans="1:24" ht="30" customHeight="1" thickBot="1" x14ac:dyDescent="0.4">
      <c r="A1262" s="1086"/>
      <c r="B1262" s="1086"/>
      <c r="C1262" s="1086"/>
      <c r="D1262" s="1086"/>
      <c r="E1262" s="1086"/>
      <c r="F1262" s="1086"/>
      <c r="G1262" s="1086"/>
      <c r="H1262" s="1086"/>
      <c r="I1262" s="1086"/>
      <c r="J1262" s="1086"/>
      <c r="K1262" s="1086"/>
      <c r="L1262" s="1103"/>
      <c r="M1262" s="173"/>
      <c r="N1262" s="68"/>
      <c r="O1262" s="203"/>
      <c r="P1262" s="218"/>
      <c r="Q1262" s="68"/>
      <c r="T1262" s="217"/>
    </row>
    <row r="1263" spans="1:24" ht="30" customHeight="1" x14ac:dyDescent="0.35">
      <c r="A1263" s="465" t="s">
        <v>278</v>
      </c>
      <c r="B1263" s="539">
        <v>1794</v>
      </c>
      <c r="C1263" s="1017" t="s">
        <v>837</v>
      </c>
      <c r="D1263" s="1017"/>
      <c r="E1263" s="541" t="s">
        <v>280</v>
      </c>
      <c r="F1263" s="542" t="s">
        <v>37</v>
      </c>
      <c r="G1263" s="553" t="s">
        <v>838</v>
      </c>
      <c r="H1263" s="587">
        <v>1</v>
      </c>
      <c r="I1263" s="541" t="s">
        <v>281</v>
      </c>
      <c r="J1263" s="1019" t="s">
        <v>2843</v>
      </c>
      <c r="K1263" s="1019"/>
      <c r="L1263" s="1020"/>
      <c r="M1263" s="173"/>
      <c r="N1263" s="68"/>
      <c r="O1263" s="203"/>
      <c r="P1263" s="218"/>
      <c r="Q1263" s="68"/>
      <c r="T1263" s="217"/>
    </row>
    <row r="1264" spans="1:24" ht="30" customHeight="1" x14ac:dyDescent="0.35">
      <c r="A1264" s="545" t="s">
        <v>541</v>
      </c>
      <c r="B1264" s="1038" t="s">
        <v>321</v>
      </c>
      <c r="C1264" s="1038"/>
      <c r="D1264" s="1038"/>
      <c r="E1264" s="23" t="s">
        <v>290</v>
      </c>
      <c r="F1264" s="23" t="s">
        <v>322</v>
      </c>
      <c r="G1264" s="1034" t="s">
        <v>323</v>
      </c>
      <c r="H1264" s="1034"/>
      <c r="I1264" s="201" t="s">
        <v>299</v>
      </c>
      <c r="J1264" s="201" t="s">
        <v>302</v>
      </c>
      <c r="K1264" s="1012" t="s">
        <v>292</v>
      </c>
      <c r="L1264" s="1023"/>
      <c r="M1264" s="173"/>
      <c r="N1264" s="68"/>
      <c r="O1264" s="203"/>
      <c r="P1264" s="218"/>
      <c r="Q1264" s="68"/>
      <c r="T1264" s="217"/>
      <c r="U1264" s="208"/>
      <c r="V1264" s="208"/>
      <c r="W1264" s="208"/>
      <c r="X1264" s="208"/>
    </row>
    <row r="1265" spans="1:24" s="208" customFormat="1" ht="30" customHeight="1" x14ac:dyDescent="0.35">
      <c r="A1265" s="241" t="s">
        <v>493</v>
      </c>
      <c r="B1265" s="1082" t="s">
        <v>839</v>
      </c>
      <c r="C1265" s="1082"/>
      <c r="D1265" s="1082"/>
      <c r="E1265" s="680">
        <f>+P773</f>
        <v>11.77</v>
      </c>
      <c r="F1265" s="446" t="s">
        <v>8</v>
      </c>
      <c r="G1265" s="716">
        <v>481</v>
      </c>
      <c r="H1265" s="655" t="s">
        <v>543</v>
      </c>
      <c r="I1265" s="446">
        <f>+R773</f>
        <v>1.02</v>
      </c>
      <c r="J1265" s="665">
        <f>+S773</f>
        <v>0.9907407407407407</v>
      </c>
      <c r="K1265" s="453">
        <f>+E1265*G1265*I1265*J1265</f>
        <v>5721.1289055555553</v>
      </c>
      <c r="L1265" s="243" t="s">
        <v>37</v>
      </c>
      <c r="M1265" s="173"/>
      <c r="N1265" s="68"/>
      <c r="O1265" s="203"/>
      <c r="P1265" s="218"/>
      <c r="Q1265" s="68"/>
      <c r="R1265" s="203"/>
      <c r="S1265" s="203"/>
      <c r="T1265" s="217"/>
      <c r="U1265" s="203"/>
      <c r="V1265" s="203"/>
      <c r="W1265" s="203"/>
      <c r="X1265" s="203"/>
    </row>
    <row r="1266" spans="1:24" ht="30" customHeight="1" x14ac:dyDescent="0.35">
      <c r="A1266" s="241">
        <v>93410</v>
      </c>
      <c r="B1266" s="1082" t="s">
        <v>840</v>
      </c>
      <c r="C1266" s="1082"/>
      <c r="D1266" s="1082"/>
      <c r="E1266" s="680">
        <f>+P791</f>
        <v>8.5</v>
      </c>
      <c r="F1266" s="639" t="s">
        <v>283</v>
      </c>
      <c r="G1266" s="716">
        <v>706</v>
      </c>
      <c r="H1266" s="655" t="s">
        <v>554</v>
      </c>
      <c r="I1266" s="731">
        <f>+R791</f>
        <v>0.9432470865927236</v>
      </c>
      <c r="J1266" s="446"/>
      <c r="K1266" s="453">
        <f>+E1266*G1266*I1266</f>
        <v>5660.4257666429339</v>
      </c>
      <c r="L1266" s="243" t="s">
        <v>37</v>
      </c>
      <c r="M1266" s="173"/>
      <c r="N1266" s="68"/>
      <c r="O1266" s="208"/>
      <c r="P1266" s="218"/>
      <c r="Q1266" s="68"/>
      <c r="R1266" s="208"/>
      <c r="S1266" s="208"/>
      <c r="T1266" s="217"/>
    </row>
    <row r="1267" spans="1:24" ht="30" customHeight="1" x14ac:dyDescent="0.35">
      <c r="A1267" s="241">
        <v>93210</v>
      </c>
      <c r="B1267" s="1082" t="s">
        <v>626</v>
      </c>
      <c r="C1267" s="1082"/>
      <c r="D1267" s="1082"/>
      <c r="E1267" s="680">
        <f>+P793</f>
        <v>47.6</v>
      </c>
      <c r="F1267" s="639" t="s">
        <v>283</v>
      </c>
      <c r="G1267" s="716">
        <v>81.75</v>
      </c>
      <c r="H1267" s="655" t="s">
        <v>554</v>
      </c>
      <c r="I1267" s="731">
        <f>+R793</f>
        <v>0.9432470865927236</v>
      </c>
      <c r="J1267" s="446"/>
      <c r="K1267" s="453">
        <f>+E1267*G1267*I1267</f>
        <v>3670.4573880582657</v>
      </c>
      <c r="L1267" s="243" t="s">
        <v>37</v>
      </c>
      <c r="M1267" s="173"/>
      <c r="N1267" s="68"/>
      <c r="O1267" s="203"/>
      <c r="P1267" s="218"/>
      <c r="Q1267" s="68"/>
      <c r="T1267" s="217"/>
    </row>
    <row r="1268" spans="1:24" ht="30" customHeight="1" x14ac:dyDescent="0.35">
      <c r="A1268" s="1183" t="s">
        <v>2804</v>
      </c>
      <c r="B1268" s="1184"/>
      <c r="C1268" s="1184"/>
      <c r="D1268" s="1184"/>
      <c r="E1268" s="453"/>
      <c r="F1268" s="446"/>
      <c r="G1268" s="519"/>
      <c r="H1268" s="508"/>
      <c r="I1268" s="446"/>
      <c r="J1268" s="446" t="s">
        <v>362</v>
      </c>
      <c r="K1268" s="453">
        <f>SUM(K1265:K1266)</f>
        <v>11381.55467219849</v>
      </c>
      <c r="L1268" s="243" t="s">
        <v>37</v>
      </c>
      <c r="M1268" s="173"/>
      <c r="N1268" s="68"/>
      <c r="O1268" s="203"/>
      <c r="P1268" s="218"/>
      <c r="Q1268" s="68"/>
      <c r="T1268" s="217"/>
    </row>
    <row r="1269" spans="1:24" ht="30" customHeight="1" thickBot="1" x14ac:dyDescent="0.4">
      <c r="A1269" s="1183"/>
      <c r="B1269" s="1184"/>
      <c r="C1269" s="1184"/>
      <c r="D1269" s="1184"/>
      <c r="E1269" s="458"/>
      <c r="F1269" s="458"/>
      <c r="G1269" s="592" t="s">
        <v>2358</v>
      </c>
      <c r="H1269" s="458"/>
      <c r="I1269" s="458"/>
      <c r="J1269" s="583">
        <f>VLOOKUP(B1263,'Mil Cost Premiums for PUCs'!$A$4:$R$272,18,FALSE)</f>
        <v>1.0485669999999998</v>
      </c>
      <c r="K1269" s="591">
        <f>+K1268*J1269</f>
        <v>11934.322637963152</v>
      </c>
      <c r="L1269" s="243" t="s">
        <v>37</v>
      </c>
      <c r="M1269" s="173"/>
      <c r="N1269" s="68"/>
      <c r="O1269" s="203"/>
      <c r="P1269" s="218"/>
      <c r="Q1269" s="68"/>
    </row>
    <row r="1270" spans="1:24" ht="30" customHeight="1" thickBot="1" x14ac:dyDescent="0.4">
      <c r="A1270" s="1086"/>
      <c r="B1270" s="1086"/>
      <c r="C1270" s="1086"/>
      <c r="D1270" s="1086"/>
      <c r="E1270" s="1086"/>
      <c r="F1270" s="1086"/>
      <c r="G1270" s="1086"/>
      <c r="H1270" s="1086"/>
      <c r="I1270" s="1086"/>
      <c r="J1270" s="1086"/>
      <c r="K1270" s="1086"/>
      <c r="L1270" s="1103"/>
      <c r="M1270" s="173"/>
      <c r="N1270" s="68"/>
      <c r="O1270" s="203"/>
      <c r="P1270" s="218"/>
      <c r="Q1270" s="68"/>
    </row>
    <row r="1271" spans="1:24" ht="30" customHeight="1" x14ac:dyDescent="0.35">
      <c r="A1271" s="465" t="s">
        <v>278</v>
      </c>
      <c r="B1271" s="539">
        <v>1795</v>
      </c>
      <c r="C1271" s="1096" t="s">
        <v>2501</v>
      </c>
      <c r="D1271" s="1096"/>
      <c r="E1271" s="541" t="s">
        <v>280</v>
      </c>
      <c r="F1271" s="542" t="s">
        <v>8</v>
      </c>
      <c r="G1271" s="560" t="s">
        <v>279</v>
      </c>
      <c r="H1271" s="632">
        <v>10000</v>
      </c>
      <c r="I1271" s="541" t="s">
        <v>281</v>
      </c>
      <c r="J1271" s="1019" t="s">
        <v>2846</v>
      </c>
      <c r="K1271" s="1019"/>
      <c r="L1271" s="1020"/>
      <c r="M1271" s="173"/>
      <c r="N1271" s="68"/>
      <c r="O1271" s="203"/>
      <c r="P1271" s="218"/>
      <c r="Q1271" s="68"/>
      <c r="R1271" s="217"/>
    </row>
    <row r="1272" spans="1:24" ht="30" customHeight="1" x14ac:dyDescent="0.35">
      <c r="A1272" s="588" t="s">
        <v>298</v>
      </c>
      <c r="B1272" s="1038" t="s">
        <v>321</v>
      </c>
      <c r="C1272" s="1038"/>
      <c r="D1272" s="1038"/>
      <c r="E1272" s="23" t="s">
        <v>290</v>
      </c>
      <c r="F1272" s="23" t="s">
        <v>322</v>
      </c>
      <c r="G1272" s="1034" t="s">
        <v>323</v>
      </c>
      <c r="H1272" s="1034"/>
      <c r="I1272" s="201" t="s">
        <v>299</v>
      </c>
      <c r="J1272" s="201" t="s">
        <v>302</v>
      </c>
      <c r="K1272" s="1012" t="s">
        <v>292</v>
      </c>
      <c r="L1272" s="1023"/>
      <c r="M1272" s="173"/>
      <c r="N1272" s="68"/>
      <c r="O1272" s="203"/>
      <c r="P1272" s="218"/>
      <c r="Q1272" s="68"/>
      <c r="R1272" s="217"/>
      <c r="T1272" s="208"/>
      <c r="U1272" s="208"/>
      <c r="V1272" s="208"/>
      <c r="W1272" s="208"/>
      <c r="X1272" s="208"/>
    </row>
    <row r="1273" spans="1:24" s="208" customFormat="1" ht="30" customHeight="1" x14ac:dyDescent="0.35">
      <c r="A1273" s="241" t="s">
        <v>841</v>
      </c>
      <c r="B1273" s="1082" t="s">
        <v>2847</v>
      </c>
      <c r="C1273" s="1082"/>
      <c r="D1273" s="1082"/>
      <c r="E1273" s="591">
        <f>+((11.05 +18.6)/2)*1.45</f>
        <v>21.49625</v>
      </c>
      <c r="F1273" s="639" t="s">
        <v>208</v>
      </c>
      <c r="G1273" s="718">
        <f>E1273*10</f>
        <v>214.96250000000001</v>
      </c>
      <c r="H1273" s="548" t="s">
        <v>864</v>
      </c>
      <c r="I1273" s="446">
        <v>1.05</v>
      </c>
      <c r="J1273" s="665">
        <f>1.07/1.08</f>
        <v>0.9907407407407407</v>
      </c>
      <c r="K1273" s="453">
        <f>+G1273*I1273*J1273</f>
        <v>223.62071180555557</v>
      </c>
      <c r="L1273" s="243" t="s">
        <v>8</v>
      </c>
      <c r="M1273" s="173"/>
      <c r="N1273" s="68"/>
      <c r="O1273" s="203"/>
      <c r="P1273" s="218"/>
      <c r="Q1273" s="68"/>
      <c r="R1273" s="217"/>
      <c r="S1273" s="203"/>
      <c r="T1273" s="203"/>
      <c r="U1273" s="203"/>
      <c r="V1273" s="203"/>
      <c r="W1273" s="203"/>
      <c r="X1273" s="203"/>
    </row>
    <row r="1274" spans="1:24" ht="30" customHeight="1" x14ac:dyDescent="0.35">
      <c r="A1274" s="241" t="s">
        <v>843</v>
      </c>
      <c r="B1274" s="1082" t="s">
        <v>844</v>
      </c>
      <c r="C1274" s="1082"/>
      <c r="D1274" s="1082"/>
      <c r="E1274" s="51">
        <f>+(1.27+2.56)/2</f>
        <v>1.915</v>
      </c>
      <c r="F1274" s="446" t="s">
        <v>5</v>
      </c>
      <c r="G1274" s="719">
        <f>+(E1274*5000)/H1271</f>
        <v>0.95750000000000002</v>
      </c>
      <c r="H1274" s="548" t="s">
        <v>845</v>
      </c>
      <c r="I1274" s="665">
        <v>1.02</v>
      </c>
      <c r="J1274" s="665">
        <f>1.07/1.08</f>
        <v>0.9907407407407407</v>
      </c>
      <c r="K1274" s="453">
        <f>+G1274*I1274*J1274</f>
        <v>0.96760694444444439</v>
      </c>
      <c r="L1274" s="243" t="s">
        <v>8</v>
      </c>
      <c r="M1274" s="173"/>
      <c r="N1274" s="68"/>
      <c r="O1274" s="208"/>
      <c r="P1274" s="218"/>
      <c r="Q1274" s="68"/>
      <c r="R1274" s="217"/>
      <c r="S1274" s="208"/>
    </row>
    <row r="1275" spans="1:24" ht="30" customHeight="1" x14ac:dyDescent="0.35">
      <c r="A1275" s="241">
        <v>83210</v>
      </c>
      <c r="B1275" s="1082" t="s">
        <v>846</v>
      </c>
      <c r="C1275" s="1082"/>
      <c r="D1275" s="1082"/>
      <c r="E1275" s="591">
        <v>24860</v>
      </c>
      <c r="F1275" s="446" t="s">
        <v>10</v>
      </c>
      <c r="G1275" s="740">
        <f>E1275/H1271</f>
        <v>2.4860000000000002</v>
      </c>
      <c r="H1275" s="436" t="s">
        <v>908</v>
      </c>
      <c r="I1275" s="721"/>
      <c r="J1275" s="446"/>
      <c r="K1275" s="453">
        <f>+G1275*I1275</f>
        <v>0</v>
      </c>
      <c r="L1275" s="243" t="s">
        <v>8</v>
      </c>
      <c r="M1275" s="173"/>
      <c r="N1275" s="251"/>
      <c r="O1275" s="203"/>
      <c r="P1275" s="218"/>
      <c r="Q1275" s="68"/>
      <c r="R1275" s="217"/>
    </row>
    <row r="1276" spans="1:24" ht="30" customHeight="1" x14ac:dyDescent="0.35">
      <c r="A1276" s="241"/>
      <c r="B1276" s="1059"/>
      <c r="C1276" s="1059"/>
      <c r="D1276" s="1059"/>
      <c r="E1276" s="694"/>
      <c r="F1276" s="446"/>
      <c r="G1276" s="701"/>
      <c r="H1276" s="579"/>
      <c r="I1276" s="446"/>
      <c r="J1276" s="446" t="s">
        <v>362</v>
      </c>
      <c r="K1276" s="453">
        <f>SUM(K1273:K1275)</f>
        <v>224.58831875000001</v>
      </c>
      <c r="L1276" s="243" t="s">
        <v>8</v>
      </c>
      <c r="M1276" s="173"/>
      <c r="N1276" s="252"/>
      <c r="O1276" s="203"/>
      <c r="P1276" s="218"/>
      <c r="Q1276" s="68"/>
      <c r="R1276" s="217"/>
    </row>
    <row r="1277" spans="1:24" ht="30" customHeight="1" x14ac:dyDescent="0.35">
      <c r="A1277" s="241"/>
      <c r="B1277" s="446"/>
      <c r="C1277" s="458"/>
      <c r="D1277" s="458"/>
      <c r="E1277" s="458"/>
      <c r="F1277" s="458"/>
      <c r="G1277" s="458"/>
      <c r="H1277" s="458"/>
      <c r="I1277" s="458"/>
      <c r="J1277" s="458" t="s">
        <v>2356</v>
      </c>
      <c r="K1277" s="591">
        <f>+K1276</f>
        <v>224.58831875000001</v>
      </c>
      <c r="L1277" s="243" t="s">
        <v>8</v>
      </c>
      <c r="M1277" s="173"/>
      <c r="N1277" s="68"/>
      <c r="O1277" s="203"/>
      <c r="P1277" s="218"/>
      <c r="Q1277" s="68"/>
      <c r="R1277" s="217"/>
    </row>
    <row r="1278" spans="1:24" ht="30" customHeight="1" x14ac:dyDescent="0.35">
      <c r="A1278" s="241"/>
      <c r="B1278" s="446"/>
      <c r="C1278" s="458"/>
      <c r="D1278" s="458"/>
      <c r="E1278" s="458"/>
      <c r="F1278" s="458"/>
      <c r="G1278" s="592" t="s">
        <v>2358</v>
      </c>
      <c r="H1278" s="458"/>
      <c r="I1278" s="458"/>
      <c r="J1278" s="583">
        <f>VLOOKUP(B1271,'Mil Cost Premiums for PUCs'!$A$4:$R$272,18,FALSE)</f>
        <v>1.0821211439999998</v>
      </c>
      <c r="K1278" s="591">
        <f>+K1277*J1278</f>
        <v>243.03176841478663</v>
      </c>
      <c r="L1278" s="243" t="s">
        <v>10</v>
      </c>
      <c r="M1278" s="173"/>
      <c r="N1278" s="68"/>
      <c r="O1278" s="203"/>
      <c r="P1278" s="218"/>
      <c r="Q1278" s="68"/>
      <c r="R1278" s="217"/>
    </row>
    <row r="1279" spans="1:24" ht="60" customHeight="1" x14ac:dyDescent="0.35">
      <c r="A1279" s="1121" t="s">
        <v>305</v>
      </c>
      <c r="B1279" s="1122"/>
      <c r="C1279" s="1122"/>
      <c r="D1279" s="1122"/>
      <c r="E1279" s="1122"/>
      <c r="F1279" s="1122"/>
      <c r="G1279" s="1122"/>
      <c r="H1279" s="1122"/>
      <c r="I1279" s="1122"/>
      <c r="J1279" s="1122"/>
      <c r="K1279" s="1122"/>
      <c r="L1279" s="1123"/>
      <c r="M1279" s="173"/>
      <c r="N1279" s="135"/>
      <c r="O1279" s="203"/>
      <c r="P1279" s="218"/>
      <c r="Q1279" s="68"/>
      <c r="R1279" s="217"/>
    </row>
    <row r="1280" spans="1:24" ht="30" customHeight="1" x14ac:dyDescent="0.35">
      <c r="A1280" s="1124" t="s">
        <v>306</v>
      </c>
      <c r="B1280" s="1125"/>
      <c r="C1280" s="1125"/>
      <c r="D1280" s="1067" t="s">
        <v>847</v>
      </c>
      <c r="E1280" s="1067"/>
      <c r="F1280" s="1067"/>
      <c r="G1280" s="1067"/>
      <c r="H1280" s="1067"/>
      <c r="I1280" s="1067"/>
      <c r="J1280" s="1067"/>
      <c r="K1280" s="1067"/>
      <c r="L1280" s="1126"/>
      <c r="M1280" s="173"/>
      <c r="N1280" s="135"/>
      <c r="O1280" s="203"/>
      <c r="P1280" s="218"/>
      <c r="Q1280" s="68"/>
      <c r="R1280" s="217"/>
    </row>
    <row r="1281" spans="1:24" ht="30" customHeight="1" x14ac:dyDescent="0.35">
      <c r="A1281" s="1124" t="s">
        <v>307</v>
      </c>
      <c r="B1281" s="1125"/>
      <c r="C1281" s="1125"/>
      <c r="D1281" s="1067" t="s">
        <v>848</v>
      </c>
      <c r="E1281" s="1067"/>
      <c r="F1281" s="1067"/>
      <c r="G1281" s="1067"/>
      <c r="H1281" s="1067"/>
      <c r="I1281" s="1067"/>
      <c r="J1281" s="1067"/>
      <c r="K1281" s="1067"/>
      <c r="L1281" s="1126"/>
      <c r="M1281" s="173"/>
      <c r="N1281" s="68"/>
      <c r="O1281" s="203"/>
      <c r="P1281" s="218"/>
      <c r="Q1281" s="68"/>
      <c r="R1281" s="217"/>
    </row>
    <row r="1282" spans="1:24" ht="30" customHeight="1" x14ac:dyDescent="0.35">
      <c r="A1282" s="1124" t="s">
        <v>308</v>
      </c>
      <c r="B1282" s="1125"/>
      <c r="C1282" s="1125"/>
      <c r="D1282" s="1067" t="s">
        <v>2588</v>
      </c>
      <c r="E1282" s="1067"/>
      <c r="F1282" s="1067"/>
      <c r="G1282" s="1067"/>
      <c r="H1282" s="1067"/>
      <c r="I1282" s="1067"/>
      <c r="J1282" s="1067"/>
      <c r="K1282" s="1067"/>
      <c r="L1282" s="1126"/>
      <c r="M1282" s="173"/>
      <c r="N1282" s="68"/>
      <c r="O1282" s="203"/>
      <c r="P1282" s="218"/>
      <c r="Q1282" s="68"/>
      <c r="R1282" s="217"/>
    </row>
    <row r="1283" spans="1:24" ht="30" customHeight="1" x14ac:dyDescent="0.35">
      <c r="A1283" s="1124" t="s">
        <v>309</v>
      </c>
      <c r="B1283" s="1125"/>
      <c r="C1283" s="1125"/>
      <c r="D1283" s="1067" t="s">
        <v>849</v>
      </c>
      <c r="E1283" s="1067"/>
      <c r="F1283" s="1067"/>
      <c r="G1283" s="1067"/>
      <c r="H1283" s="1067"/>
      <c r="I1283" s="1067"/>
      <c r="J1283" s="1067"/>
      <c r="K1283" s="1067"/>
      <c r="L1283" s="1126"/>
      <c r="M1283" s="173"/>
      <c r="N1283" s="68"/>
      <c r="O1283" s="203"/>
      <c r="P1283" s="218"/>
      <c r="Q1283" s="68"/>
      <c r="R1283" s="217"/>
    </row>
    <row r="1284" spans="1:24" ht="45" customHeight="1" x14ac:dyDescent="0.35">
      <c r="A1284" s="1124" t="s">
        <v>311</v>
      </c>
      <c r="B1284" s="1125"/>
      <c r="C1284" s="1125"/>
      <c r="D1284" s="1067" t="s">
        <v>850</v>
      </c>
      <c r="E1284" s="1067"/>
      <c r="F1284" s="1067"/>
      <c r="G1284" s="1067"/>
      <c r="H1284" s="1067"/>
      <c r="I1284" s="1067"/>
      <c r="J1284" s="1067"/>
      <c r="K1284" s="1067"/>
      <c r="L1284" s="1126"/>
      <c r="M1284" s="173"/>
      <c r="N1284" s="68"/>
      <c r="O1284" s="203"/>
      <c r="P1284" s="218"/>
      <c r="Q1284" s="68"/>
      <c r="R1284" s="217"/>
    </row>
    <row r="1285" spans="1:24" ht="30" customHeight="1" x14ac:dyDescent="0.35">
      <c r="A1285" s="1124" t="s">
        <v>313</v>
      </c>
      <c r="B1285" s="1125"/>
      <c r="C1285" s="1125"/>
      <c r="D1285" s="1067" t="s">
        <v>851</v>
      </c>
      <c r="E1285" s="1067"/>
      <c r="F1285" s="1067"/>
      <c r="G1285" s="1067"/>
      <c r="H1285" s="1067"/>
      <c r="I1285" s="1067"/>
      <c r="J1285" s="1067"/>
      <c r="K1285" s="1067"/>
      <c r="L1285" s="1126"/>
      <c r="M1285" s="173"/>
      <c r="N1285" s="68"/>
      <c r="O1285" s="203"/>
      <c r="P1285" s="218"/>
      <c r="Q1285" s="68"/>
      <c r="R1285" s="217"/>
    </row>
    <row r="1286" spans="1:24" ht="30" customHeight="1" x14ac:dyDescent="0.35">
      <c r="A1286" s="1124" t="s">
        <v>315</v>
      </c>
      <c r="B1286" s="1125"/>
      <c r="C1286" s="1125"/>
      <c r="D1286" s="1067" t="s">
        <v>852</v>
      </c>
      <c r="E1286" s="1067"/>
      <c r="F1286" s="1067"/>
      <c r="G1286" s="1067"/>
      <c r="H1286" s="1067"/>
      <c r="I1286" s="1067"/>
      <c r="J1286" s="1067"/>
      <c r="K1286" s="1067"/>
      <c r="L1286" s="1126"/>
      <c r="M1286" s="173"/>
      <c r="N1286" s="68"/>
      <c r="O1286" s="203"/>
      <c r="P1286" s="218"/>
      <c r="Q1286" s="68"/>
      <c r="R1286" s="217"/>
    </row>
    <row r="1287" spans="1:24" ht="60" customHeight="1" x14ac:dyDescent="0.35">
      <c r="A1287" s="1124" t="s">
        <v>467</v>
      </c>
      <c r="B1287" s="1125"/>
      <c r="C1287" s="1125"/>
      <c r="D1287" s="1118" t="s">
        <v>853</v>
      </c>
      <c r="E1287" s="1118"/>
      <c r="F1287" s="1118"/>
      <c r="G1287" s="1118"/>
      <c r="H1287" s="1118"/>
      <c r="I1287" s="1118"/>
      <c r="J1287" s="1118"/>
      <c r="K1287" s="1118"/>
      <c r="L1287" s="1119"/>
      <c r="M1287" s="173"/>
      <c r="N1287" s="68"/>
      <c r="O1287" s="203"/>
      <c r="P1287" s="218"/>
      <c r="Q1287" s="68"/>
      <c r="R1287" s="217"/>
    </row>
    <row r="1288" spans="1:24" ht="60" customHeight="1" thickBot="1" x14ac:dyDescent="0.4">
      <c r="A1288" s="1132" t="s">
        <v>318</v>
      </c>
      <c r="B1288" s="1129"/>
      <c r="C1288" s="1129"/>
      <c r="D1288" s="1068" t="s">
        <v>2175</v>
      </c>
      <c r="E1288" s="1068"/>
      <c r="F1288" s="1068"/>
      <c r="G1288" s="1068"/>
      <c r="H1288" s="1068"/>
      <c r="I1288" s="1068"/>
      <c r="J1288" s="1068"/>
      <c r="K1288" s="1068"/>
      <c r="L1288" s="1120"/>
      <c r="M1288" s="173"/>
      <c r="N1288" s="68"/>
      <c r="O1288" s="203"/>
      <c r="P1288" s="218"/>
      <c r="Q1288" s="68"/>
      <c r="R1288" s="217"/>
      <c r="T1288" s="217"/>
    </row>
    <row r="1289" spans="1:24" ht="30" customHeight="1" thickBot="1" x14ac:dyDescent="0.4">
      <c r="A1289" s="1086"/>
      <c r="B1289" s="1086"/>
      <c r="C1289" s="1086"/>
      <c r="D1289" s="1086"/>
      <c r="E1289" s="1086"/>
      <c r="F1289" s="1086"/>
      <c r="G1289" s="1086"/>
      <c r="H1289" s="1086"/>
      <c r="I1289" s="1086"/>
      <c r="J1289" s="1086"/>
      <c r="K1289" s="1086"/>
      <c r="L1289" s="1103"/>
      <c r="M1289" s="173"/>
      <c r="N1289" s="68"/>
      <c r="O1289" s="203"/>
      <c r="P1289" s="218"/>
      <c r="Q1289" s="68"/>
      <c r="R1289" s="217"/>
      <c r="T1289" s="217"/>
    </row>
    <row r="1290" spans="1:24" ht="60" customHeight="1" x14ac:dyDescent="0.35">
      <c r="A1290" s="465" t="s">
        <v>278</v>
      </c>
      <c r="B1290" s="539">
        <v>1796</v>
      </c>
      <c r="C1290" s="1017" t="s">
        <v>854</v>
      </c>
      <c r="D1290" s="1017"/>
      <c r="E1290" s="541" t="s">
        <v>280</v>
      </c>
      <c r="F1290" s="542" t="s">
        <v>8</v>
      </c>
      <c r="G1290" s="543" t="s">
        <v>285</v>
      </c>
      <c r="H1290" s="632">
        <v>72868</v>
      </c>
      <c r="I1290" s="541" t="s">
        <v>281</v>
      </c>
      <c r="J1290" s="1019" t="s">
        <v>2843</v>
      </c>
      <c r="K1290" s="1019"/>
      <c r="L1290" s="1020"/>
      <c r="M1290" s="173"/>
      <c r="N1290" s="68"/>
      <c r="O1290" s="203"/>
      <c r="P1290" s="218"/>
      <c r="Q1290" s="68"/>
      <c r="T1290" s="217"/>
    </row>
    <row r="1291" spans="1:24" ht="30" customHeight="1" x14ac:dyDescent="0.35">
      <c r="A1291" s="545" t="s">
        <v>541</v>
      </c>
      <c r="B1291" s="1038" t="s">
        <v>321</v>
      </c>
      <c r="C1291" s="1038"/>
      <c r="D1291" s="1038"/>
      <c r="E1291" s="23" t="s">
        <v>290</v>
      </c>
      <c r="F1291" s="23" t="s">
        <v>322</v>
      </c>
      <c r="G1291" s="1034" t="s">
        <v>323</v>
      </c>
      <c r="H1291" s="1034"/>
      <c r="I1291" s="509" t="s">
        <v>299</v>
      </c>
      <c r="J1291" s="201" t="s">
        <v>302</v>
      </c>
      <c r="K1291" s="1012" t="s">
        <v>292</v>
      </c>
      <c r="L1291" s="1023"/>
      <c r="M1291" s="173"/>
      <c r="N1291" s="68"/>
      <c r="O1291" s="203"/>
      <c r="P1291" s="218"/>
      <c r="Q1291" s="68"/>
      <c r="T1291" s="217"/>
      <c r="U1291" s="208"/>
      <c r="V1291" s="208"/>
      <c r="W1291" s="208"/>
      <c r="X1291" s="208"/>
    </row>
    <row r="1292" spans="1:24" s="208" customFormat="1" ht="30" customHeight="1" x14ac:dyDescent="0.35">
      <c r="A1292" s="241" t="s">
        <v>565</v>
      </c>
      <c r="B1292" s="1082" t="s">
        <v>855</v>
      </c>
      <c r="C1292" s="1082"/>
      <c r="D1292" s="1082"/>
      <c r="E1292" s="741">
        <f>+P768</f>
        <v>19.25</v>
      </c>
      <c r="F1292" s="639" t="s">
        <v>8</v>
      </c>
      <c r="G1292" s="728"/>
      <c r="H1292" s="655"/>
      <c r="I1292" s="665">
        <f>+R768</f>
        <v>1.03</v>
      </c>
      <c r="J1292" s="665">
        <f>+S768</f>
        <v>0.97222222222222221</v>
      </c>
      <c r="K1292" s="453">
        <f>+E1292*I1292*J1292</f>
        <v>19.276736111111113</v>
      </c>
      <c r="L1292" s="243" t="s">
        <v>8</v>
      </c>
      <c r="M1292" s="173"/>
      <c r="N1292" s="68"/>
      <c r="O1292" s="203"/>
      <c r="P1292" s="218"/>
      <c r="Q1292" s="68"/>
      <c r="R1292" s="203"/>
      <c r="S1292" s="203"/>
      <c r="T1292" s="217"/>
      <c r="U1292" s="203"/>
      <c r="V1292" s="203"/>
      <c r="W1292" s="203"/>
      <c r="X1292" s="203"/>
    </row>
    <row r="1293" spans="1:24" ht="30" customHeight="1" x14ac:dyDescent="0.35">
      <c r="A1293" s="241" t="s">
        <v>449</v>
      </c>
      <c r="B1293" s="1082" t="s">
        <v>572</v>
      </c>
      <c r="C1293" s="1082"/>
      <c r="D1293" s="1082"/>
      <c r="E1293" s="645">
        <f>+P775</f>
        <v>4.9550000000000001</v>
      </c>
      <c r="F1293" s="639" t="s">
        <v>8</v>
      </c>
      <c r="G1293" s="728"/>
      <c r="H1293" s="655"/>
      <c r="I1293" s="665">
        <f>+R775</f>
        <v>1.05</v>
      </c>
      <c r="J1293" s="665">
        <f>+S775</f>
        <v>0.9907407407407407</v>
      </c>
      <c r="K1293" s="453">
        <f>+E1293*I1293*J1293</f>
        <v>5.1545763888888887</v>
      </c>
      <c r="L1293" s="243" t="s">
        <v>8</v>
      </c>
      <c r="M1293" s="173"/>
      <c r="N1293" s="68"/>
      <c r="O1293" s="208"/>
      <c r="P1293" s="218"/>
      <c r="Q1293" s="68"/>
      <c r="R1293" s="208"/>
      <c r="S1293" s="208"/>
      <c r="T1293" s="217"/>
    </row>
    <row r="1294" spans="1:24" ht="30" customHeight="1" x14ac:dyDescent="0.35">
      <c r="A1294" s="241" t="s">
        <v>324</v>
      </c>
      <c r="B1294" s="1082" t="s">
        <v>856</v>
      </c>
      <c r="C1294" s="1082"/>
      <c r="D1294" s="1082"/>
      <c r="E1294" s="741">
        <f>+P767</f>
        <v>48.5</v>
      </c>
      <c r="F1294" s="639" t="s">
        <v>8</v>
      </c>
      <c r="G1294" s="727"/>
      <c r="H1294" s="655"/>
      <c r="I1294" s="665">
        <f>+R767</f>
        <v>1.03</v>
      </c>
      <c r="J1294" s="665">
        <f>+S767</f>
        <v>0.98148148148148151</v>
      </c>
      <c r="K1294" s="453">
        <f>+E1294*I1294*J1294</f>
        <v>49.029907407407407</v>
      </c>
      <c r="L1294" s="243" t="s">
        <v>8</v>
      </c>
      <c r="M1294" s="173"/>
      <c r="N1294" s="68"/>
      <c r="O1294" s="203"/>
      <c r="P1294" s="218"/>
      <c r="Q1294" s="68"/>
      <c r="T1294" s="217"/>
    </row>
    <row r="1295" spans="1:24" ht="30" customHeight="1" x14ac:dyDescent="0.35">
      <c r="A1295" s="241"/>
      <c r="B1295" s="485"/>
      <c r="C1295" s="610"/>
      <c r="D1295" s="608"/>
      <c r="E1295" s="591"/>
      <c r="F1295" s="639"/>
      <c r="G1295" s="727"/>
      <c r="H1295" s="655"/>
      <c r="I1295" s="1266" t="s">
        <v>353</v>
      </c>
      <c r="J1295" s="1266"/>
      <c r="K1295" s="453">
        <f>0.09*K1292+0.06*K1293+0.85*K1294</f>
        <v>43.719602129629628</v>
      </c>
      <c r="L1295" s="243" t="s">
        <v>8</v>
      </c>
      <c r="M1295" s="173"/>
      <c r="N1295" s="68"/>
      <c r="O1295" s="203"/>
      <c r="P1295" s="218"/>
      <c r="Q1295" s="68"/>
      <c r="T1295" s="217"/>
    </row>
    <row r="1296" spans="1:24" ht="30" customHeight="1" x14ac:dyDescent="0.35">
      <c r="A1296" s="241" t="s">
        <v>544</v>
      </c>
      <c r="B1296" s="1082" t="s">
        <v>545</v>
      </c>
      <c r="C1296" s="1082"/>
      <c r="D1296" s="1082"/>
      <c r="E1296" s="680">
        <f>+P776</f>
        <v>475.5</v>
      </c>
      <c r="F1296" s="639" t="s">
        <v>10</v>
      </c>
      <c r="G1296" s="727">
        <v>2.5000000000000001E-2</v>
      </c>
      <c r="H1296" s="655" t="s">
        <v>857</v>
      </c>
      <c r="I1296" s="665">
        <f>+R776</f>
        <v>1.01</v>
      </c>
      <c r="J1296" s="665">
        <f>+S776</f>
        <v>0.9907407407407407</v>
      </c>
      <c r="K1296" s="453">
        <f>+E1296*G1296*I1296*J1296</f>
        <v>11.895204861111113</v>
      </c>
      <c r="L1296" s="243" t="s">
        <v>8</v>
      </c>
      <c r="M1296" s="173"/>
      <c r="N1296" s="68"/>
      <c r="O1296" s="203"/>
      <c r="P1296" s="218"/>
      <c r="Q1296" s="68"/>
      <c r="T1296" s="217"/>
    </row>
    <row r="1297" spans="1:20" ht="30" customHeight="1" x14ac:dyDescent="0.35">
      <c r="A1297" s="241" t="s">
        <v>544</v>
      </c>
      <c r="B1297" s="1082" t="s">
        <v>547</v>
      </c>
      <c r="C1297" s="1082"/>
      <c r="D1297" s="1082"/>
      <c r="E1297" s="680">
        <f>+P778</f>
        <v>341</v>
      </c>
      <c r="F1297" s="639" t="s">
        <v>10</v>
      </c>
      <c r="G1297" s="727">
        <v>2.5000000000000001E-2</v>
      </c>
      <c r="H1297" s="655" t="s">
        <v>857</v>
      </c>
      <c r="I1297" s="665">
        <f>+R778</f>
        <v>1.01</v>
      </c>
      <c r="J1297" s="665">
        <f>+S778</f>
        <v>0.9907407407407407</v>
      </c>
      <c r="K1297" s="453">
        <f>+E1297*G1297*I1297*J1297</f>
        <v>8.530525462962963</v>
      </c>
      <c r="L1297" s="243" t="s">
        <v>8</v>
      </c>
      <c r="M1297" s="173"/>
      <c r="O1297" s="203"/>
      <c r="P1297" s="218"/>
      <c r="Q1297" s="68"/>
      <c r="T1297" s="217"/>
    </row>
    <row r="1298" spans="1:20" ht="30" customHeight="1" x14ac:dyDescent="0.35">
      <c r="A1298" s="241" t="s">
        <v>550</v>
      </c>
      <c r="B1298" s="1082" t="s">
        <v>858</v>
      </c>
      <c r="C1298" s="1082"/>
      <c r="D1298" s="1082"/>
      <c r="E1298" s="680">
        <f>+P782</f>
        <v>18.47</v>
      </c>
      <c r="F1298" s="639" t="s">
        <v>6</v>
      </c>
      <c r="G1298" s="742">
        <f>2400/19600</f>
        <v>0.12244897959183673</v>
      </c>
      <c r="H1298" s="655" t="s">
        <v>859</v>
      </c>
      <c r="I1298" s="665">
        <f>+R782</f>
        <v>1.01</v>
      </c>
      <c r="J1298" s="665">
        <f>+S782</f>
        <v>0.9907407407407407</v>
      </c>
      <c r="K1298" s="743">
        <f>+E1298*G1298*I1298*J1298</f>
        <v>2.2630985260770973</v>
      </c>
      <c r="L1298" s="243" t="s">
        <v>8</v>
      </c>
      <c r="M1298" s="173"/>
      <c r="N1298" s="68"/>
      <c r="O1298" s="203"/>
      <c r="P1298" s="218"/>
      <c r="Q1298" s="68"/>
      <c r="T1298" s="217"/>
    </row>
    <row r="1299" spans="1:20" ht="30" customHeight="1" x14ac:dyDescent="0.35">
      <c r="A1299" s="241">
        <v>85110</v>
      </c>
      <c r="B1299" s="1082" t="s">
        <v>860</v>
      </c>
      <c r="C1299" s="1082"/>
      <c r="D1299" s="1082"/>
      <c r="E1299" s="680">
        <f>+P790</f>
        <v>60</v>
      </c>
      <c r="F1299" s="446" t="s">
        <v>3</v>
      </c>
      <c r="G1299" s="727">
        <v>1.01</v>
      </c>
      <c r="H1299" s="655" t="s">
        <v>861</v>
      </c>
      <c r="I1299" s="721">
        <f>+R790</f>
        <v>0.9432470865927236</v>
      </c>
      <c r="J1299" s="446"/>
      <c r="K1299" s="743">
        <f>+E1299*G1299*I1299</f>
        <v>57.160773447519048</v>
      </c>
      <c r="L1299" s="243" t="s">
        <v>8</v>
      </c>
      <c r="M1299" s="173"/>
      <c r="N1299" s="68"/>
      <c r="O1299" s="203"/>
      <c r="P1299" s="218"/>
      <c r="Q1299" s="68"/>
      <c r="T1299" s="217"/>
    </row>
    <row r="1300" spans="1:20" ht="30" customHeight="1" x14ac:dyDescent="0.35">
      <c r="A1300" s="241">
        <v>85110</v>
      </c>
      <c r="B1300" s="1082" t="s">
        <v>862</v>
      </c>
      <c r="C1300" s="1082"/>
      <c r="D1300" s="1082"/>
      <c r="E1300" s="680">
        <f>+P789</f>
        <v>19.2</v>
      </c>
      <c r="F1300" s="639" t="s">
        <v>3</v>
      </c>
      <c r="G1300" s="727">
        <v>0.69</v>
      </c>
      <c r="H1300" s="655" t="s">
        <v>861</v>
      </c>
      <c r="I1300" s="721">
        <f>+R789</f>
        <v>0.9432470865927236</v>
      </c>
      <c r="J1300" s="446"/>
      <c r="K1300" s="743">
        <f>+E1300*G1300*I1300</f>
        <v>12.496137403180402</v>
      </c>
      <c r="L1300" s="243" t="s">
        <v>8</v>
      </c>
      <c r="M1300" s="173"/>
      <c r="N1300" s="68"/>
      <c r="O1300" s="203"/>
      <c r="P1300" s="218"/>
      <c r="Q1300" s="68"/>
      <c r="T1300" s="217"/>
    </row>
    <row r="1301" spans="1:20" ht="30" customHeight="1" x14ac:dyDescent="0.35">
      <c r="A1301" s="241" t="s">
        <v>451</v>
      </c>
      <c r="B1301" s="1082" t="s">
        <v>863</v>
      </c>
      <c r="C1301" s="1082"/>
      <c r="D1301" s="1082"/>
      <c r="E1301" s="49">
        <f>+P788</f>
        <v>23.9</v>
      </c>
      <c r="F1301" s="3" t="s">
        <v>208</v>
      </c>
      <c r="G1301" s="50">
        <v>0.9</v>
      </c>
      <c r="H1301" s="498" t="s">
        <v>864</v>
      </c>
      <c r="I1301" s="446">
        <f>+R788</f>
        <v>1.05</v>
      </c>
      <c r="J1301" s="665">
        <f>+S788</f>
        <v>0.9907407407407407</v>
      </c>
      <c r="K1301" s="49">
        <f>+E1301*G1301*I1301*J1301</f>
        <v>22.376374999999999</v>
      </c>
      <c r="L1301" s="676" t="s">
        <v>8</v>
      </c>
      <c r="M1301" s="173"/>
      <c r="N1301" s="68"/>
      <c r="O1301" s="203"/>
      <c r="P1301" s="218"/>
      <c r="Q1301" s="68"/>
      <c r="T1301" s="217"/>
    </row>
    <row r="1302" spans="1:20" ht="30" customHeight="1" x14ac:dyDescent="0.35">
      <c r="A1302" s="241" t="s">
        <v>493</v>
      </c>
      <c r="B1302" s="1082" t="s">
        <v>865</v>
      </c>
      <c r="C1302" s="1082"/>
      <c r="D1302" s="1082"/>
      <c r="E1302" s="645">
        <f>+P770</f>
        <v>9.6300000000000008</v>
      </c>
      <c r="F1302" s="639" t="s">
        <v>8</v>
      </c>
      <c r="G1302" s="727">
        <v>0.22</v>
      </c>
      <c r="H1302" s="655" t="s">
        <v>857</v>
      </c>
      <c r="I1302" s="446">
        <f>R770</f>
        <v>1.02</v>
      </c>
      <c r="J1302" s="665">
        <f>+S770</f>
        <v>0.9907407407407407</v>
      </c>
      <c r="K1302" s="743">
        <f>+E1302*G1302*I1302*J1302</f>
        <v>2.1409630000000002</v>
      </c>
      <c r="L1302" s="243" t="s">
        <v>8</v>
      </c>
      <c r="M1302" s="173"/>
      <c r="N1302" s="68"/>
      <c r="O1302" s="203"/>
      <c r="P1302" s="218"/>
      <c r="Q1302" s="68"/>
      <c r="T1302" s="217"/>
    </row>
    <row r="1303" spans="1:20" ht="30" customHeight="1" x14ac:dyDescent="0.35">
      <c r="A1303" s="241">
        <v>93210</v>
      </c>
      <c r="B1303" s="1082" t="s">
        <v>866</v>
      </c>
      <c r="C1303" s="1082"/>
      <c r="D1303" s="1082"/>
      <c r="E1303" s="680">
        <f>+P793</f>
        <v>47.6</v>
      </c>
      <c r="F1303" s="639" t="s">
        <v>283</v>
      </c>
      <c r="G1303" s="742">
        <v>0.217</v>
      </c>
      <c r="H1303" s="655" t="s">
        <v>867</v>
      </c>
      <c r="I1303" s="721">
        <f>+R793</f>
        <v>0.9432470865927236</v>
      </c>
      <c r="J1303" s="446"/>
      <c r="K1303" s="743">
        <f>+E1303*G1303*I1303</f>
        <v>9.7429878068335611</v>
      </c>
      <c r="L1303" s="243" t="s">
        <v>8</v>
      </c>
      <c r="M1303" s="173"/>
      <c r="N1303" s="68"/>
      <c r="O1303" s="203"/>
      <c r="P1303" s="218"/>
      <c r="Q1303" s="68"/>
      <c r="T1303" s="217"/>
    </row>
    <row r="1304" spans="1:20" ht="30" customHeight="1" x14ac:dyDescent="0.35">
      <c r="A1304" s="241">
        <v>93410</v>
      </c>
      <c r="B1304" s="1082" t="s">
        <v>868</v>
      </c>
      <c r="C1304" s="1082"/>
      <c r="D1304" s="1082"/>
      <c r="E1304" s="680">
        <f>+P791</f>
        <v>8.5</v>
      </c>
      <c r="F1304" s="639" t="s">
        <v>283</v>
      </c>
      <c r="G1304" s="742">
        <v>0.10306122448979592</v>
      </c>
      <c r="H1304" s="655" t="s">
        <v>867</v>
      </c>
      <c r="I1304" s="731">
        <f>+R791</f>
        <v>0.9432470865927236</v>
      </c>
      <c r="J1304" s="446"/>
      <c r="K1304" s="453">
        <f>+E1304*G1304*I1304</f>
        <v>0.82630369779576862</v>
      </c>
      <c r="L1304" s="243" t="s">
        <v>8</v>
      </c>
      <c r="M1304" s="173"/>
      <c r="N1304" s="68"/>
      <c r="O1304" s="203"/>
      <c r="P1304" s="218"/>
      <c r="Q1304" s="68"/>
      <c r="T1304" s="217"/>
    </row>
    <row r="1305" spans="1:20" ht="30" customHeight="1" x14ac:dyDescent="0.35">
      <c r="A1305" s="241"/>
      <c r="B1305" s="1059"/>
      <c r="C1305" s="1059"/>
      <c r="D1305" s="1059"/>
      <c r="E1305" s="453"/>
      <c r="F1305" s="446"/>
      <c r="G1305" s="519"/>
      <c r="H1305" s="508"/>
      <c r="I1305" s="446"/>
      <c r="J1305" s="446" t="s">
        <v>362</v>
      </c>
      <c r="K1305" s="743">
        <f>SUM(K1295:K1304)</f>
        <v>171.15197133510958</v>
      </c>
      <c r="L1305" s="243" t="s">
        <v>8</v>
      </c>
      <c r="M1305" s="173"/>
      <c r="N1305" s="68"/>
      <c r="O1305" s="203"/>
      <c r="P1305" s="218"/>
      <c r="Q1305" s="68"/>
      <c r="T1305" s="217"/>
    </row>
    <row r="1306" spans="1:20" ht="30" customHeight="1" x14ac:dyDescent="0.35">
      <c r="A1306" s="1183" t="s">
        <v>2804</v>
      </c>
      <c r="B1306" s="1184"/>
      <c r="C1306" s="1184"/>
      <c r="D1306" s="1184"/>
      <c r="E1306" s="458"/>
      <c r="F1306" s="458"/>
      <c r="G1306" s="458"/>
      <c r="H1306" s="458"/>
      <c r="I1306" s="458"/>
      <c r="J1306" s="446" t="s">
        <v>2356</v>
      </c>
      <c r="K1306" s="591">
        <f>+K1305</f>
        <v>171.15197133510958</v>
      </c>
      <c r="L1306" s="243" t="s">
        <v>8</v>
      </c>
      <c r="M1306" s="173"/>
      <c r="N1306" s="68"/>
      <c r="O1306" s="203"/>
      <c r="P1306" s="218"/>
      <c r="Q1306" s="68"/>
      <c r="T1306" s="217"/>
    </row>
    <row r="1307" spans="1:20" ht="30" customHeight="1" x14ac:dyDescent="0.35">
      <c r="A1307" s="1183"/>
      <c r="B1307" s="1184"/>
      <c r="C1307" s="1184"/>
      <c r="D1307" s="1184"/>
      <c r="E1307" s="458"/>
      <c r="F1307" s="458"/>
      <c r="G1307" s="592" t="s">
        <v>2358</v>
      </c>
      <c r="H1307" s="458"/>
      <c r="I1307" s="458"/>
      <c r="J1307" s="583">
        <f>VLOOKUP(B1290,'Mil Cost Premiums for PUCs'!$A$4:$R$272,18,FALSE)</f>
        <v>1.0821211439999998</v>
      </c>
      <c r="K1307" s="591">
        <f>+K1306*J1307</f>
        <v>185.20716701900395</v>
      </c>
      <c r="L1307" s="243" t="s">
        <v>8</v>
      </c>
      <c r="M1307" s="173"/>
      <c r="N1307" s="68"/>
      <c r="O1307" s="203"/>
      <c r="P1307" s="218"/>
      <c r="Q1307" s="68"/>
      <c r="T1307" s="217"/>
    </row>
    <row r="1308" spans="1:20" ht="60" customHeight="1" x14ac:dyDescent="0.35">
      <c r="A1308" s="1064" t="s">
        <v>305</v>
      </c>
      <c r="B1308" s="1067"/>
      <c r="C1308" s="1067"/>
      <c r="D1308" s="1067"/>
      <c r="E1308" s="1067"/>
      <c r="F1308" s="1067"/>
      <c r="G1308" s="1067"/>
      <c r="H1308" s="1067"/>
      <c r="I1308" s="1067"/>
      <c r="J1308" s="1067"/>
      <c r="K1308" s="1067"/>
      <c r="L1308" s="1126"/>
      <c r="M1308" s="173"/>
      <c r="N1308" s="68"/>
      <c r="O1308" s="203"/>
      <c r="P1308" s="218"/>
      <c r="Q1308" s="68"/>
      <c r="T1308" s="217"/>
    </row>
    <row r="1309" spans="1:20" ht="30" customHeight="1" x14ac:dyDescent="0.35">
      <c r="A1309" s="1124" t="s">
        <v>306</v>
      </c>
      <c r="B1309" s="1125"/>
      <c r="C1309" s="1125"/>
      <c r="D1309" s="1067" t="s">
        <v>869</v>
      </c>
      <c r="E1309" s="1067"/>
      <c r="F1309" s="1067"/>
      <c r="G1309" s="1067"/>
      <c r="H1309" s="1067"/>
      <c r="I1309" s="1067"/>
      <c r="J1309" s="1067"/>
      <c r="K1309" s="1067"/>
      <c r="L1309" s="1126"/>
      <c r="M1309" s="173"/>
      <c r="N1309" s="68"/>
      <c r="O1309" s="203"/>
      <c r="P1309" s="218"/>
      <c r="Q1309" s="68"/>
      <c r="T1309" s="217"/>
    </row>
    <row r="1310" spans="1:20" ht="30" customHeight="1" x14ac:dyDescent="0.35">
      <c r="A1310" s="1124" t="s">
        <v>307</v>
      </c>
      <c r="B1310" s="1125"/>
      <c r="C1310" s="1125"/>
      <c r="D1310" s="1067" t="s">
        <v>870</v>
      </c>
      <c r="E1310" s="1067"/>
      <c r="F1310" s="1067"/>
      <c r="G1310" s="1067"/>
      <c r="H1310" s="1067"/>
      <c r="I1310" s="1067"/>
      <c r="J1310" s="1067"/>
      <c r="K1310" s="1067"/>
      <c r="L1310" s="1126"/>
      <c r="M1310" s="173"/>
      <c r="N1310" s="68"/>
      <c r="O1310" s="203"/>
      <c r="P1310" s="218"/>
      <c r="Q1310" s="68"/>
      <c r="T1310" s="217"/>
    </row>
    <row r="1311" spans="1:20" ht="30" customHeight="1" x14ac:dyDescent="0.35">
      <c r="A1311" s="1124" t="s">
        <v>308</v>
      </c>
      <c r="B1311" s="1125"/>
      <c r="C1311" s="1125"/>
      <c r="D1311" s="1067" t="s">
        <v>2854</v>
      </c>
      <c r="E1311" s="1067"/>
      <c r="F1311" s="1067"/>
      <c r="G1311" s="1067"/>
      <c r="H1311" s="1067"/>
      <c r="I1311" s="1067"/>
      <c r="J1311" s="1067"/>
      <c r="K1311" s="1067"/>
      <c r="L1311" s="1126"/>
      <c r="M1311" s="173"/>
      <c r="N1311" s="68"/>
      <c r="O1311" s="203"/>
      <c r="P1311" s="218"/>
      <c r="Q1311" s="68"/>
      <c r="T1311" s="217"/>
    </row>
    <row r="1312" spans="1:20" ht="30" customHeight="1" x14ac:dyDescent="0.35">
      <c r="A1312" s="1124" t="s">
        <v>309</v>
      </c>
      <c r="B1312" s="1125"/>
      <c r="C1312" s="1125"/>
      <c r="D1312" s="1067" t="s">
        <v>871</v>
      </c>
      <c r="E1312" s="1067"/>
      <c r="F1312" s="1067"/>
      <c r="G1312" s="1067"/>
      <c r="H1312" s="1067"/>
      <c r="I1312" s="1067"/>
      <c r="J1312" s="1067"/>
      <c r="K1312" s="1067"/>
      <c r="L1312" s="1126"/>
      <c r="M1312" s="173"/>
      <c r="N1312" s="68"/>
      <c r="O1312" s="203"/>
      <c r="P1312" s="218"/>
      <c r="Q1312" s="68"/>
      <c r="T1312" s="217"/>
    </row>
    <row r="1313" spans="1:24" ht="30" customHeight="1" x14ac:dyDescent="0.35">
      <c r="A1313" s="1124" t="s">
        <v>311</v>
      </c>
      <c r="B1313" s="1125"/>
      <c r="C1313" s="1125"/>
      <c r="D1313" s="1067" t="s">
        <v>872</v>
      </c>
      <c r="E1313" s="1067"/>
      <c r="F1313" s="1067"/>
      <c r="G1313" s="1067"/>
      <c r="H1313" s="1067"/>
      <c r="I1313" s="1067"/>
      <c r="J1313" s="1067"/>
      <c r="K1313" s="1067"/>
      <c r="L1313" s="1126"/>
      <c r="M1313" s="173"/>
      <c r="N1313" s="68"/>
      <c r="O1313" s="203"/>
      <c r="P1313" s="218"/>
      <c r="Q1313" s="68"/>
      <c r="T1313" s="217"/>
    </row>
    <row r="1314" spans="1:24" ht="30" customHeight="1" x14ac:dyDescent="0.35">
      <c r="A1314" s="1124" t="s">
        <v>313</v>
      </c>
      <c r="B1314" s="1125"/>
      <c r="C1314" s="1125"/>
      <c r="D1314" s="1067" t="s">
        <v>873</v>
      </c>
      <c r="E1314" s="1067"/>
      <c r="F1314" s="1067"/>
      <c r="G1314" s="1067"/>
      <c r="H1314" s="1067"/>
      <c r="I1314" s="1067"/>
      <c r="J1314" s="1067"/>
      <c r="K1314" s="1067"/>
      <c r="L1314" s="1126"/>
      <c r="M1314" s="173"/>
      <c r="N1314" s="68"/>
      <c r="O1314" s="203"/>
      <c r="P1314" s="218"/>
      <c r="Q1314" s="68"/>
      <c r="T1314" s="253"/>
      <c r="U1314" s="205"/>
      <c r="V1314" s="205"/>
      <c r="W1314" s="205"/>
      <c r="X1314" s="205"/>
    </row>
    <row r="1315" spans="1:24" s="205" customFormat="1" ht="30" customHeight="1" x14ac:dyDescent="0.35">
      <c r="A1315" s="1124" t="s">
        <v>315</v>
      </c>
      <c r="B1315" s="1125"/>
      <c r="C1315" s="1125"/>
      <c r="D1315" s="1067" t="s">
        <v>874</v>
      </c>
      <c r="E1315" s="1067"/>
      <c r="F1315" s="1067"/>
      <c r="G1315" s="1067"/>
      <c r="H1315" s="1067"/>
      <c r="I1315" s="1067"/>
      <c r="J1315" s="1067"/>
      <c r="K1315" s="1067"/>
      <c r="L1315" s="1126"/>
      <c r="M1315" s="173"/>
      <c r="N1315" s="68"/>
      <c r="O1315" s="203"/>
      <c r="P1315" s="218"/>
      <c r="Q1315" s="68"/>
      <c r="R1315" s="203"/>
      <c r="S1315" s="203"/>
      <c r="T1315" s="217"/>
      <c r="U1315" s="203"/>
      <c r="V1315" s="203"/>
      <c r="W1315" s="203"/>
      <c r="X1315" s="203"/>
    </row>
    <row r="1316" spans="1:24" ht="75" customHeight="1" x14ac:dyDescent="0.35">
      <c r="A1316" s="1124" t="s">
        <v>467</v>
      </c>
      <c r="B1316" s="1125"/>
      <c r="C1316" s="1125"/>
      <c r="D1316" s="1118" t="s">
        <v>875</v>
      </c>
      <c r="E1316" s="1118"/>
      <c r="F1316" s="1118"/>
      <c r="G1316" s="1118"/>
      <c r="H1316" s="1118"/>
      <c r="I1316" s="1118"/>
      <c r="J1316" s="1118"/>
      <c r="K1316" s="1118"/>
      <c r="L1316" s="1119"/>
      <c r="M1316" s="173"/>
      <c r="N1316" s="71"/>
      <c r="P1316" s="254"/>
      <c r="Q1316" s="71"/>
      <c r="R1316" s="205"/>
      <c r="S1316" s="205"/>
      <c r="T1316" s="217"/>
    </row>
    <row r="1317" spans="1:24" ht="45" customHeight="1" thickBot="1" x14ac:dyDescent="0.4">
      <c r="A1317" s="1132" t="s">
        <v>318</v>
      </c>
      <c r="B1317" s="1129"/>
      <c r="C1317" s="1129"/>
      <c r="D1317" s="1068" t="s">
        <v>2174</v>
      </c>
      <c r="E1317" s="1068"/>
      <c r="F1317" s="1068"/>
      <c r="G1317" s="1068"/>
      <c r="H1317" s="1068"/>
      <c r="I1317" s="1068"/>
      <c r="J1317" s="1068"/>
      <c r="K1317" s="1068"/>
      <c r="L1317" s="1120"/>
      <c r="M1317" s="173"/>
      <c r="N1317" s="68"/>
      <c r="O1317" s="203"/>
      <c r="P1317" s="218"/>
      <c r="Q1317" s="68"/>
      <c r="T1317" s="217"/>
    </row>
    <row r="1318" spans="1:24" ht="30" customHeight="1" thickBot="1" x14ac:dyDescent="0.4">
      <c r="A1318" s="1086"/>
      <c r="B1318" s="1086"/>
      <c r="C1318" s="1086"/>
      <c r="D1318" s="1086"/>
      <c r="E1318" s="1086"/>
      <c r="F1318" s="1086"/>
      <c r="G1318" s="1086"/>
      <c r="H1318" s="1086"/>
      <c r="I1318" s="1086"/>
      <c r="J1318" s="1086"/>
      <c r="K1318" s="1086"/>
      <c r="L1318" s="1103"/>
      <c r="M1318" s="173"/>
      <c r="N1318" s="68"/>
      <c r="O1318" s="203"/>
      <c r="P1318" s="218"/>
      <c r="Q1318" s="68"/>
      <c r="T1318" s="217"/>
    </row>
    <row r="1319" spans="1:24" ht="75" customHeight="1" x14ac:dyDescent="0.35">
      <c r="A1319" s="465" t="s">
        <v>278</v>
      </c>
      <c r="B1319" s="539">
        <v>1797</v>
      </c>
      <c r="C1319" s="1017" t="s">
        <v>876</v>
      </c>
      <c r="D1319" s="1017"/>
      <c r="E1319" s="541" t="s">
        <v>280</v>
      </c>
      <c r="F1319" s="542" t="s">
        <v>37</v>
      </c>
      <c r="G1319" s="553" t="s">
        <v>877</v>
      </c>
      <c r="H1319" s="587">
        <v>1</v>
      </c>
      <c r="I1319" s="541" t="s">
        <v>281</v>
      </c>
      <c r="J1319" s="1019" t="s">
        <v>2843</v>
      </c>
      <c r="K1319" s="1019"/>
      <c r="L1319" s="1020"/>
      <c r="M1319" s="173"/>
      <c r="N1319" s="68"/>
      <c r="O1319" s="203"/>
      <c r="P1319" s="218"/>
      <c r="Q1319" s="68"/>
      <c r="T1319" s="217"/>
    </row>
    <row r="1320" spans="1:24" ht="30" customHeight="1" x14ac:dyDescent="0.35">
      <c r="A1320" s="545" t="s">
        <v>541</v>
      </c>
      <c r="B1320" s="1038" t="s">
        <v>321</v>
      </c>
      <c r="C1320" s="1038"/>
      <c r="D1320" s="1038"/>
      <c r="E1320" s="23" t="s">
        <v>290</v>
      </c>
      <c r="F1320" s="23" t="s">
        <v>322</v>
      </c>
      <c r="G1320" s="1034" t="s">
        <v>323</v>
      </c>
      <c r="H1320" s="1034"/>
      <c r="I1320" s="509" t="s">
        <v>299</v>
      </c>
      <c r="J1320" s="201" t="s">
        <v>302</v>
      </c>
      <c r="K1320" s="1012" t="s">
        <v>292</v>
      </c>
      <c r="L1320" s="1023"/>
      <c r="M1320" s="173"/>
      <c r="N1320" s="68"/>
      <c r="O1320" s="203"/>
      <c r="P1320" s="218"/>
      <c r="Q1320" s="68"/>
      <c r="T1320" s="217"/>
      <c r="U1320" s="208"/>
      <c r="V1320" s="208"/>
      <c r="W1320" s="208"/>
      <c r="X1320" s="208"/>
    </row>
    <row r="1321" spans="1:24" s="208" customFormat="1" ht="30" customHeight="1" x14ac:dyDescent="0.35">
      <c r="A1321" s="241" t="s">
        <v>493</v>
      </c>
      <c r="B1321" s="1082" t="s">
        <v>2942</v>
      </c>
      <c r="C1321" s="1082"/>
      <c r="D1321" s="1082"/>
      <c r="E1321" s="645">
        <f>+P770</f>
        <v>9.6300000000000008</v>
      </c>
      <c r="F1321" s="639" t="s">
        <v>8</v>
      </c>
      <c r="G1321" s="716">
        <v>104</v>
      </c>
      <c r="H1321" s="655" t="s">
        <v>543</v>
      </c>
      <c r="I1321" s="446">
        <f>+R770</f>
        <v>1.02</v>
      </c>
      <c r="J1321" s="665">
        <f>+S770</f>
        <v>0.9907407407407407</v>
      </c>
      <c r="K1321" s="453">
        <f>+E1321*G1321*I1321*J1321</f>
        <v>1012.0916000000001</v>
      </c>
      <c r="L1321" s="243" t="s">
        <v>37</v>
      </c>
      <c r="M1321" s="173"/>
      <c r="N1321" s="255"/>
      <c r="O1321" s="203"/>
      <c r="P1321" s="218"/>
      <c r="Q1321" s="68"/>
      <c r="R1321" s="203"/>
      <c r="S1321" s="203"/>
      <c r="T1321" s="217"/>
      <c r="U1321" s="203"/>
      <c r="V1321" s="203"/>
      <c r="W1321" s="203"/>
      <c r="X1321" s="203"/>
    </row>
    <row r="1322" spans="1:24" ht="30" customHeight="1" x14ac:dyDescent="0.35">
      <c r="A1322" s="241" t="s">
        <v>493</v>
      </c>
      <c r="B1322" s="1082" t="s">
        <v>878</v>
      </c>
      <c r="C1322" s="1082"/>
      <c r="D1322" s="1082"/>
      <c r="E1322" s="645">
        <f>+P770</f>
        <v>9.6300000000000008</v>
      </c>
      <c r="F1322" s="639" t="s">
        <v>8</v>
      </c>
      <c r="G1322" s="716">
        <f>2*144</f>
        <v>288</v>
      </c>
      <c r="H1322" s="655" t="s">
        <v>543</v>
      </c>
      <c r="I1322" s="446">
        <f>+R770</f>
        <v>1.02</v>
      </c>
      <c r="J1322" s="665">
        <f>+S770</f>
        <v>0.9907407407407407</v>
      </c>
      <c r="K1322" s="453">
        <f>+E1322*G1322*I1322*J1322</f>
        <v>2802.7152000000001</v>
      </c>
      <c r="L1322" s="243" t="s">
        <v>37</v>
      </c>
      <c r="M1322" s="173"/>
      <c r="N1322" s="68"/>
      <c r="O1322" s="208"/>
      <c r="P1322" s="218"/>
      <c r="Q1322" s="68"/>
      <c r="R1322" s="208"/>
      <c r="S1322" s="208"/>
      <c r="T1322" s="217"/>
    </row>
    <row r="1323" spans="1:24" ht="30" customHeight="1" x14ac:dyDescent="0.35">
      <c r="A1323" s="241">
        <v>93410</v>
      </c>
      <c r="B1323" s="1082" t="s">
        <v>879</v>
      </c>
      <c r="C1323" s="1082"/>
      <c r="D1323" s="1082"/>
      <c r="E1323" s="680">
        <f>+P791</f>
        <v>8.5</v>
      </c>
      <c r="F1323" s="639" t="s">
        <v>283</v>
      </c>
      <c r="G1323" s="732">
        <f>2.6*4</f>
        <v>10.4</v>
      </c>
      <c r="H1323" s="655" t="s">
        <v>554</v>
      </c>
      <c r="I1323" s="721">
        <f>+R791</f>
        <v>0.9432470865927236</v>
      </c>
      <c r="J1323" s="446"/>
      <c r="K1323" s="453">
        <f>+E1323*G1323*I1323</f>
        <v>83.383042454796765</v>
      </c>
      <c r="L1323" s="243" t="s">
        <v>37</v>
      </c>
      <c r="M1323" s="173"/>
      <c r="N1323" s="68"/>
      <c r="O1323" s="203"/>
      <c r="P1323" s="218"/>
      <c r="Q1323" s="68"/>
      <c r="T1323" s="217"/>
    </row>
    <row r="1324" spans="1:24" ht="30" customHeight="1" x14ac:dyDescent="0.35">
      <c r="A1324" s="241">
        <v>93410</v>
      </c>
      <c r="B1324" s="1082" t="s">
        <v>880</v>
      </c>
      <c r="C1324" s="1082"/>
      <c r="D1324" s="1082"/>
      <c r="E1324" s="680">
        <f>+P791</f>
        <v>8.5</v>
      </c>
      <c r="F1324" s="639" t="s">
        <v>283</v>
      </c>
      <c r="G1324" s="716">
        <v>26</v>
      </c>
      <c r="H1324" s="655" t="s">
        <v>554</v>
      </c>
      <c r="I1324" s="731">
        <f>+R791</f>
        <v>0.9432470865927236</v>
      </c>
      <c r="J1324" s="446"/>
      <c r="K1324" s="453">
        <f>+E1324*G1324*I1324</f>
        <v>208.45760613699193</v>
      </c>
      <c r="L1324" s="243" t="s">
        <v>37</v>
      </c>
      <c r="M1324" s="173"/>
      <c r="N1324" s="68"/>
      <c r="O1324" s="203"/>
      <c r="P1324" s="218"/>
      <c r="Q1324" s="68"/>
      <c r="T1324" s="217"/>
    </row>
    <row r="1325" spans="1:24" ht="30" customHeight="1" x14ac:dyDescent="0.35">
      <c r="A1325" s="241">
        <v>93210</v>
      </c>
      <c r="B1325" s="1082" t="s">
        <v>881</v>
      </c>
      <c r="C1325" s="1082"/>
      <c r="D1325" s="1082"/>
      <c r="E1325" s="680">
        <f>+P793</f>
        <v>47.6</v>
      </c>
      <c r="F1325" s="639" t="s">
        <v>283</v>
      </c>
      <c r="G1325" s="716">
        <v>26</v>
      </c>
      <c r="H1325" s="655" t="s">
        <v>554</v>
      </c>
      <c r="I1325" s="731">
        <f>+R793</f>
        <v>0.9432470865927236</v>
      </c>
      <c r="J1325" s="446"/>
      <c r="K1325" s="453">
        <f>+E1325*G1325*I1325</f>
        <v>1167.3625943671548</v>
      </c>
      <c r="L1325" s="243" t="s">
        <v>37</v>
      </c>
      <c r="M1325" s="173"/>
      <c r="N1325" s="68"/>
      <c r="O1325" s="203"/>
      <c r="P1325" s="218"/>
      <c r="Q1325" s="68"/>
      <c r="T1325" s="217"/>
    </row>
    <row r="1326" spans="1:24" ht="30" customHeight="1" x14ac:dyDescent="0.35">
      <c r="A1326" s="1183" t="s">
        <v>2804</v>
      </c>
      <c r="B1326" s="1184"/>
      <c r="C1326" s="1184"/>
      <c r="D1326" s="1184"/>
      <c r="E1326" s="453"/>
      <c r="F1326" s="446"/>
      <c r="G1326" s="519"/>
      <c r="H1326" s="508"/>
      <c r="I1326" s="446"/>
      <c r="J1326" s="446" t="s">
        <v>362</v>
      </c>
      <c r="K1326" s="453">
        <f>SUM(K1321:K1325)</f>
        <v>5274.0100429589438</v>
      </c>
      <c r="L1326" s="243" t="s">
        <v>37</v>
      </c>
      <c r="M1326" s="173"/>
      <c r="N1326" s="68"/>
      <c r="O1326" s="203"/>
      <c r="P1326" s="218"/>
      <c r="Q1326" s="68"/>
      <c r="T1326" s="217"/>
    </row>
    <row r="1327" spans="1:24" ht="45" customHeight="1" thickBot="1" x14ac:dyDescent="0.4">
      <c r="A1327" s="1183"/>
      <c r="B1327" s="1184"/>
      <c r="C1327" s="1184"/>
      <c r="D1327" s="1184"/>
      <c r="E1327" s="458"/>
      <c r="F1327" s="458"/>
      <c r="G1327" s="592" t="s">
        <v>2358</v>
      </c>
      <c r="H1327" s="458"/>
      <c r="I1327" s="458"/>
      <c r="J1327" s="583">
        <f>VLOOKUP(B1319,'Mil Cost Premiums for PUCs'!$A$4:$R$272,18,FALSE)</f>
        <v>1.0485669999999998</v>
      </c>
      <c r="K1327" s="591">
        <f>+K1326*J1327</f>
        <v>5530.1528887153299</v>
      </c>
      <c r="L1327" s="243" t="s">
        <v>37</v>
      </c>
      <c r="M1327" s="173"/>
      <c r="N1327" s="68"/>
      <c r="O1327" s="203"/>
      <c r="P1327" s="218"/>
      <c r="Q1327" s="68"/>
      <c r="T1327" s="217"/>
    </row>
    <row r="1328" spans="1:24" ht="30" customHeight="1" thickBot="1" x14ac:dyDescent="0.4">
      <c r="A1328" s="1086"/>
      <c r="B1328" s="1086"/>
      <c r="C1328" s="1086"/>
      <c r="D1328" s="1086"/>
      <c r="E1328" s="1086"/>
      <c r="F1328" s="1086"/>
      <c r="G1328" s="1086"/>
      <c r="H1328" s="1086"/>
      <c r="I1328" s="1086"/>
      <c r="J1328" s="1086"/>
      <c r="K1328" s="1086"/>
      <c r="L1328" s="1103"/>
      <c r="M1328" s="173"/>
      <c r="N1328" s="68"/>
      <c r="O1328" s="203"/>
      <c r="P1328" s="218"/>
      <c r="Q1328" s="68"/>
      <c r="T1328" s="217"/>
    </row>
    <row r="1329" spans="1:24" ht="30" customHeight="1" x14ac:dyDescent="0.35">
      <c r="A1329" s="465" t="s">
        <v>278</v>
      </c>
      <c r="B1329" s="539">
        <v>1798</v>
      </c>
      <c r="C1329" s="1017" t="s">
        <v>882</v>
      </c>
      <c r="D1329" s="1017"/>
      <c r="E1329" s="541" t="s">
        <v>280</v>
      </c>
      <c r="F1329" s="542" t="s">
        <v>10</v>
      </c>
      <c r="G1329" s="553" t="s">
        <v>883</v>
      </c>
      <c r="H1329" s="587">
        <v>1</v>
      </c>
      <c r="I1329" s="541" t="s">
        <v>281</v>
      </c>
      <c r="J1329" s="1019" t="s">
        <v>2843</v>
      </c>
      <c r="K1329" s="1019"/>
      <c r="L1329" s="1020"/>
      <c r="M1329" s="173"/>
      <c r="N1329" s="68"/>
      <c r="O1329" s="203"/>
      <c r="P1329" s="218"/>
      <c r="Q1329" s="68"/>
      <c r="T1329" s="217"/>
    </row>
    <row r="1330" spans="1:24" ht="30" customHeight="1" x14ac:dyDescent="0.35">
      <c r="A1330" s="545" t="s">
        <v>541</v>
      </c>
      <c r="B1330" s="1038" t="s">
        <v>321</v>
      </c>
      <c r="C1330" s="1038"/>
      <c r="D1330" s="1038"/>
      <c r="E1330" s="23" t="s">
        <v>290</v>
      </c>
      <c r="F1330" s="23" t="s">
        <v>322</v>
      </c>
      <c r="G1330" s="1034" t="s">
        <v>323</v>
      </c>
      <c r="H1330" s="1034"/>
      <c r="I1330" s="509" t="s">
        <v>299</v>
      </c>
      <c r="J1330" s="201" t="s">
        <v>302</v>
      </c>
      <c r="K1330" s="1012" t="s">
        <v>292</v>
      </c>
      <c r="L1330" s="1023"/>
      <c r="M1330" s="173"/>
      <c r="N1330" s="68"/>
      <c r="O1330" s="203"/>
      <c r="P1330" s="218"/>
      <c r="Q1330" s="68"/>
      <c r="T1330" s="217"/>
      <c r="U1330" s="208"/>
      <c r="V1330" s="208"/>
      <c r="W1330" s="208"/>
      <c r="X1330" s="208"/>
    </row>
    <row r="1331" spans="1:24" s="208" customFormat="1" ht="30" customHeight="1" x14ac:dyDescent="0.35">
      <c r="A1331" s="241" t="s">
        <v>493</v>
      </c>
      <c r="B1331" s="1082" t="s">
        <v>884</v>
      </c>
      <c r="C1331" s="1082"/>
      <c r="D1331" s="1082"/>
      <c r="E1331" s="680">
        <f>+P773</f>
        <v>11.77</v>
      </c>
      <c r="F1331" s="446" t="s">
        <v>8</v>
      </c>
      <c r="G1331" s="716">
        <f>(720*10.7639)</f>
        <v>7750.0079999999998</v>
      </c>
      <c r="H1331" s="655" t="s">
        <v>671</v>
      </c>
      <c r="I1331" s="446">
        <f>+R773</f>
        <v>1.02</v>
      </c>
      <c r="J1331" s="665">
        <f>+S773</f>
        <v>0.9907407407407407</v>
      </c>
      <c r="K1331" s="453">
        <f>+E1331*G1331*I1331*J1331</f>
        <v>92180.446542799982</v>
      </c>
      <c r="L1331" s="243" t="s">
        <v>10</v>
      </c>
      <c r="M1331" s="173"/>
      <c r="N1331" s="68"/>
      <c r="O1331" s="203"/>
      <c r="P1331" s="218"/>
      <c r="Q1331" s="68"/>
      <c r="R1331" s="203"/>
      <c r="S1331" s="203"/>
      <c r="T1331" s="217"/>
      <c r="U1331" s="203"/>
      <c r="V1331" s="203"/>
      <c r="W1331" s="203"/>
      <c r="X1331" s="203"/>
    </row>
    <row r="1332" spans="1:24" ht="30" customHeight="1" x14ac:dyDescent="0.35">
      <c r="A1332" s="241" t="s">
        <v>493</v>
      </c>
      <c r="B1332" s="1082" t="s">
        <v>885</v>
      </c>
      <c r="C1332" s="1082"/>
      <c r="D1332" s="1082"/>
      <c r="E1332" s="645">
        <f>+P770</f>
        <v>9.6300000000000008</v>
      </c>
      <c r="F1332" s="639" t="s">
        <v>8</v>
      </c>
      <c r="G1332" s="716">
        <f>3*144</f>
        <v>432</v>
      </c>
      <c r="H1332" s="655" t="s">
        <v>671</v>
      </c>
      <c r="I1332" s="446">
        <f>+R770</f>
        <v>1.02</v>
      </c>
      <c r="J1332" s="665">
        <f>+S770</f>
        <v>0.9907407407407407</v>
      </c>
      <c r="K1332" s="453">
        <f>+E1332*G1332*I1332*J1332</f>
        <v>4204.0728000000008</v>
      </c>
      <c r="L1332" s="243" t="s">
        <v>10</v>
      </c>
      <c r="M1332" s="173"/>
      <c r="N1332" s="68"/>
      <c r="O1332" s="208"/>
      <c r="P1332" s="218"/>
      <c r="Q1332" s="68"/>
      <c r="R1332" s="208"/>
      <c r="S1332" s="208"/>
      <c r="T1332" s="217"/>
    </row>
    <row r="1333" spans="1:24" ht="30" customHeight="1" x14ac:dyDescent="0.35">
      <c r="A1333" s="241">
        <v>93410</v>
      </c>
      <c r="B1333" s="1082" t="s">
        <v>886</v>
      </c>
      <c r="C1333" s="1082"/>
      <c r="D1333" s="1082"/>
      <c r="E1333" s="680">
        <f>+P791</f>
        <v>8.5</v>
      </c>
      <c r="F1333" s="639" t="s">
        <v>283</v>
      </c>
      <c r="G1333" s="716">
        <v>1883</v>
      </c>
      <c r="H1333" s="655" t="s">
        <v>679</v>
      </c>
      <c r="I1333" s="721">
        <f>+R791</f>
        <v>0.9432470865927236</v>
      </c>
      <c r="J1333" s="446"/>
      <c r="K1333" s="453">
        <f>+E1333*G1333*I1333</f>
        <v>15097.141244459837</v>
      </c>
      <c r="L1333" s="243" t="s">
        <v>10</v>
      </c>
      <c r="M1333" s="173"/>
      <c r="N1333" s="68"/>
      <c r="O1333" s="203"/>
      <c r="P1333" s="218"/>
      <c r="Q1333" s="68"/>
      <c r="T1333" s="217"/>
    </row>
    <row r="1334" spans="1:24" ht="30" customHeight="1" x14ac:dyDescent="0.35">
      <c r="A1334" s="241">
        <v>93210</v>
      </c>
      <c r="B1334" s="1082" t="s">
        <v>887</v>
      </c>
      <c r="C1334" s="1082"/>
      <c r="D1334" s="1082"/>
      <c r="E1334" s="680">
        <f>+P793</f>
        <v>47.6</v>
      </c>
      <c r="F1334" s="639" t="s">
        <v>283</v>
      </c>
      <c r="G1334" s="716">
        <v>205</v>
      </c>
      <c r="H1334" s="655" t="s">
        <v>679</v>
      </c>
      <c r="I1334" s="721">
        <f>+R793</f>
        <v>0.9432470865927236</v>
      </c>
      <c r="J1334" s="446"/>
      <c r="K1334" s="453">
        <f>+E1334*G1334*I1334</f>
        <v>9204.2050709717969</v>
      </c>
      <c r="L1334" s="243" t="s">
        <v>10</v>
      </c>
      <c r="M1334" s="173"/>
      <c r="N1334" s="68"/>
      <c r="O1334" s="203"/>
      <c r="P1334" s="218"/>
      <c r="Q1334" s="68"/>
      <c r="T1334" s="217"/>
    </row>
    <row r="1335" spans="1:24" ht="30" customHeight="1" x14ac:dyDescent="0.35">
      <c r="A1335" s="1183" t="s">
        <v>2804</v>
      </c>
      <c r="B1335" s="1184"/>
      <c r="C1335" s="1184"/>
      <c r="D1335" s="1184"/>
      <c r="E1335" s="453"/>
      <c r="F1335" s="446"/>
      <c r="G1335" s="519"/>
      <c r="H1335" s="508"/>
      <c r="I1335" s="446"/>
      <c r="J1335" s="446" t="s">
        <v>362</v>
      </c>
      <c r="K1335" s="453">
        <f>SUM(K1331:K1334)</f>
        <v>120685.86565823162</v>
      </c>
      <c r="L1335" s="243" t="s">
        <v>10</v>
      </c>
      <c r="M1335" s="173"/>
      <c r="N1335" s="68"/>
      <c r="O1335" s="203"/>
      <c r="P1335" s="218"/>
      <c r="Q1335" s="68"/>
      <c r="T1335" s="51"/>
    </row>
    <row r="1336" spans="1:24" ht="30" customHeight="1" thickBot="1" x14ac:dyDescent="0.4">
      <c r="A1336" s="1183"/>
      <c r="B1336" s="1184"/>
      <c r="C1336" s="1184"/>
      <c r="D1336" s="1184"/>
      <c r="E1336" s="458"/>
      <c r="F1336" s="458"/>
      <c r="G1336" s="592" t="s">
        <v>2358</v>
      </c>
      <c r="H1336" s="458"/>
      <c r="I1336" s="458"/>
      <c r="J1336" s="583">
        <f>VLOOKUP(B1329,'Mil Cost Premiums for PUCs'!$A$4:$R$272,18,FALSE)</f>
        <v>1.0485669999999998</v>
      </c>
      <c r="K1336" s="591">
        <f>+K1335*J1336</f>
        <v>126547.21609565493</v>
      </c>
      <c r="L1336" s="243" t="s">
        <v>10</v>
      </c>
      <c r="M1336" s="173"/>
      <c r="N1336" s="68"/>
      <c r="P1336" s="218"/>
      <c r="Q1336" s="68"/>
      <c r="T1336" s="51"/>
      <c r="U1336" s="171"/>
    </row>
    <row r="1337" spans="1:24" ht="30" customHeight="1" thickBot="1" x14ac:dyDescent="0.4">
      <c r="A1337" s="1086"/>
      <c r="B1337" s="1086"/>
      <c r="C1337" s="1086"/>
      <c r="D1337" s="1086"/>
      <c r="E1337" s="1086"/>
      <c r="F1337" s="1086"/>
      <c r="G1337" s="1086"/>
      <c r="H1337" s="1086"/>
      <c r="I1337" s="1086"/>
      <c r="J1337" s="1086"/>
      <c r="K1337" s="1086"/>
      <c r="L1337" s="1103"/>
      <c r="M1337" s="173"/>
      <c r="P1337" s="171"/>
      <c r="Q1337" s="171"/>
      <c r="R1337" s="171"/>
      <c r="S1337" s="51"/>
      <c r="T1337" s="51"/>
      <c r="U1337" s="171"/>
    </row>
    <row r="1338" spans="1:24" ht="30" customHeight="1" x14ac:dyDescent="0.35">
      <c r="A1338" s="465" t="s">
        <v>278</v>
      </c>
      <c r="B1338" s="539">
        <v>1799</v>
      </c>
      <c r="C1338" s="1060" t="s">
        <v>888</v>
      </c>
      <c r="D1338" s="1060"/>
      <c r="E1338" s="541" t="s">
        <v>280</v>
      </c>
      <c r="F1338" s="542" t="s">
        <v>10</v>
      </c>
      <c r="G1338" s="553" t="s">
        <v>279</v>
      </c>
      <c r="H1338" s="587">
        <v>1</v>
      </c>
      <c r="I1338" s="541" t="s">
        <v>889</v>
      </c>
      <c r="J1338" s="1019" t="s">
        <v>2371</v>
      </c>
      <c r="K1338" s="1019"/>
      <c r="L1338" s="1020"/>
      <c r="M1338" s="173"/>
      <c r="P1338" s="171"/>
      <c r="Q1338" s="171"/>
      <c r="R1338" s="171"/>
      <c r="S1338" s="51"/>
    </row>
    <row r="1339" spans="1:24" ht="30" customHeight="1" x14ac:dyDescent="0.35">
      <c r="A1339" s="545" t="s">
        <v>541</v>
      </c>
      <c r="B1339" s="1229" t="s">
        <v>890</v>
      </c>
      <c r="C1339" s="1229"/>
      <c r="D1339" s="1229"/>
      <c r="E1339" s="23" t="s">
        <v>290</v>
      </c>
      <c r="F1339" s="23" t="s">
        <v>322</v>
      </c>
      <c r="G1339" s="1034" t="s">
        <v>323</v>
      </c>
      <c r="H1339" s="1034"/>
      <c r="I1339" s="509" t="s">
        <v>299</v>
      </c>
      <c r="J1339" s="509"/>
      <c r="K1339" s="510" t="s">
        <v>891</v>
      </c>
      <c r="L1339" s="744"/>
      <c r="M1339" s="173"/>
      <c r="P1339" s="171"/>
      <c r="Q1339" s="171"/>
      <c r="R1339" s="171"/>
      <c r="S1339" s="51"/>
    </row>
    <row r="1340" spans="1:24" ht="30" customHeight="1" x14ac:dyDescent="0.35">
      <c r="A1340" s="241" t="s">
        <v>451</v>
      </c>
      <c r="B1340" s="1116" t="s">
        <v>2384</v>
      </c>
      <c r="C1340" s="1116"/>
      <c r="D1340" s="1116"/>
      <c r="E1340" s="645">
        <v>6.6</v>
      </c>
      <c r="F1340" s="639" t="s">
        <v>283</v>
      </c>
      <c r="G1340" s="716">
        <v>2040</v>
      </c>
      <c r="H1340" s="655" t="s">
        <v>892</v>
      </c>
      <c r="I1340" s="704">
        <v>1.05</v>
      </c>
      <c r="J1340" s="446"/>
      <c r="K1340" s="453">
        <f t="shared" ref="K1340:K1345" si="48">+J1340+E1340*G1340*I1340</f>
        <v>14137.2</v>
      </c>
      <c r="L1340" s="243" t="s">
        <v>10</v>
      </c>
      <c r="M1340" s="173"/>
      <c r="O1340" s="203"/>
    </row>
    <row r="1341" spans="1:24" ht="30" customHeight="1" x14ac:dyDescent="0.35">
      <c r="A1341" s="241" t="s">
        <v>535</v>
      </c>
      <c r="B1341" s="1082" t="s">
        <v>2176</v>
      </c>
      <c r="C1341" s="1082"/>
      <c r="D1341" s="1082"/>
      <c r="E1341" s="645">
        <v>0.28000000000000003</v>
      </c>
      <c r="F1341" s="639" t="s">
        <v>8</v>
      </c>
      <c r="G1341" s="716">
        <f>3060*9</f>
        <v>27540</v>
      </c>
      <c r="H1341" s="655" t="s">
        <v>893</v>
      </c>
      <c r="I1341" s="704">
        <v>1.02</v>
      </c>
      <c r="J1341" s="446"/>
      <c r="K1341" s="453">
        <f t="shared" si="48"/>
        <v>7865.4240000000009</v>
      </c>
      <c r="L1341" s="243" t="s">
        <v>10</v>
      </c>
      <c r="M1341" s="173"/>
      <c r="O1341" s="203"/>
    </row>
    <row r="1342" spans="1:24" ht="30" customHeight="1" x14ac:dyDescent="0.35">
      <c r="A1342" s="241" t="s">
        <v>451</v>
      </c>
      <c r="B1342" s="1082" t="s">
        <v>894</v>
      </c>
      <c r="C1342" s="1082"/>
      <c r="D1342" s="1082"/>
      <c r="E1342" s="645">
        <f>+(0.65+4.8)/2</f>
        <v>2.7250000000000001</v>
      </c>
      <c r="F1342" s="639" t="s">
        <v>3</v>
      </c>
      <c r="G1342" s="716">
        <v>3060</v>
      </c>
      <c r="H1342" s="655"/>
      <c r="I1342" s="704">
        <v>1.05</v>
      </c>
      <c r="J1342" s="446"/>
      <c r="K1342" s="453">
        <f t="shared" si="48"/>
        <v>8755.4250000000011</v>
      </c>
      <c r="L1342" s="243" t="s">
        <v>10</v>
      </c>
      <c r="M1342" s="173"/>
      <c r="N1342" s="63"/>
      <c r="O1342" s="203"/>
    </row>
    <row r="1343" spans="1:24" ht="30" customHeight="1" x14ac:dyDescent="0.35">
      <c r="A1343" s="241" t="s">
        <v>535</v>
      </c>
      <c r="B1343" s="1122" t="s">
        <v>895</v>
      </c>
      <c r="C1343" s="1122"/>
      <c r="D1343" s="1122"/>
      <c r="E1343" s="680">
        <v>0.43</v>
      </c>
      <c r="F1343" s="446" t="s">
        <v>8</v>
      </c>
      <c r="G1343" s="716">
        <f>3060*9</f>
        <v>27540</v>
      </c>
      <c r="H1343" s="655" t="s">
        <v>893</v>
      </c>
      <c r="I1343" s="665">
        <v>1.02</v>
      </c>
      <c r="J1343" s="446"/>
      <c r="K1343" s="453">
        <f t="shared" si="48"/>
        <v>12079.044</v>
      </c>
      <c r="L1343" s="243" t="s">
        <v>10</v>
      </c>
      <c r="M1343" s="173"/>
      <c r="N1343" s="63"/>
      <c r="O1343" s="203"/>
    </row>
    <row r="1344" spans="1:24" ht="30" customHeight="1" x14ac:dyDescent="0.35">
      <c r="A1344" s="241" t="s">
        <v>896</v>
      </c>
      <c r="B1344" s="1116" t="s">
        <v>897</v>
      </c>
      <c r="C1344" s="1116"/>
      <c r="D1344" s="1116"/>
      <c r="E1344" s="680">
        <f>(22.4+33.5)/2</f>
        <v>27.95</v>
      </c>
      <c r="F1344" s="639" t="s">
        <v>6</v>
      </c>
      <c r="G1344" s="716">
        <f>18*4*20</f>
        <v>1440</v>
      </c>
      <c r="H1344" s="655" t="s">
        <v>6</v>
      </c>
      <c r="I1344" s="665">
        <v>1.05</v>
      </c>
      <c r="J1344" s="446"/>
      <c r="K1344" s="453">
        <f t="shared" si="48"/>
        <v>42260.4</v>
      </c>
      <c r="L1344" s="243" t="s">
        <v>10</v>
      </c>
      <c r="M1344" s="173"/>
      <c r="O1344" s="203"/>
    </row>
    <row r="1345" spans="1:24" ht="30" customHeight="1" x14ac:dyDescent="0.35">
      <c r="A1345" s="241" t="s">
        <v>896</v>
      </c>
      <c r="B1345" s="1116" t="s">
        <v>898</v>
      </c>
      <c r="C1345" s="1116"/>
      <c r="D1345" s="1116"/>
      <c r="E1345" s="680">
        <f>(4.68+5.34)/2</f>
        <v>5.01</v>
      </c>
      <c r="F1345" s="639" t="s">
        <v>6</v>
      </c>
      <c r="G1345" s="716">
        <f>18*14*10</f>
        <v>2520</v>
      </c>
      <c r="H1345" s="655" t="s">
        <v>6</v>
      </c>
      <c r="I1345" s="665">
        <v>1.05</v>
      </c>
      <c r="J1345" s="446"/>
      <c r="K1345" s="453">
        <f t="shared" si="48"/>
        <v>13256.46</v>
      </c>
      <c r="L1345" s="243" t="s">
        <v>10</v>
      </c>
      <c r="M1345" s="173"/>
      <c r="O1345" s="203"/>
    </row>
    <row r="1346" spans="1:24" ht="30" customHeight="1" x14ac:dyDescent="0.35">
      <c r="A1346" s="241"/>
      <c r="B1346" s="1059"/>
      <c r="C1346" s="1059"/>
      <c r="D1346" s="1059"/>
      <c r="E1346" s="453"/>
      <c r="F1346" s="446"/>
      <c r="G1346" s="745"/>
      <c r="H1346" s="508"/>
      <c r="I1346" s="446"/>
      <c r="J1346" s="446" t="s">
        <v>362</v>
      </c>
      <c r="K1346" s="453">
        <f>SUM(K1340:K1345)</f>
        <v>98353.953000000009</v>
      </c>
      <c r="L1346" s="243" t="s">
        <v>10</v>
      </c>
      <c r="M1346" s="173"/>
      <c r="O1346" s="203"/>
    </row>
    <row r="1347" spans="1:24" ht="30" customHeight="1" x14ac:dyDescent="0.35">
      <c r="A1347" s="1183" t="s">
        <v>2804</v>
      </c>
      <c r="B1347" s="1184"/>
      <c r="C1347" s="1184"/>
      <c r="D1347" s="1184"/>
      <c r="E1347" s="453"/>
      <c r="F1347" s="1029" t="s">
        <v>302</v>
      </c>
      <c r="G1347" s="1058" t="s">
        <v>303</v>
      </c>
      <c r="H1347" s="1058"/>
      <c r="I1347" s="1058"/>
      <c r="J1347" s="1058"/>
      <c r="K1347" s="612">
        <v>1.07</v>
      </c>
      <c r="L1347" s="243"/>
      <c r="M1347" s="173"/>
      <c r="O1347" s="203"/>
    </row>
    <row r="1348" spans="1:24" ht="30" customHeight="1" x14ac:dyDescent="0.35">
      <c r="A1348" s="1183"/>
      <c r="B1348" s="1184"/>
      <c r="C1348" s="1184"/>
      <c r="D1348" s="1184"/>
      <c r="E1348" s="453"/>
      <c r="F1348" s="1029"/>
      <c r="G1348" s="1073" t="s">
        <v>2374</v>
      </c>
      <c r="H1348" s="1073"/>
      <c r="I1348" s="1073"/>
      <c r="J1348" s="1073"/>
      <c r="K1348" s="612">
        <v>1.08</v>
      </c>
      <c r="L1348" s="243"/>
      <c r="M1348" s="173"/>
      <c r="O1348" s="203"/>
    </row>
    <row r="1349" spans="1:24" ht="30" customHeight="1" x14ac:dyDescent="0.35">
      <c r="A1349" s="1267" t="s">
        <v>2299</v>
      </c>
      <c r="B1349" s="1268"/>
      <c r="C1349" s="1268"/>
      <c r="D1349" s="1268"/>
      <c r="E1349" s="453"/>
      <c r="F1349" s="446"/>
      <c r="G1349" s="519"/>
      <c r="H1349" s="508"/>
      <c r="I1349" s="446"/>
      <c r="J1349" s="446" t="s">
        <v>2356</v>
      </c>
      <c r="K1349" s="453">
        <f>+K1346*K1347/K1348</f>
        <v>97443.268250000008</v>
      </c>
      <c r="L1349" s="243" t="s">
        <v>10</v>
      </c>
      <c r="M1349" s="173"/>
      <c r="N1349" s="419"/>
      <c r="O1349" s="171"/>
      <c r="P1349" s="216"/>
      <c r="Q1349" s="419"/>
      <c r="R1349" s="219"/>
    </row>
    <row r="1350" spans="1:24" ht="30" customHeight="1" thickBot="1" x14ac:dyDescent="0.4">
      <c r="A1350" s="1267"/>
      <c r="B1350" s="1268"/>
      <c r="C1350" s="1268"/>
      <c r="D1350" s="1268"/>
      <c r="E1350" s="458"/>
      <c r="F1350" s="458"/>
      <c r="G1350" s="458"/>
      <c r="H1350" s="458"/>
      <c r="I1350" s="568" t="s">
        <v>2359</v>
      </c>
      <c r="J1350" s="583">
        <f>VLOOKUP(B1338,'Mil Cost Premiums for PUCs'!$A$4:$R$272,18,FALSE)</f>
        <v>1.0485669999999998</v>
      </c>
      <c r="K1350" s="591">
        <f>+K1349*J1350</f>
        <v>102175.79545909775</v>
      </c>
      <c r="L1350" s="243" t="s">
        <v>10</v>
      </c>
      <c r="M1350" s="173"/>
      <c r="N1350" s="419"/>
      <c r="O1350" s="171"/>
      <c r="P1350" s="216"/>
      <c r="Q1350" s="419"/>
      <c r="R1350" s="219"/>
    </row>
    <row r="1351" spans="1:24" ht="30" customHeight="1" thickBot="1" x14ac:dyDescent="0.4">
      <c r="A1351" s="1269"/>
      <c r="B1351" s="1269"/>
      <c r="C1351" s="1269"/>
      <c r="D1351" s="1269"/>
      <c r="E1351" s="1269"/>
      <c r="F1351" s="1269"/>
      <c r="G1351" s="1269"/>
      <c r="H1351" s="1269"/>
      <c r="I1351" s="1269"/>
      <c r="J1351" s="1269"/>
      <c r="K1351" s="1269"/>
      <c r="L1351" s="1270"/>
      <c r="M1351" s="173"/>
      <c r="O1351" s="203"/>
    </row>
    <row r="1352" spans="1:24" ht="30" customHeight="1" x14ac:dyDescent="0.35">
      <c r="A1352" s="465" t="s">
        <v>278</v>
      </c>
      <c r="B1352" s="539">
        <v>2111</v>
      </c>
      <c r="C1352" s="1060" t="s">
        <v>899</v>
      </c>
      <c r="D1352" s="1060"/>
      <c r="E1352" s="541" t="s">
        <v>280</v>
      </c>
      <c r="F1352" s="542" t="s">
        <v>8</v>
      </c>
      <c r="G1352" s="543" t="s">
        <v>285</v>
      </c>
      <c r="H1352" s="437">
        <v>30220</v>
      </c>
      <c r="I1352" s="541" t="s">
        <v>281</v>
      </c>
      <c r="J1352" s="1019" t="s">
        <v>2637</v>
      </c>
      <c r="K1352" s="1019"/>
      <c r="L1352" s="1020"/>
      <c r="M1352" s="173"/>
      <c r="O1352" s="203"/>
      <c r="T1352" s="27"/>
      <c r="U1352" s="27"/>
      <c r="V1352" s="27"/>
      <c r="W1352" s="27"/>
      <c r="X1352" s="27"/>
    </row>
    <row r="1353" spans="1:24" s="27" customFormat="1" ht="30" customHeight="1" x14ac:dyDescent="0.35">
      <c r="A1353" s="545" t="s">
        <v>288</v>
      </c>
      <c r="B1353" s="1051" t="s">
        <v>282</v>
      </c>
      <c r="C1353" s="1051"/>
      <c r="D1353" s="1051"/>
      <c r="E1353" s="530" t="s">
        <v>289</v>
      </c>
      <c r="F1353" s="561" t="s">
        <v>290</v>
      </c>
      <c r="G1353" s="509"/>
      <c r="H1353" s="509"/>
      <c r="I1353" s="1052" t="s">
        <v>419</v>
      </c>
      <c r="J1353" s="1052"/>
      <c r="K1353" s="1012" t="s">
        <v>292</v>
      </c>
      <c r="L1353" s="1023"/>
      <c r="M1353" s="173"/>
      <c r="N1353" s="203"/>
      <c r="O1353" s="203"/>
      <c r="P1353" s="203"/>
      <c r="Q1353" s="203"/>
      <c r="R1353" s="203"/>
      <c r="S1353" s="203"/>
      <c r="T1353" s="208"/>
      <c r="U1353" s="208"/>
      <c r="V1353" s="208"/>
      <c r="W1353" s="208"/>
      <c r="X1353" s="208"/>
    </row>
    <row r="1354" spans="1:24" s="208" customFormat="1" ht="30" customHeight="1" x14ac:dyDescent="0.35">
      <c r="A1354" s="562" t="s">
        <v>293</v>
      </c>
      <c r="B1354" s="1057" t="s">
        <v>900</v>
      </c>
      <c r="C1354" s="1057"/>
      <c r="D1354" s="1057"/>
      <c r="E1354" s="563">
        <v>120000</v>
      </c>
      <c r="F1354" s="444">
        <v>359</v>
      </c>
      <c r="G1354" s="442"/>
      <c r="H1354" s="17"/>
      <c r="I1354" s="1044" t="s">
        <v>2638</v>
      </c>
      <c r="J1354" s="1044"/>
      <c r="K1354" s="444">
        <f>+F1354</f>
        <v>359</v>
      </c>
      <c r="L1354" s="564" t="s">
        <v>8</v>
      </c>
      <c r="M1354" s="173"/>
      <c r="N1354" s="214"/>
      <c r="O1354" s="207"/>
      <c r="P1354" s="27"/>
      <c r="Q1354" s="27"/>
      <c r="R1354" s="27"/>
      <c r="S1354" s="27"/>
      <c r="T1354" s="203"/>
      <c r="U1354" s="203"/>
      <c r="V1354" s="203"/>
      <c r="W1354" s="203"/>
      <c r="X1354" s="203"/>
    </row>
    <row r="1355" spans="1:24" ht="30" customHeight="1" thickBot="1" x14ac:dyDescent="0.4">
      <c r="A1355" s="241"/>
      <c r="B1355" s="1059"/>
      <c r="C1355" s="1059"/>
      <c r="D1355" s="1059"/>
      <c r="E1355" s="565"/>
      <c r="F1355" s="566"/>
      <c r="G1355" s="566"/>
      <c r="H1355" s="567"/>
      <c r="I1355" s="458"/>
      <c r="J1355" s="510" t="s">
        <v>2356</v>
      </c>
      <c r="K1355" s="585">
        <f>+K1354</f>
        <v>359</v>
      </c>
      <c r="L1355" s="243" t="s">
        <v>8</v>
      </c>
      <c r="M1355" s="173"/>
      <c r="N1355" s="208"/>
      <c r="P1355" s="208"/>
      <c r="Q1355" s="208"/>
      <c r="R1355" s="208"/>
      <c r="S1355" s="208"/>
    </row>
    <row r="1356" spans="1:24" ht="30" customHeight="1" thickBot="1" x14ac:dyDescent="0.4">
      <c r="A1356" s="1086"/>
      <c r="B1356" s="1086"/>
      <c r="C1356" s="1086"/>
      <c r="D1356" s="1086"/>
      <c r="E1356" s="1086"/>
      <c r="F1356" s="1086"/>
      <c r="G1356" s="1086"/>
      <c r="H1356" s="1086"/>
      <c r="I1356" s="1086"/>
      <c r="J1356" s="1086"/>
      <c r="K1356" s="1086"/>
      <c r="L1356" s="1103"/>
      <c r="M1356" s="173"/>
      <c r="N1356" s="425"/>
    </row>
    <row r="1357" spans="1:24" ht="30" customHeight="1" x14ac:dyDescent="0.35">
      <c r="A1357" s="465" t="s">
        <v>278</v>
      </c>
      <c r="B1357" s="539">
        <v>2112</v>
      </c>
      <c r="C1357" s="1017" t="s">
        <v>901</v>
      </c>
      <c r="D1357" s="1017"/>
      <c r="E1357" s="541" t="s">
        <v>280</v>
      </c>
      <c r="F1357" s="542" t="s">
        <v>8</v>
      </c>
      <c r="G1357" s="543" t="s">
        <v>285</v>
      </c>
      <c r="H1357" s="632">
        <v>11209</v>
      </c>
      <c r="I1357" s="541" t="s">
        <v>281</v>
      </c>
      <c r="J1357" s="1019" t="s">
        <v>2371</v>
      </c>
      <c r="K1357" s="1019"/>
      <c r="L1357" s="1020"/>
      <c r="M1357" s="173"/>
      <c r="N1357" s="68"/>
      <c r="O1357" s="203"/>
      <c r="P1357" s="218"/>
      <c r="Q1357" s="68"/>
      <c r="R1357" s="217"/>
    </row>
    <row r="1358" spans="1:24" ht="30" customHeight="1" x14ac:dyDescent="0.35">
      <c r="A1358" s="588" t="s">
        <v>298</v>
      </c>
      <c r="B1358" s="1038" t="s">
        <v>321</v>
      </c>
      <c r="C1358" s="1038"/>
      <c r="D1358" s="1038"/>
      <c r="E1358" s="23" t="s">
        <v>290</v>
      </c>
      <c r="F1358" s="23" t="s">
        <v>322</v>
      </c>
      <c r="G1358" s="1034" t="s">
        <v>323</v>
      </c>
      <c r="H1358" s="1034"/>
      <c r="I1358" s="201" t="s">
        <v>299</v>
      </c>
      <c r="J1358" s="201"/>
      <c r="K1358" s="1012" t="s">
        <v>292</v>
      </c>
      <c r="L1358" s="1023"/>
      <c r="M1358" s="173"/>
      <c r="N1358" s="68"/>
      <c r="O1358" s="203"/>
      <c r="P1358" s="218"/>
      <c r="Q1358" s="68"/>
      <c r="R1358" s="217"/>
      <c r="T1358" s="208"/>
      <c r="U1358" s="208"/>
      <c r="V1358" s="208"/>
      <c r="W1358" s="208"/>
      <c r="X1358" s="208"/>
    </row>
    <row r="1359" spans="1:24" s="208" customFormat="1" ht="30" customHeight="1" x14ac:dyDescent="0.35">
      <c r="A1359" s="241" t="s">
        <v>902</v>
      </c>
      <c r="B1359" s="1082" t="s">
        <v>2860</v>
      </c>
      <c r="C1359" s="1082"/>
      <c r="D1359" s="1082"/>
      <c r="E1359" s="453">
        <f>80-2.4</f>
        <v>77.599999999999994</v>
      </c>
      <c r="F1359" s="639" t="s">
        <v>8</v>
      </c>
      <c r="G1359" s="699"/>
      <c r="H1359" s="608"/>
      <c r="I1359" s="446">
        <v>1.05</v>
      </c>
      <c r="J1359" s="665"/>
      <c r="K1359" s="453">
        <f>+E1359*I1359</f>
        <v>81.48</v>
      </c>
      <c r="L1359" s="243" t="s">
        <v>8</v>
      </c>
      <c r="M1359" s="173"/>
      <c r="N1359" s="203"/>
      <c r="O1359" s="203"/>
      <c r="P1359" s="218"/>
      <c r="Q1359" s="68"/>
      <c r="R1359" s="217"/>
      <c r="S1359" s="203"/>
      <c r="T1359" s="203"/>
      <c r="U1359" s="203"/>
      <c r="V1359" s="203"/>
      <c r="W1359" s="203"/>
      <c r="X1359" s="203"/>
    </row>
    <row r="1360" spans="1:24" ht="30" customHeight="1" x14ac:dyDescent="0.35">
      <c r="A1360" s="241" t="s">
        <v>903</v>
      </c>
      <c r="B1360" s="1082" t="s">
        <v>2861</v>
      </c>
      <c r="C1360" s="1082"/>
      <c r="D1360" s="1082"/>
      <c r="E1360" s="453">
        <f>187-4.14</f>
        <v>182.86</v>
      </c>
      <c r="F1360" s="639" t="s">
        <v>8</v>
      </c>
      <c r="G1360" s="699"/>
      <c r="H1360" s="608"/>
      <c r="I1360" s="446">
        <v>1.05</v>
      </c>
      <c r="J1360" s="665"/>
      <c r="K1360" s="453">
        <f>+E1360*I1360</f>
        <v>192.00300000000001</v>
      </c>
      <c r="L1360" s="243" t="s">
        <v>8</v>
      </c>
      <c r="M1360" s="173"/>
      <c r="N1360" s="208"/>
      <c r="O1360" s="208"/>
      <c r="P1360" s="218"/>
      <c r="Q1360" s="68"/>
      <c r="R1360" s="217"/>
      <c r="S1360" s="208"/>
    </row>
    <row r="1361" spans="1:18" ht="30" customHeight="1" x14ac:dyDescent="0.35">
      <c r="A1361" s="241" t="s">
        <v>904</v>
      </c>
      <c r="B1361" s="1082" t="s">
        <v>2179</v>
      </c>
      <c r="C1361" s="1082"/>
      <c r="D1361" s="1082"/>
      <c r="E1361" s="453">
        <v>124</v>
      </c>
      <c r="F1361" s="639" t="s">
        <v>8</v>
      </c>
      <c r="G1361" s="699"/>
      <c r="H1361" s="608"/>
      <c r="I1361" s="446">
        <v>1.05</v>
      </c>
      <c r="J1361" s="665"/>
      <c r="K1361" s="453">
        <f>+E1361*I1361</f>
        <v>130.20000000000002</v>
      </c>
      <c r="L1361" s="243" t="s">
        <v>8</v>
      </c>
      <c r="M1361" s="173"/>
      <c r="N1361" s="68"/>
      <c r="O1361" s="203"/>
      <c r="P1361" s="218"/>
      <c r="Q1361" s="68"/>
      <c r="R1361" s="217"/>
    </row>
    <row r="1362" spans="1:18" ht="30" customHeight="1" x14ac:dyDescent="0.35">
      <c r="A1362" s="241"/>
      <c r="B1362" s="485"/>
      <c r="C1362" s="610"/>
      <c r="D1362" s="608"/>
      <c r="E1362" s="453"/>
      <c r="F1362" s="639"/>
      <c r="G1362" s="699"/>
      <c r="H1362" s="608"/>
      <c r="I1362" s="1082" t="s">
        <v>905</v>
      </c>
      <c r="J1362" s="1082"/>
      <c r="K1362" s="453">
        <f>AVERAGE(K1359:K1361)</f>
        <v>134.56100000000001</v>
      </c>
      <c r="L1362" s="243" t="s">
        <v>8</v>
      </c>
      <c r="M1362" s="173"/>
      <c r="N1362" s="68"/>
      <c r="O1362" s="203"/>
      <c r="P1362" s="218"/>
      <c r="Q1362" s="68"/>
      <c r="R1362" s="217"/>
    </row>
    <row r="1363" spans="1:18" ht="30" customHeight="1" x14ac:dyDescent="0.35">
      <c r="A1363" s="241" t="s">
        <v>906</v>
      </c>
      <c r="B1363" s="1082" t="s">
        <v>907</v>
      </c>
      <c r="C1363" s="1082"/>
      <c r="D1363" s="1082"/>
      <c r="E1363" s="453">
        <v>11400</v>
      </c>
      <c r="F1363" s="639" t="s">
        <v>10</v>
      </c>
      <c r="G1363" s="746">
        <f>1/H1357</f>
        <v>8.9214024444642697E-5</v>
      </c>
      <c r="H1363" s="608" t="s">
        <v>908</v>
      </c>
      <c r="I1363" s="659">
        <v>1.04</v>
      </c>
      <c r="J1363" s="665"/>
      <c r="K1363" s="453">
        <f>+E1363*G1363*I1363</f>
        <v>1.0577214738156839</v>
      </c>
      <c r="L1363" s="243" t="s">
        <v>8</v>
      </c>
      <c r="M1363" s="173"/>
      <c r="N1363" s="68"/>
      <c r="O1363" s="203"/>
      <c r="P1363" s="218"/>
      <c r="Q1363" s="68"/>
      <c r="R1363" s="217"/>
    </row>
    <row r="1364" spans="1:18" ht="30" customHeight="1" x14ac:dyDescent="0.35">
      <c r="A1364" s="241" t="s">
        <v>436</v>
      </c>
      <c r="B1364" s="1082" t="s">
        <v>909</v>
      </c>
      <c r="C1364" s="1082"/>
      <c r="D1364" s="1082"/>
      <c r="E1364" s="453">
        <v>141000</v>
      </c>
      <c r="F1364" s="639" t="s">
        <v>10</v>
      </c>
      <c r="G1364" s="746">
        <f>1/H1357</f>
        <v>8.9214024444642697E-5</v>
      </c>
      <c r="H1364" s="608" t="s">
        <v>908</v>
      </c>
      <c r="I1364" s="659">
        <v>1.02</v>
      </c>
      <c r="J1364" s="665"/>
      <c r="K1364" s="453">
        <f>+E1364*G1364*I1364</f>
        <v>12.830760995628513</v>
      </c>
      <c r="L1364" s="243" t="s">
        <v>8</v>
      </c>
      <c r="M1364" s="173"/>
      <c r="N1364" s="68"/>
      <c r="O1364" s="203"/>
      <c r="P1364" s="218"/>
      <c r="Q1364" s="68"/>
      <c r="R1364" s="217"/>
    </row>
    <row r="1365" spans="1:18" ht="30" customHeight="1" x14ac:dyDescent="0.35">
      <c r="A1365" s="747" t="s">
        <v>360</v>
      </c>
      <c r="B1365" s="1082" t="s">
        <v>2849</v>
      </c>
      <c r="C1365" s="1082"/>
      <c r="D1365" s="1082"/>
      <c r="E1365" s="591">
        <f xml:space="preserve"> 0.58+((1.15 +1.71)/2)</f>
        <v>2.0099999999999998</v>
      </c>
      <c r="F1365" s="639" t="s">
        <v>8</v>
      </c>
      <c r="G1365" s="748"/>
      <c r="H1365" s="608"/>
      <c r="I1365" s="659">
        <v>1.05</v>
      </c>
      <c r="J1365" s="665"/>
      <c r="K1365" s="453">
        <f>+E1365*I1365</f>
        <v>2.1105</v>
      </c>
      <c r="L1365" s="243" t="s">
        <v>8</v>
      </c>
      <c r="M1365" s="173"/>
      <c r="N1365" s="68"/>
      <c r="O1365" s="203"/>
      <c r="P1365" s="218"/>
      <c r="Q1365" s="68"/>
      <c r="R1365" s="217"/>
    </row>
    <row r="1366" spans="1:18" ht="30" customHeight="1" x14ac:dyDescent="0.35">
      <c r="A1366" s="241" t="s">
        <v>360</v>
      </c>
      <c r="B1366" s="1082" t="s">
        <v>911</v>
      </c>
      <c r="C1366" s="1082"/>
      <c r="D1366" s="1082"/>
      <c r="E1366" s="51">
        <v>4.79</v>
      </c>
      <c r="F1366" s="446" t="s">
        <v>8</v>
      </c>
      <c r="G1366" s="700"/>
      <c r="H1366" s="608"/>
      <c r="I1366" s="659">
        <v>1.05</v>
      </c>
      <c r="J1366" s="665"/>
      <c r="K1366" s="453">
        <f>+E1366*I1366</f>
        <v>5.0295000000000005</v>
      </c>
      <c r="L1366" s="243" t="s">
        <v>8</v>
      </c>
      <c r="M1366" s="173"/>
      <c r="N1366" s="68"/>
      <c r="O1366" s="203"/>
      <c r="P1366" s="218"/>
      <c r="Q1366" s="68"/>
      <c r="R1366" s="217"/>
    </row>
    <row r="1367" spans="1:18" ht="30" customHeight="1" x14ac:dyDescent="0.35">
      <c r="A1367" s="241"/>
      <c r="B1367" s="1059"/>
      <c r="C1367" s="1059"/>
      <c r="D1367" s="1059"/>
      <c r="E1367" s="453"/>
      <c r="F1367" s="446"/>
      <c r="G1367" s="701"/>
      <c r="H1367" s="508"/>
      <c r="I1367" s="446"/>
      <c r="J1367" s="446" t="s">
        <v>362</v>
      </c>
      <c r="K1367" s="453">
        <f>SUM(K1362:K1366)</f>
        <v>155.58948246944422</v>
      </c>
      <c r="L1367" s="243" t="s">
        <v>8</v>
      </c>
      <c r="M1367" s="173"/>
      <c r="N1367" s="135"/>
      <c r="O1367" s="203"/>
      <c r="P1367" s="218"/>
      <c r="Q1367" s="68"/>
      <c r="R1367" s="217"/>
    </row>
    <row r="1368" spans="1:18" ht="30" customHeight="1" x14ac:dyDescent="0.35">
      <c r="A1368" s="241"/>
      <c r="B1368" s="506"/>
      <c r="C1368" s="506"/>
      <c r="D1368" s="506"/>
      <c r="E1368" s="453"/>
      <c r="F1368" s="1029" t="s">
        <v>302</v>
      </c>
      <c r="G1368" s="1058" t="s">
        <v>303</v>
      </c>
      <c r="H1368" s="1058"/>
      <c r="I1368" s="1058"/>
      <c r="J1368" s="1058"/>
      <c r="K1368" s="612">
        <v>1.1000000000000001</v>
      </c>
      <c r="L1368" s="243"/>
      <c r="M1368" s="173"/>
      <c r="N1368" s="135"/>
      <c r="O1368" s="203"/>
      <c r="P1368" s="218"/>
      <c r="Q1368" s="68"/>
      <c r="R1368" s="217"/>
    </row>
    <row r="1369" spans="1:18" ht="30" customHeight="1" x14ac:dyDescent="0.35">
      <c r="A1369" s="241"/>
      <c r="B1369" s="506"/>
      <c r="C1369" s="506"/>
      <c r="D1369" s="506"/>
      <c r="E1369" s="453"/>
      <c r="F1369" s="1029"/>
      <c r="G1369" s="1073" t="s">
        <v>2374</v>
      </c>
      <c r="H1369" s="1073"/>
      <c r="I1369" s="1073"/>
      <c r="J1369" s="1073"/>
      <c r="K1369" s="612">
        <v>1.08</v>
      </c>
      <c r="L1369" s="243"/>
      <c r="M1369" s="173"/>
      <c r="N1369" s="68"/>
      <c r="O1369" s="203"/>
      <c r="P1369" s="218"/>
      <c r="Q1369" s="68"/>
      <c r="R1369" s="217"/>
    </row>
    <row r="1370" spans="1:18" ht="30" customHeight="1" x14ac:dyDescent="0.35">
      <c r="A1370" s="241"/>
      <c r="B1370" s="446"/>
      <c r="C1370" s="458"/>
      <c r="D1370" s="458"/>
      <c r="E1370" s="458"/>
      <c r="F1370" s="458"/>
      <c r="G1370" s="458"/>
      <c r="H1370" s="458"/>
      <c r="I1370" s="458"/>
      <c r="J1370" s="446" t="s">
        <v>2356</v>
      </c>
      <c r="K1370" s="591">
        <f>+K1367*K1368/K1369</f>
        <v>158.47076918184132</v>
      </c>
      <c r="L1370" s="243" t="s">
        <v>8</v>
      </c>
      <c r="M1370" s="173"/>
      <c r="N1370" s="419"/>
      <c r="O1370" s="171"/>
      <c r="P1370" s="216"/>
      <c r="Q1370" s="419"/>
      <c r="R1370" s="219"/>
    </row>
    <row r="1371" spans="1:18" ht="30" customHeight="1" x14ac:dyDescent="0.35">
      <c r="A1371" s="241"/>
      <c r="B1371" s="446"/>
      <c r="C1371" s="458"/>
      <c r="D1371" s="458"/>
      <c r="E1371" s="458"/>
      <c r="F1371" s="458"/>
      <c r="G1371" s="1038" t="s">
        <v>2359</v>
      </c>
      <c r="H1371" s="1038"/>
      <c r="I1371" s="1038"/>
      <c r="J1371" s="583">
        <f>VLOOKUP(B1357,'Mil Cost Premiums for PUCs'!$A$4:$R$272,18,FALSE)</f>
        <v>1.1932356231980656</v>
      </c>
      <c r="K1371" s="591">
        <f>+K1370*J1371</f>
        <v>189.09296702337124</v>
      </c>
      <c r="L1371" s="243" t="s">
        <v>8</v>
      </c>
      <c r="M1371" s="173"/>
      <c r="N1371" s="419"/>
      <c r="O1371" s="171"/>
      <c r="P1371" s="216"/>
      <c r="Q1371" s="419"/>
      <c r="R1371" s="219"/>
    </row>
    <row r="1372" spans="1:18" ht="60" customHeight="1" x14ac:dyDescent="0.35">
      <c r="A1372" s="1064" t="s">
        <v>305</v>
      </c>
      <c r="B1372" s="1067"/>
      <c r="C1372" s="1067"/>
      <c r="D1372" s="1067"/>
      <c r="E1372" s="1067"/>
      <c r="F1372" s="1067"/>
      <c r="G1372" s="1067"/>
      <c r="H1372" s="1067"/>
      <c r="I1372" s="1067"/>
      <c r="J1372" s="1067"/>
      <c r="K1372" s="1067"/>
      <c r="L1372" s="1126"/>
      <c r="M1372" s="173"/>
      <c r="N1372" s="68"/>
      <c r="O1372" s="203"/>
      <c r="P1372" s="218"/>
      <c r="Q1372" s="68"/>
      <c r="R1372" s="217"/>
    </row>
    <row r="1373" spans="1:18" ht="30" customHeight="1" x14ac:dyDescent="0.35">
      <c r="A1373" s="1124" t="s">
        <v>306</v>
      </c>
      <c r="B1373" s="1125"/>
      <c r="C1373" s="1125"/>
      <c r="D1373" s="1129" t="s">
        <v>912</v>
      </c>
      <c r="E1373" s="1129"/>
      <c r="F1373" s="1129"/>
      <c r="G1373" s="1129"/>
      <c r="H1373" s="1129"/>
      <c r="I1373" s="1129"/>
      <c r="J1373" s="1129"/>
      <c r="K1373" s="1129"/>
      <c r="L1373" s="1130"/>
      <c r="M1373" s="173"/>
      <c r="N1373" s="68"/>
      <c r="O1373" s="203"/>
      <c r="P1373" s="218"/>
      <c r="Q1373" s="68"/>
      <c r="R1373" s="217"/>
    </row>
    <row r="1374" spans="1:18" ht="45" customHeight="1" x14ac:dyDescent="0.35">
      <c r="A1374" s="1124" t="s">
        <v>307</v>
      </c>
      <c r="B1374" s="1125"/>
      <c r="C1374" s="1125"/>
      <c r="D1374" s="1067" t="s">
        <v>913</v>
      </c>
      <c r="E1374" s="1067"/>
      <c r="F1374" s="1067"/>
      <c r="G1374" s="1067"/>
      <c r="H1374" s="1067"/>
      <c r="I1374" s="1067"/>
      <c r="J1374" s="1067"/>
      <c r="K1374" s="1067"/>
      <c r="L1374" s="1126"/>
      <c r="M1374" s="173"/>
      <c r="N1374" s="68"/>
      <c r="O1374" s="203"/>
      <c r="P1374" s="218"/>
      <c r="Q1374" s="68"/>
      <c r="R1374" s="217"/>
    </row>
    <row r="1375" spans="1:18" ht="30" customHeight="1" x14ac:dyDescent="0.35">
      <c r="A1375" s="1124" t="s">
        <v>308</v>
      </c>
      <c r="B1375" s="1125"/>
      <c r="C1375" s="1125"/>
      <c r="D1375" s="1067" t="s">
        <v>2853</v>
      </c>
      <c r="E1375" s="1067"/>
      <c r="F1375" s="1067"/>
      <c r="G1375" s="1067"/>
      <c r="H1375" s="1067"/>
      <c r="I1375" s="1067"/>
      <c r="J1375" s="1067"/>
      <c r="K1375" s="1067"/>
      <c r="L1375" s="1126"/>
      <c r="M1375" s="173"/>
      <c r="N1375" s="68"/>
      <c r="O1375" s="203"/>
      <c r="P1375" s="218"/>
      <c r="Q1375" s="68"/>
      <c r="R1375" s="217"/>
    </row>
    <row r="1376" spans="1:18" ht="30" customHeight="1" x14ac:dyDescent="0.35">
      <c r="A1376" s="1124" t="s">
        <v>309</v>
      </c>
      <c r="B1376" s="1125"/>
      <c r="C1376" s="1125"/>
      <c r="D1376" s="1067" t="s">
        <v>914</v>
      </c>
      <c r="E1376" s="1067"/>
      <c r="F1376" s="1067"/>
      <c r="G1376" s="1067"/>
      <c r="H1376" s="1067"/>
      <c r="I1376" s="1067"/>
      <c r="J1376" s="1067"/>
      <c r="K1376" s="1067"/>
      <c r="L1376" s="1126"/>
      <c r="M1376" s="173"/>
      <c r="N1376" s="68"/>
      <c r="O1376" s="203"/>
      <c r="P1376" s="218"/>
      <c r="Q1376" s="68"/>
      <c r="R1376" s="217"/>
    </row>
    <row r="1377" spans="1:24" ht="30" customHeight="1" x14ac:dyDescent="0.35">
      <c r="A1377" s="1124" t="s">
        <v>311</v>
      </c>
      <c r="B1377" s="1125"/>
      <c r="C1377" s="1125"/>
      <c r="D1377" s="1067" t="s">
        <v>915</v>
      </c>
      <c r="E1377" s="1067"/>
      <c r="F1377" s="1067"/>
      <c r="G1377" s="1067"/>
      <c r="H1377" s="1067"/>
      <c r="I1377" s="1067"/>
      <c r="J1377" s="1067"/>
      <c r="K1377" s="1067"/>
      <c r="L1377" s="1126"/>
      <c r="M1377" s="173"/>
      <c r="N1377" s="68"/>
      <c r="O1377" s="203"/>
      <c r="P1377" s="218"/>
      <c r="Q1377" s="68"/>
      <c r="R1377" s="217"/>
    </row>
    <row r="1378" spans="1:24" ht="30" customHeight="1" x14ac:dyDescent="0.35">
      <c r="A1378" s="1124" t="s">
        <v>313</v>
      </c>
      <c r="B1378" s="1125"/>
      <c r="C1378" s="1125"/>
      <c r="D1378" s="1067" t="s">
        <v>2916</v>
      </c>
      <c r="E1378" s="1067"/>
      <c r="F1378" s="1067"/>
      <c r="G1378" s="1067"/>
      <c r="H1378" s="1067"/>
      <c r="I1378" s="1067"/>
      <c r="J1378" s="1067"/>
      <c r="K1378" s="1067"/>
      <c r="L1378" s="1126"/>
      <c r="M1378" s="173"/>
      <c r="N1378" s="68"/>
      <c r="O1378" s="203"/>
      <c r="P1378" s="218"/>
      <c r="Q1378" s="68"/>
      <c r="R1378" s="217"/>
    </row>
    <row r="1379" spans="1:24" ht="30" customHeight="1" x14ac:dyDescent="0.35">
      <c r="A1379" s="1124" t="s">
        <v>315</v>
      </c>
      <c r="B1379" s="1125"/>
      <c r="C1379" s="1125"/>
      <c r="D1379" s="1067" t="s">
        <v>916</v>
      </c>
      <c r="E1379" s="1067"/>
      <c r="F1379" s="1067"/>
      <c r="G1379" s="1067"/>
      <c r="H1379" s="1067"/>
      <c r="I1379" s="1067"/>
      <c r="J1379" s="1067"/>
      <c r="K1379" s="1067"/>
      <c r="L1379" s="1126"/>
      <c r="M1379" s="173"/>
      <c r="N1379" s="68"/>
      <c r="O1379" s="203"/>
      <c r="P1379" s="218"/>
      <c r="Q1379" s="68"/>
      <c r="R1379" s="217"/>
    </row>
    <row r="1380" spans="1:24" ht="75" customHeight="1" x14ac:dyDescent="0.35">
      <c r="A1380" s="1124" t="s">
        <v>467</v>
      </c>
      <c r="B1380" s="1125"/>
      <c r="C1380" s="1125"/>
      <c r="D1380" s="1118" t="s">
        <v>917</v>
      </c>
      <c r="E1380" s="1118"/>
      <c r="F1380" s="1118"/>
      <c r="G1380" s="1118"/>
      <c r="H1380" s="1118"/>
      <c r="I1380" s="1118"/>
      <c r="J1380" s="1118"/>
      <c r="K1380" s="1118"/>
      <c r="L1380" s="1119"/>
      <c r="M1380" s="173"/>
      <c r="N1380" s="68"/>
      <c r="O1380" s="203"/>
      <c r="P1380" s="218"/>
      <c r="Q1380" s="68"/>
      <c r="R1380" s="217"/>
    </row>
    <row r="1381" spans="1:24" ht="30" customHeight="1" thickBot="1" x14ac:dyDescent="0.4">
      <c r="A1381" s="1132" t="s">
        <v>318</v>
      </c>
      <c r="B1381" s="1129"/>
      <c r="C1381" s="1129"/>
      <c r="D1381" s="1068" t="s">
        <v>2848</v>
      </c>
      <c r="E1381" s="1068"/>
      <c r="F1381" s="1068"/>
      <c r="G1381" s="1068"/>
      <c r="H1381" s="1068"/>
      <c r="I1381" s="1068"/>
      <c r="J1381" s="1068"/>
      <c r="K1381" s="1068"/>
      <c r="L1381" s="1120"/>
      <c r="M1381" s="173"/>
      <c r="N1381" s="68"/>
      <c r="O1381" s="203"/>
      <c r="P1381" s="218"/>
      <c r="Q1381" s="68"/>
      <c r="R1381" s="217"/>
      <c r="T1381" s="51"/>
      <c r="U1381" s="171"/>
    </row>
    <row r="1382" spans="1:24" ht="30" customHeight="1" thickBot="1" x14ac:dyDescent="0.4">
      <c r="A1382" s="1086"/>
      <c r="B1382" s="1086"/>
      <c r="C1382" s="1086"/>
      <c r="D1382" s="1086"/>
      <c r="E1382" s="1086"/>
      <c r="F1382" s="1086"/>
      <c r="G1382" s="1086"/>
      <c r="H1382" s="1086"/>
      <c r="I1382" s="1086"/>
      <c r="J1382" s="1086"/>
      <c r="K1382" s="1086"/>
      <c r="L1382" s="1103"/>
      <c r="M1382" s="173"/>
      <c r="N1382" s="68"/>
      <c r="O1382" s="203"/>
      <c r="P1382" s="218"/>
      <c r="Q1382" s="68"/>
      <c r="R1382" s="217"/>
      <c r="T1382" s="51"/>
      <c r="U1382" s="171"/>
    </row>
    <row r="1383" spans="1:24" ht="30" customHeight="1" x14ac:dyDescent="0.35">
      <c r="A1383" s="465" t="s">
        <v>278</v>
      </c>
      <c r="B1383" s="539">
        <v>2113</v>
      </c>
      <c r="C1383" s="1060" t="s">
        <v>918</v>
      </c>
      <c r="D1383" s="1060"/>
      <c r="E1383" s="541" t="s">
        <v>280</v>
      </c>
      <c r="F1383" s="542" t="s">
        <v>8</v>
      </c>
      <c r="G1383" s="543" t="s">
        <v>285</v>
      </c>
      <c r="H1383" s="437">
        <v>17874</v>
      </c>
      <c r="I1383" s="541" t="s">
        <v>281</v>
      </c>
      <c r="J1383" s="1019" t="s">
        <v>2637</v>
      </c>
      <c r="K1383" s="1019"/>
      <c r="L1383" s="1020"/>
      <c r="M1383" s="173"/>
      <c r="P1383" s="171"/>
      <c r="Q1383" s="171"/>
      <c r="R1383" s="171"/>
      <c r="S1383" s="51"/>
      <c r="T1383" s="27"/>
      <c r="U1383" s="27"/>
      <c r="V1383" s="27"/>
      <c r="W1383" s="27"/>
      <c r="X1383" s="27"/>
    </row>
    <row r="1384" spans="1:24" s="27" customFormat="1" ht="30" customHeight="1" x14ac:dyDescent="0.35">
      <c r="A1384" s="545" t="s">
        <v>288</v>
      </c>
      <c r="B1384" s="1051" t="s">
        <v>282</v>
      </c>
      <c r="C1384" s="1051"/>
      <c r="D1384" s="1051"/>
      <c r="E1384" s="530" t="s">
        <v>289</v>
      </c>
      <c r="F1384" s="561" t="s">
        <v>290</v>
      </c>
      <c r="G1384" s="509"/>
      <c r="H1384" s="509"/>
      <c r="I1384" s="1052" t="s">
        <v>405</v>
      </c>
      <c r="J1384" s="1052"/>
      <c r="K1384" s="1012" t="s">
        <v>292</v>
      </c>
      <c r="L1384" s="1023"/>
      <c r="M1384" s="363"/>
      <c r="N1384" s="203"/>
      <c r="O1384" s="205"/>
      <c r="P1384" s="171"/>
      <c r="Q1384" s="171"/>
      <c r="R1384" s="171"/>
      <c r="S1384" s="51"/>
      <c r="T1384" s="208"/>
      <c r="U1384" s="208"/>
      <c r="V1384" s="208"/>
      <c r="W1384" s="208"/>
      <c r="X1384" s="208"/>
    </row>
    <row r="1385" spans="1:24" s="208" customFormat="1" ht="30" customHeight="1" x14ac:dyDescent="0.35">
      <c r="A1385" s="562" t="s">
        <v>293</v>
      </c>
      <c r="B1385" s="1057" t="s">
        <v>2884</v>
      </c>
      <c r="C1385" s="1057"/>
      <c r="D1385" s="1057"/>
      <c r="E1385" s="563">
        <v>100000</v>
      </c>
      <c r="F1385" s="444">
        <v>437</v>
      </c>
      <c r="G1385" s="442"/>
      <c r="H1385" s="17"/>
      <c r="I1385" s="1044" t="s">
        <v>2638</v>
      </c>
      <c r="J1385" s="1044"/>
      <c r="K1385" s="444">
        <f>+F1385</f>
        <v>437</v>
      </c>
      <c r="L1385" s="564" t="s">
        <v>8</v>
      </c>
      <c r="M1385" s="173"/>
      <c r="N1385" s="214"/>
      <c r="O1385" s="207"/>
      <c r="P1385" s="27"/>
      <c r="Q1385" s="27"/>
      <c r="R1385" s="27"/>
      <c r="S1385" s="27"/>
      <c r="T1385" s="203"/>
      <c r="U1385" s="203"/>
      <c r="V1385" s="203"/>
      <c r="W1385" s="203"/>
      <c r="X1385" s="203"/>
    </row>
    <row r="1386" spans="1:24" ht="30" customHeight="1" thickBot="1" x14ac:dyDescent="0.4">
      <c r="A1386" s="241"/>
      <c r="B1386" s="1059"/>
      <c r="C1386" s="1059"/>
      <c r="D1386" s="1059"/>
      <c r="E1386" s="565"/>
      <c r="F1386" s="566"/>
      <c r="G1386" s="566"/>
      <c r="H1386" s="567"/>
      <c r="I1386" s="458"/>
      <c r="J1386" s="510" t="s">
        <v>2356</v>
      </c>
      <c r="K1386" s="585">
        <f>+K1385</f>
        <v>437</v>
      </c>
      <c r="L1386" s="243" t="s">
        <v>8</v>
      </c>
      <c r="M1386" s="173"/>
      <c r="N1386" s="208"/>
      <c r="P1386" s="208"/>
      <c r="Q1386" s="208"/>
      <c r="R1386" s="208"/>
      <c r="S1386" s="208"/>
      <c r="T1386" s="27"/>
      <c r="U1386" s="171"/>
    </row>
    <row r="1387" spans="1:24" ht="30" customHeight="1" thickBot="1" x14ac:dyDescent="0.4">
      <c r="A1387" s="481"/>
      <c r="B1387" s="482"/>
      <c r="C1387" s="482"/>
      <c r="D1387" s="482"/>
      <c r="E1387" s="482"/>
      <c r="F1387" s="482"/>
      <c r="G1387" s="482"/>
      <c r="H1387" s="482"/>
      <c r="I1387" s="482"/>
      <c r="J1387" s="482"/>
      <c r="K1387" s="482"/>
      <c r="L1387" s="483"/>
      <c r="M1387" s="173"/>
      <c r="N1387" s="425"/>
      <c r="U1387" s="171"/>
    </row>
    <row r="1388" spans="1:24" ht="30" customHeight="1" x14ac:dyDescent="0.35">
      <c r="A1388" s="465" t="s">
        <v>278</v>
      </c>
      <c r="B1388" s="539">
        <v>2114</v>
      </c>
      <c r="C1388" s="1060" t="s">
        <v>919</v>
      </c>
      <c r="D1388" s="1060"/>
      <c r="E1388" s="541" t="s">
        <v>280</v>
      </c>
      <c r="F1388" s="542" t="s">
        <v>8</v>
      </c>
      <c r="G1388" s="543" t="s">
        <v>285</v>
      </c>
      <c r="H1388" s="555">
        <v>8776</v>
      </c>
      <c r="I1388" s="541" t="s">
        <v>281</v>
      </c>
      <c r="J1388" s="1019" t="s">
        <v>2300</v>
      </c>
      <c r="K1388" s="1019"/>
      <c r="L1388" s="1020"/>
      <c r="M1388" s="173"/>
      <c r="N1388" s="214"/>
      <c r="O1388" s="207"/>
      <c r="P1388" s="27"/>
      <c r="Q1388" s="27"/>
      <c r="R1388" s="27"/>
      <c r="S1388" s="27"/>
      <c r="U1388" s="27"/>
      <c r="V1388" s="27"/>
      <c r="W1388" s="27"/>
      <c r="X1388" s="27"/>
    </row>
    <row r="1389" spans="1:24" s="27" customFormat="1" ht="30" customHeight="1" x14ac:dyDescent="0.35">
      <c r="A1389" s="545" t="s">
        <v>288</v>
      </c>
      <c r="B1389" s="1051" t="s">
        <v>282</v>
      </c>
      <c r="C1389" s="1051"/>
      <c r="D1389" s="1051"/>
      <c r="E1389" s="530" t="s">
        <v>289</v>
      </c>
      <c r="F1389" s="561" t="s">
        <v>290</v>
      </c>
      <c r="G1389" s="1094" t="s">
        <v>323</v>
      </c>
      <c r="H1389" s="1094"/>
      <c r="I1389" s="1052" t="s">
        <v>405</v>
      </c>
      <c r="J1389" s="1052"/>
      <c r="K1389" s="1012" t="s">
        <v>292</v>
      </c>
      <c r="L1389" s="1023"/>
      <c r="M1389" s="173"/>
      <c r="N1389" s="203"/>
      <c r="O1389" s="205"/>
      <c r="P1389" s="203"/>
      <c r="Q1389" s="203"/>
      <c r="R1389" s="203"/>
      <c r="S1389" s="203"/>
      <c r="T1389" s="213"/>
      <c r="U1389" s="208"/>
      <c r="V1389" s="208"/>
      <c r="W1389" s="208"/>
      <c r="X1389" s="208"/>
    </row>
    <row r="1390" spans="1:24" s="208" customFormat="1" ht="30" customHeight="1" x14ac:dyDescent="0.35">
      <c r="A1390" s="562">
        <v>21140</v>
      </c>
      <c r="B1390" s="1057" t="s">
        <v>920</v>
      </c>
      <c r="C1390" s="1057"/>
      <c r="D1390" s="1057"/>
      <c r="E1390" s="563">
        <v>26000</v>
      </c>
      <c r="F1390" s="441">
        <v>229</v>
      </c>
      <c r="G1390" s="434"/>
      <c r="H1390" s="443"/>
      <c r="I1390" s="1044">
        <f>+'2021 MILCON Inflation Table'!F10</f>
        <v>1.3093098833874974</v>
      </c>
      <c r="J1390" s="1044"/>
      <c r="K1390" s="463">
        <f>+F1390*I1390</f>
        <v>299.8319632957369</v>
      </c>
      <c r="L1390" s="564" t="s">
        <v>8</v>
      </c>
      <c r="M1390" s="173"/>
      <c r="N1390" s="203"/>
      <c r="O1390" s="205"/>
      <c r="P1390" s="203"/>
      <c r="Q1390" s="203"/>
      <c r="R1390" s="203"/>
      <c r="S1390" s="203"/>
      <c r="T1390" s="51"/>
      <c r="U1390" s="203"/>
      <c r="V1390" s="203"/>
      <c r="W1390" s="203"/>
      <c r="X1390" s="203"/>
    </row>
    <row r="1391" spans="1:24" ht="30" customHeight="1" thickBot="1" x14ac:dyDescent="0.4">
      <c r="A1391" s="241"/>
      <c r="B1391" s="1059"/>
      <c r="C1391" s="1059"/>
      <c r="D1391" s="1059"/>
      <c r="E1391" s="565"/>
      <c r="F1391" s="566"/>
      <c r="G1391" s="566"/>
      <c r="H1391" s="567"/>
      <c r="I1391" s="458"/>
      <c r="J1391" s="510" t="s">
        <v>2356</v>
      </c>
      <c r="K1391" s="459">
        <f>+K1390</f>
        <v>299.8319632957369</v>
      </c>
      <c r="L1391" s="243" t="s">
        <v>8</v>
      </c>
      <c r="M1391" s="173"/>
      <c r="N1391" s="208"/>
      <c r="P1391" s="75"/>
      <c r="Q1391" s="75"/>
      <c r="R1391" s="75"/>
      <c r="S1391" s="213"/>
      <c r="T1391" s="51"/>
      <c r="U1391" s="171"/>
    </row>
    <row r="1392" spans="1:24" ht="30" customHeight="1" thickBot="1" x14ac:dyDescent="0.4">
      <c r="A1392" s="1086"/>
      <c r="B1392" s="1086"/>
      <c r="C1392" s="1086"/>
      <c r="D1392" s="1086"/>
      <c r="E1392" s="1086"/>
      <c r="F1392" s="1086"/>
      <c r="G1392" s="1086"/>
      <c r="H1392" s="1086"/>
      <c r="I1392" s="1086"/>
      <c r="J1392" s="1086"/>
      <c r="K1392" s="1086"/>
      <c r="L1392" s="1103"/>
      <c r="M1392" s="173"/>
      <c r="P1392" s="171"/>
      <c r="Q1392" s="171"/>
      <c r="R1392" s="171"/>
      <c r="S1392" s="51"/>
      <c r="T1392" s="51"/>
      <c r="U1392" s="171"/>
    </row>
    <row r="1393" spans="1:24" ht="30" customHeight="1" x14ac:dyDescent="0.35">
      <c r="A1393" s="465" t="s">
        <v>278</v>
      </c>
      <c r="B1393" s="539">
        <v>2115</v>
      </c>
      <c r="C1393" s="1060" t="s">
        <v>921</v>
      </c>
      <c r="D1393" s="1060"/>
      <c r="E1393" s="541" t="s">
        <v>280</v>
      </c>
      <c r="F1393" s="542" t="s">
        <v>8</v>
      </c>
      <c r="G1393" s="543" t="s">
        <v>285</v>
      </c>
      <c r="H1393" s="558">
        <v>86476</v>
      </c>
      <c r="I1393" s="541" t="s">
        <v>281</v>
      </c>
      <c r="J1393" s="1019" t="s">
        <v>2637</v>
      </c>
      <c r="K1393" s="1019"/>
      <c r="L1393" s="1020"/>
      <c r="M1393" s="173"/>
      <c r="P1393" s="171"/>
      <c r="Q1393" s="171"/>
      <c r="R1393" s="171"/>
      <c r="S1393" s="51"/>
      <c r="T1393" s="27"/>
      <c r="U1393" s="27"/>
      <c r="V1393" s="27"/>
      <c r="W1393" s="27"/>
      <c r="X1393" s="27"/>
    </row>
    <row r="1394" spans="1:24" s="27" customFormat="1" ht="30" customHeight="1" x14ac:dyDescent="0.35">
      <c r="A1394" s="545" t="s">
        <v>288</v>
      </c>
      <c r="B1394" s="1051" t="s">
        <v>282</v>
      </c>
      <c r="C1394" s="1051"/>
      <c r="D1394" s="1051"/>
      <c r="E1394" s="530" t="s">
        <v>289</v>
      </c>
      <c r="F1394" s="561" t="s">
        <v>290</v>
      </c>
      <c r="G1394" s="509"/>
      <c r="H1394" s="509"/>
      <c r="I1394" s="1052" t="s">
        <v>405</v>
      </c>
      <c r="J1394" s="1052"/>
      <c r="K1394" s="1012" t="s">
        <v>292</v>
      </c>
      <c r="L1394" s="1023"/>
      <c r="M1394" s="406"/>
      <c r="N1394" s="203"/>
      <c r="O1394" s="205"/>
      <c r="P1394" s="171"/>
      <c r="Q1394" s="171"/>
      <c r="R1394" s="171"/>
      <c r="S1394" s="51"/>
      <c r="T1394" s="208"/>
      <c r="U1394" s="208"/>
      <c r="V1394" s="208"/>
      <c r="W1394" s="208"/>
      <c r="X1394" s="208"/>
    </row>
    <row r="1395" spans="1:24" s="208" customFormat="1" ht="30" customHeight="1" x14ac:dyDescent="0.35">
      <c r="A1395" s="562" t="s">
        <v>293</v>
      </c>
      <c r="B1395" s="1057" t="s">
        <v>2883</v>
      </c>
      <c r="C1395" s="1057"/>
      <c r="D1395" s="1057"/>
      <c r="E1395" s="563">
        <v>200000</v>
      </c>
      <c r="F1395" s="444">
        <v>392</v>
      </c>
      <c r="G1395" s="442"/>
      <c r="H1395" s="17"/>
      <c r="I1395" s="1044" t="s">
        <v>2638</v>
      </c>
      <c r="J1395" s="1044"/>
      <c r="K1395" s="444">
        <f>+F1395</f>
        <v>392</v>
      </c>
      <c r="L1395" s="564" t="s">
        <v>8</v>
      </c>
      <c r="M1395" s="173"/>
      <c r="N1395" s="214"/>
      <c r="O1395" s="207"/>
      <c r="P1395" s="27"/>
      <c r="Q1395" s="27"/>
      <c r="R1395" s="27"/>
      <c r="S1395" s="27"/>
      <c r="T1395" s="203"/>
      <c r="U1395" s="203"/>
      <c r="V1395" s="203"/>
      <c r="W1395" s="203"/>
      <c r="X1395" s="203"/>
    </row>
    <row r="1396" spans="1:24" ht="30" customHeight="1" thickBot="1" x14ac:dyDescent="0.4">
      <c r="A1396" s="241"/>
      <c r="B1396" s="1059"/>
      <c r="C1396" s="1059"/>
      <c r="D1396" s="1059"/>
      <c r="E1396" s="565"/>
      <c r="F1396" s="566"/>
      <c r="G1396" s="566"/>
      <c r="H1396" s="567"/>
      <c r="I1396" s="458"/>
      <c r="J1396" s="510" t="s">
        <v>2356</v>
      </c>
      <c r="K1396" s="585">
        <f>+K1395</f>
        <v>392</v>
      </c>
      <c r="L1396" s="243" t="s">
        <v>8</v>
      </c>
      <c r="M1396" s="173"/>
      <c r="N1396" s="208"/>
      <c r="P1396" s="208"/>
      <c r="Q1396" s="208"/>
      <c r="R1396" s="208"/>
      <c r="S1396" s="208"/>
      <c r="T1396" s="27"/>
      <c r="U1396" s="171"/>
    </row>
    <row r="1397" spans="1:24" ht="30" customHeight="1" thickBot="1" x14ac:dyDescent="0.4">
      <c r="A1397" s="1086"/>
      <c r="B1397" s="1086"/>
      <c r="C1397" s="1086"/>
      <c r="D1397" s="1086"/>
      <c r="E1397" s="1086"/>
      <c r="F1397" s="1086"/>
      <c r="G1397" s="1086"/>
      <c r="H1397" s="1086"/>
      <c r="I1397" s="1086"/>
      <c r="J1397" s="1086"/>
      <c r="K1397" s="1086"/>
      <c r="L1397" s="1103"/>
      <c r="M1397" s="173"/>
      <c r="N1397" s="425"/>
      <c r="U1397" s="171"/>
    </row>
    <row r="1398" spans="1:24" ht="30" customHeight="1" x14ac:dyDescent="0.35">
      <c r="A1398" s="465" t="s">
        <v>278</v>
      </c>
      <c r="B1398" s="539">
        <v>2116</v>
      </c>
      <c r="C1398" s="1060" t="s">
        <v>922</v>
      </c>
      <c r="D1398" s="1060"/>
      <c r="E1398" s="541" t="s">
        <v>280</v>
      </c>
      <c r="F1398" s="542" t="s">
        <v>8</v>
      </c>
      <c r="G1398" s="543" t="s">
        <v>285</v>
      </c>
      <c r="H1398" s="569">
        <v>18604</v>
      </c>
      <c r="I1398" s="541" t="s">
        <v>281</v>
      </c>
      <c r="J1398" s="1019" t="s">
        <v>923</v>
      </c>
      <c r="K1398" s="1019"/>
      <c r="L1398" s="1020"/>
      <c r="M1398" s="173"/>
      <c r="N1398" s="214"/>
      <c r="O1398" s="207"/>
      <c r="P1398" s="27"/>
      <c r="Q1398" s="27"/>
      <c r="R1398" s="27"/>
      <c r="S1398" s="27"/>
      <c r="U1398" s="27"/>
      <c r="V1398" s="27"/>
      <c r="W1398" s="27"/>
      <c r="X1398" s="27"/>
    </row>
    <row r="1399" spans="1:24" s="27" customFormat="1" ht="30" customHeight="1" x14ac:dyDescent="0.35">
      <c r="A1399" s="545" t="s">
        <v>288</v>
      </c>
      <c r="B1399" s="1051" t="s">
        <v>282</v>
      </c>
      <c r="C1399" s="1051"/>
      <c r="D1399" s="1051"/>
      <c r="E1399" s="561" t="s">
        <v>290</v>
      </c>
      <c r="F1399" s="509" t="s">
        <v>289</v>
      </c>
      <c r="G1399" s="1094"/>
      <c r="H1399" s="1094"/>
      <c r="I1399" s="1052" t="s">
        <v>405</v>
      </c>
      <c r="J1399" s="1052"/>
      <c r="K1399" s="1012" t="s">
        <v>292</v>
      </c>
      <c r="L1399" s="1023"/>
      <c r="M1399" s="363"/>
      <c r="N1399" s="203"/>
      <c r="O1399" s="205"/>
      <c r="P1399" s="203"/>
      <c r="Q1399" s="203"/>
      <c r="R1399" s="203"/>
      <c r="S1399" s="203"/>
      <c r="T1399" s="213"/>
      <c r="U1399" s="208"/>
      <c r="V1399" s="208"/>
      <c r="W1399" s="208"/>
      <c r="X1399" s="208"/>
    </row>
    <row r="1400" spans="1:24" s="208" customFormat="1" ht="30" customHeight="1" x14ac:dyDescent="0.35">
      <c r="A1400" s="241">
        <v>21120</v>
      </c>
      <c r="B1400" s="1031" t="s">
        <v>924</v>
      </c>
      <c r="C1400" s="1031"/>
      <c r="D1400" s="1031"/>
      <c r="E1400" s="453">
        <v>267.67</v>
      </c>
      <c r="F1400" s="694">
        <v>32000</v>
      </c>
      <c r="G1400" s="462"/>
      <c r="H1400" s="462"/>
      <c r="I1400" s="1044">
        <f>+'2021 MILCON Inflation Table'!F13</f>
        <v>1.1643998639918394</v>
      </c>
      <c r="J1400" s="1044"/>
      <c r="K1400" s="463">
        <f>+E1400*I1400</f>
        <v>311.67491159469569</v>
      </c>
      <c r="L1400" s="564" t="s">
        <v>8</v>
      </c>
      <c r="M1400" s="173"/>
      <c r="N1400" s="203"/>
      <c r="O1400" s="205"/>
      <c r="P1400" s="203"/>
      <c r="Q1400" s="203"/>
      <c r="R1400" s="203"/>
      <c r="S1400" s="203"/>
      <c r="T1400" s="51"/>
      <c r="U1400" s="203"/>
      <c r="V1400" s="203"/>
      <c r="W1400" s="203"/>
      <c r="X1400" s="203"/>
    </row>
    <row r="1401" spans="1:24" ht="30" customHeight="1" thickBot="1" x14ac:dyDescent="0.4">
      <c r="A1401" s="241"/>
      <c r="B1401" s="560"/>
      <c r="C1401" s="553"/>
      <c r="D1401" s="553"/>
      <c r="E1401" s="553"/>
      <c r="F1401" s="706"/>
      <c r="G1401" s="553"/>
      <c r="H1401" s="707"/>
      <c r="I1401" s="458"/>
      <c r="J1401" s="510" t="s">
        <v>2356</v>
      </c>
      <c r="K1401" s="459">
        <f>AVERAGE(K1400:K1400)</f>
        <v>311.67491159469569</v>
      </c>
      <c r="L1401" s="564" t="s">
        <v>8</v>
      </c>
      <c r="M1401" s="173"/>
      <c r="N1401" s="208"/>
      <c r="P1401" s="75"/>
      <c r="Q1401" s="75"/>
      <c r="R1401" s="75"/>
      <c r="S1401" s="213"/>
      <c r="T1401" s="27"/>
      <c r="U1401" s="171"/>
    </row>
    <row r="1402" spans="1:24" ht="30" customHeight="1" thickBot="1" x14ac:dyDescent="0.4">
      <c r="A1402" s="1086"/>
      <c r="B1402" s="1086"/>
      <c r="C1402" s="1086"/>
      <c r="D1402" s="1086"/>
      <c r="E1402" s="1086"/>
      <c r="F1402" s="1086"/>
      <c r="G1402" s="1086"/>
      <c r="H1402" s="1086"/>
      <c r="I1402" s="1086"/>
      <c r="J1402" s="1086"/>
      <c r="K1402" s="1086"/>
      <c r="L1402" s="1103"/>
      <c r="M1402" s="173"/>
      <c r="P1402" s="171"/>
      <c r="Q1402" s="171"/>
      <c r="R1402" s="171"/>
      <c r="S1402" s="51"/>
      <c r="U1402" s="171"/>
    </row>
    <row r="1403" spans="1:24" ht="30" customHeight="1" x14ac:dyDescent="0.35">
      <c r="A1403" s="465" t="s">
        <v>278</v>
      </c>
      <c r="B1403" s="539">
        <v>2118</v>
      </c>
      <c r="C1403" s="1060" t="s">
        <v>925</v>
      </c>
      <c r="D1403" s="1060"/>
      <c r="E1403" s="541" t="s">
        <v>280</v>
      </c>
      <c r="F1403" s="542" t="s">
        <v>10</v>
      </c>
      <c r="G1403" s="543" t="s">
        <v>285</v>
      </c>
      <c r="H1403" s="749">
        <v>1.2</v>
      </c>
      <c r="I1403" s="541" t="s">
        <v>281</v>
      </c>
      <c r="J1403" s="1019" t="s">
        <v>926</v>
      </c>
      <c r="K1403" s="1019"/>
      <c r="L1403" s="1020"/>
      <c r="M1403" s="173"/>
      <c r="N1403" s="214"/>
      <c r="O1403" s="207"/>
      <c r="P1403" s="27"/>
      <c r="Q1403" s="27"/>
      <c r="R1403" s="27"/>
      <c r="S1403" s="27"/>
      <c r="U1403" s="27"/>
      <c r="V1403" s="27"/>
      <c r="W1403" s="27"/>
      <c r="X1403" s="27"/>
    </row>
    <row r="1404" spans="1:24" s="27" customFormat="1" ht="30" customHeight="1" x14ac:dyDescent="0.35">
      <c r="A1404" s="545" t="s">
        <v>288</v>
      </c>
      <c r="B1404" s="1051" t="s">
        <v>282</v>
      </c>
      <c r="C1404" s="1051"/>
      <c r="D1404" s="1051"/>
      <c r="E1404" s="561" t="s">
        <v>290</v>
      </c>
      <c r="F1404" s="509" t="s">
        <v>289</v>
      </c>
      <c r="G1404" s="1094" t="s">
        <v>323</v>
      </c>
      <c r="H1404" s="1094"/>
      <c r="I1404" s="1052" t="s">
        <v>405</v>
      </c>
      <c r="J1404" s="1052"/>
      <c r="K1404" s="1012" t="s">
        <v>292</v>
      </c>
      <c r="L1404" s="1023"/>
      <c r="M1404" s="173"/>
      <c r="N1404" s="203"/>
      <c r="O1404" s="205"/>
      <c r="P1404" s="203"/>
      <c r="Q1404" s="203"/>
      <c r="R1404" s="203"/>
      <c r="S1404" s="203"/>
      <c r="T1404" s="213"/>
      <c r="U1404" s="208"/>
      <c r="V1404" s="208"/>
      <c r="W1404" s="208"/>
      <c r="X1404" s="208"/>
    </row>
    <row r="1405" spans="1:24" s="208" customFormat="1" ht="30" customHeight="1" x14ac:dyDescent="0.35">
      <c r="A1405" s="241">
        <v>21140</v>
      </c>
      <c r="B1405" s="1031" t="s">
        <v>920</v>
      </c>
      <c r="C1405" s="1031"/>
      <c r="D1405" s="1031"/>
      <c r="E1405" s="453">
        <v>229</v>
      </c>
      <c r="F1405" s="694">
        <v>26000</v>
      </c>
      <c r="G1405" s="440">
        <f>122.6*77.1</f>
        <v>9452.4599999999991</v>
      </c>
      <c r="H1405" s="462" t="s">
        <v>325</v>
      </c>
      <c r="I1405" s="1044">
        <f>+'2021 MILCON Inflation Table'!F10</f>
        <v>1.3093098833874974</v>
      </c>
      <c r="J1405" s="1044"/>
      <c r="K1405" s="463">
        <f>+E1405*G1405*I1405</f>
        <v>2834149.6397744212</v>
      </c>
      <c r="L1405" s="564" t="s">
        <v>10</v>
      </c>
      <c r="M1405" s="173"/>
      <c r="N1405" s="203"/>
      <c r="O1405" s="205"/>
      <c r="P1405" s="203"/>
      <c r="Q1405" s="203"/>
      <c r="R1405" s="203"/>
      <c r="S1405" s="203"/>
      <c r="T1405" s="51"/>
      <c r="U1405" s="203"/>
      <c r="V1405" s="203"/>
      <c r="W1405" s="203"/>
      <c r="X1405" s="203"/>
    </row>
    <row r="1406" spans="1:24" ht="30" customHeight="1" thickBot="1" x14ac:dyDescent="0.4">
      <c r="A1406" s="241"/>
      <c r="B1406" s="1131" t="s">
        <v>2850</v>
      </c>
      <c r="C1406" s="1131"/>
      <c r="D1406" s="1131"/>
      <c r="E1406" s="553"/>
      <c r="F1406" s="706"/>
      <c r="G1406" s="553"/>
      <c r="H1406" s="707"/>
      <c r="I1406" s="458"/>
      <c r="J1406" s="510" t="s">
        <v>2356</v>
      </c>
      <c r="K1406" s="459">
        <f>AVERAGE(K1405:K1405)</f>
        <v>2834149.6397744212</v>
      </c>
      <c r="L1406" s="564" t="s">
        <v>10</v>
      </c>
      <c r="M1406" s="173"/>
      <c r="N1406" s="208"/>
      <c r="P1406" s="75"/>
      <c r="Q1406" s="75"/>
      <c r="R1406" s="75"/>
      <c r="S1406" s="213"/>
    </row>
    <row r="1407" spans="1:24" ht="30" customHeight="1" thickBot="1" x14ac:dyDescent="0.4">
      <c r="A1407" s="1086"/>
      <c r="B1407" s="1086"/>
      <c r="C1407" s="1086"/>
      <c r="D1407" s="1086"/>
      <c r="E1407" s="1086"/>
      <c r="F1407" s="1086"/>
      <c r="G1407" s="1086"/>
      <c r="H1407" s="1086"/>
      <c r="I1407" s="1086"/>
      <c r="J1407" s="1086"/>
      <c r="K1407" s="1086"/>
      <c r="L1407" s="1103"/>
      <c r="M1407" s="173"/>
      <c r="P1407" s="171"/>
      <c r="Q1407" s="171"/>
      <c r="R1407" s="171"/>
      <c r="S1407" s="51"/>
    </row>
    <row r="1408" spans="1:24" ht="30" customHeight="1" x14ac:dyDescent="0.35">
      <c r="A1408" s="465" t="s">
        <v>278</v>
      </c>
      <c r="B1408" s="539">
        <v>2121</v>
      </c>
      <c r="C1408" s="1027" t="s">
        <v>927</v>
      </c>
      <c r="D1408" s="1027"/>
      <c r="E1408" s="541" t="s">
        <v>280</v>
      </c>
      <c r="F1408" s="542" t="s">
        <v>8</v>
      </c>
      <c r="G1408" s="52" t="s">
        <v>285</v>
      </c>
      <c r="H1408" s="256">
        <v>11383</v>
      </c>
      <c r="I1408" s="257" t="s">
        <v>281</v>
      </c>
      <c r="J1408" s="1019" t="s">
        <v>2371</v>
      </c>
      <c r="K1408" s="1019"/>
      <c r="L1408" s="1020"/>
      <c r="M1408" s="173"/>
      <c r="N1408" s="419"/>
      <c r="O1408" s="203"/>
      <c r="P1408" s="218"/>
      <c r="Q1408" s="68"/>
      <c r="R1408" s="217"/>
    </row>
    <row r="1409" spans="1:24" ht="30" customHeight="1" x14ac:dyDescent="0.35">
      <c r="A1409" s="588" t="s">
        <v>298</v>
      </c>
      <c r="B1409" s="1038" t="s">
        <v>321</v>
      </c>
      <c r="C1409" s="1038"/>
      <c r="D1409" s="1038"/>
      <c r="E1409" s="23" t="s">
        <v>290</v>
      </c>
      <c r="F1409" s="23" t="s">
        <v>322</v>
      </c>
      <c r="G1409" s="1012" t="s">
        <v>323</v>
      </c>
      <c r="H1409" s="1012"/>
      <c r="I1409" s="500" t="s">
        <v>928</v>
      </c>
      <c r="J1409" s="509" t="s">
        <v>299</v>
      </c>
      <c r="K1409" s="1012" t="s">
        <v>292</v>
      </c>
      <c r="L1409" s="1023"/>
      <c r="M1409" s="363"/>
      <c r="N1409" s="419"/>
      <c r="O1409" s="203"/>
      <c r="P1409" s="218"/>
      <c r="Q1409" s="68"/>
      <c r="R1409" s="217"/>
      <c r="T1409" s="208"/>
      <c r="U1409" s="208"/>
      <c r="V1409" s="208"/>
      <c r="W1409" s="208"/>
      <c r="X1409" s="208"/>
    </row>
    <row r="1410" spans="1:24" s="208" customFormat="1" ht="45" customHeight="1" x14ac:dyDescent="0.35">
      <c r="A1410" s="241" t="s">
        <v>435</v>
      </c>
      <c r="B1410" s="1082" t="s">
        <v>2851</v>
      </c>
      <c r="C1410" s="1082"/>
      <c r="D1410" s="1082"/>
      <c r="E1410" s="453">
        <f>164-2.51</f>
        <v>161.49</v>
      </c>
      <c r="F1410" s="446" t="s">
        <v>8</v>
      </c>
      <c r="G1410" s="53"/>
      <c r="H1410" s="498"/>
      <c r="I1410" s="258">
        <f>+E1410</f>
        <v>161.49</v>
      </c>
      <c r="J1410" s="446">
        <v>1.01</v>
      </c>
      <c r="K1410" s="40">
        <f t="shared" ref="K1410:K1420" si="49">+I1410*J1410</f>
        <v>163.10490000000001</v>
      </c>
      <c r="L1410" s="243" t="s">
        <v>8</v>
      </c>
      <c r="M1410" s="173"/>
      <c r="N1410" s="68"/>
      <c r="O1410" s="203"/>
      <c r="P1410" s="218"/>
      <c r="Q1410" s="68"/>
      <c r="R1410" s="217"/>
      <c r="S1410" s="203"/>
      <c r="T1410" s="203"/>
      <c r="U1410" s="203"/>
      <c r="V1410" s="203"/>
      <c r="W1410" s="203"/>
      <c r="X1410" s="203"/>
    </row>
    <row r="1411" spans="1:24" ht="30" customHeight="1" x14ac:dyDescent="0.35">
      <c r="A1411" s="241" t="s">
        <v>360</v>
      </c>
      <c r="B1411" s="1082" t="s">
        <v>367</v>
      </c>
      <c r="C1411" s="1082"/>
      <c r="D1411" s="1082"/>
      <c r="E1411" s="51">
        <v>4.38</v>
      </c>
      <c r="F1411" s="446" t="s">
        <v>8</v>
      </c>
      <c r="G1411" s="700"/>
      <c r="H1411" s="608"/>
      <c r="I1411" s="750">
        <f>+E1411</f>
        <v>4.38</v>
      </c>
      <c r="J1411" s="446">
        <v>1.01</v>
      </c>
      <c r="K1411" s="40">
        <f t="shared" si="49"/>
        <v>4.4238</v>
      </c>
      <c r="L1411" s="243" t="s">
        <v>8</v>
      </c>
      <c r="M1411" s="173"/>
      <c r="N1411" s="208"/>
      <c r="O1411" s="218"/>
      <c r="P1411" s="68"/>
      <c r="Q1411" s="217"/>
      <c r="R1411" s="208"/>
      <c r="S1411" s="208"/>
    </row>
    <row r="1412" spans="1:24" ht="30" customHeight="1" x14ac:dyDescent="0.35">
      <c r="A1412" s="241" t="s">
        <v>360</v>
      </c>
      <c r="B1412" s="1082" t="s">
        <v>929</v>
      </c>
      <c r="C1412" s="1082"/>
      <c r="D1412" s="1082"/>
      <c r="E1412" s="591">
        <f>0.15*E1411</f>
        <v>0.65699999999999992</v>
      </c>
      <c r="F1412" s="639" t="s">
        <v>8</v>
      </c>
      <c r="G1412" s="700"/>
      <c r="H1412" s="608"/>
      <c r="I1412" s="750">
        <f>+E1412</f>
        <v>0.65699999999999992</v>
      </c>
      <c r="J1412" s="446">
        <v>1.01</v>
      </c>
      <c r="K1412" s="40">
        <f t="shared" si="49"/>
        <v>0.66356999999999988</v>
      </c>
      <c r="L1412" s="243" t="s">
        <v>8</v>
      </c>
      <c r="M1412" s="173"/>
      <c r="O1412" s="218"/>
      <c r="P1412" s="68"/>
      <c r="Q1412" s="217"/>
    </row>
    <row r="1413" spans="1:24" ht="30" customHeight="1" x14ac:dyDescent="0.35">
      <c r="A1413" s="241" t="s">
        <v>360</v>
      </c>
      <c r="B1413" s="1082" t="s">
        <v>930</v>
      </c>
      <c r="C1413" s="1082"/>
      <c r="D1413" s="1082"/>
      <c r="E1413" s="591">
        <f xml:space="preserve"> 0.58+((1.15+1.71)/2)</f>
        <v>2.0099999999999998</v>
      </c>
      <c r="F1413" s="639" t="s">
        <v>8</v>
      </c>
      <c r="G1413" s="700"/>
      <c r="H1413" s="608"/>
      <c r="I1413" s="750">
        <f>+E1413</f>
        <v>2.0099999999999998</v>
      </c>
      <c r="J1413" s="446">
        <v>1.01</v>
      </c>
      <c r="K1413" s="40">
        <f t="shared" si="49"/>
        <v>2.0301</v>
      </c>
      <c r="L1413" s="243" t="s">
        <v>8</v>
      </c>
      <c r="M1413" s="173"/>
      <c r="N1413" s="425"/>
      <c r="O1413" s="218"/>
      <c r="P1413" s="68"/>
      <c r="Q1413" s="217"/>
    </row>
    <row r="1414" spans="1:24" ht="30" customHeight="1" x14ac:dyDescent="0.35">
      <c r="A1414" s="241" t="s">
        <v>436</v>
      </c>
      <c r="B1414" s="1082" t="s">
        <v>931</v>
      </c>
      <c r="C1414" s="1082"/>
      <c r="D1414" s="1082"/>
      <c r="E1414" s="453">
        <v>177000</v>
      </c>
      <c r="F1414" s="639" t="s">
        <v>10</v>
      </c>
      <c r="G1414" s="700"/>
      <c r="H1414" s="608" t="s">
        <v>932</v>
      </c>
      <c r="I1414" s="750">
        <f>+E1414/H1408</f>
        <v>15.549503645787578</v>
      </c>
      <c r="J1414" s="446">
        <v>1.02</v>
      </c>
      <c r="K1414" s="40">
        <f t="shared" si="49"/>
        <v>15.86049371870333</v>
      </c>
      <c r="L1414" s="243" t="s">
        <v>8</v>
      </c>
      <c r="M1414" s="363"/>
      <c r="O1414" s="218"/>
      <c r="P1414" s="68"/>
      <c r="Q1414" s="217"/>
    </row>
    <row r="1415" spans="1:24" ht="30" customHeight="1" x14ac:dyDescent="0.35">
      <c r="A1415" s="241" t="s">
        <v>377</v>
      </c>
      <c r="B1415" s="1134" t="s">
        <v>933</v>
      </c>
      <c r="C1415" s="1134"/>
      <c r="D1415" s="1134"/>
      <c r="E1415" s="591">
        <f>+(20.3+31.5)/2</f>
        <v>25.9</v>
      </c>
      <c r="F1415" s="446" t="s">
        <v>934</v>
      </c>
      <c r="G1415" s="579">
        <v>162</v>
      </c>
      <c r="H1415" s="591" t="s">
        <v>935</v>
      </c>
      <c r="I1415" s="750">
        <f>+E1415*G1415/H1408</f>
        <v>0.36860230167794078</v>
      </c>
      <c r="J1415" s="446">
        <v>1.03</v>
      </c>
      <c r="K1415" s="40">
        <f t="shared" si="49"/>
        <v>0.37966037072827902</v>
      </c>
      <c r="L1415" s="243" t="s">
        <v>8</v>
      </c>
      <c r="M1415" s="173"/>
      <c r="O1415" s="218"/>
      <c r="P1415" s="68"/>
      <c r="Q1415" s="217"/>
    </row>
    <row r="1416" spans="1:24" ht="30" customHeight="1" x14ac:dyDescent="0.35">
      <c r="A1416" s="241" t="s">
        <v>377</v>
      </c>
      <c r="B1416" s="1271" t="s">
        <v>936</v>
      </c>
      <c r="C1416" s="1271"/>
      <c r="D1416" s="1271"/>
      <c r="E1416" s="751">
        <f>+(1710+2420)/2</f>
        <v>2065</v>
      </c>
      <c r="F1416" s="446" t="s">
        <v>10</v>
      </c>
      <c r="G1416" s="579">
        <v>2</v>
      </c>
      <c r="H1416" s="591" t="s">
        <v>937</v>
      </c>
      <c r="I1416" s="750">
        <f>+E1416*G1416/H1408</f>
        <v>0.3628217517350435</v>
      </c>
      <c r="J1416" s="446">
        <v>1.03</v>
      </c>
      <c r="K1416" s="40">
        <f t="shared" si="49"/>
        <v>0.37370640428709478</v>
      </c>
      <c r="L1416" s="243" t="s">
        <v>8</v>
      </c>
      <c r="M1416" s="173"/>
      <c r="O1416" s="218"/>
      <c r="P1416" s="68"/>
      <c r="Q1416" s="217"/>
    </row>
    <row r="1417" spans="1:24" ht="30" customHeight="1" x14ac:dyDescent="0.35">
      <c r="A1417" s="241" t="s">
        <v>380</v>
      </c>
      <c r="B1417" s="1082" t="s">
        <v>938</v>
      </c>
      <c r="C1417" s="1082"/>
      <c r="D1417" s="1082"/>
      <c r="E1417" s="453">
        <f>+(34.5+82)/2</f>
        <v>58.25</v>
      </c>
      <c r="F1417" s="639" t="s">
        <v>6</v>
      </c>
      <c r="G1417" s="700">
        <v>20</v>
      </c>
      <c r="H1417" s="608" t="s">
        <v>935</v>
      </c>
      <c r="I1417" s="750">
        <f>+E1417*G1417/H1408</f>
        <v>0.10234560309233066</v>
      </c>
      <c r="J1417" s="446">
        <v>1.03</v>
      </c>
      <c r="K1417" s="40">
        <f t="shared" si="49"/>
        <v>0.10541597118510058</v>
      </c>
      <c r="L1417" s="243" t="s">
        <v>8</v>
      </c>
      <c r="M1417" s="173"/>
      <c r="O1417" s="218"/>
      <c r="P1417" s="68"/>
      <c r="Q1417" s="217"/>
    </row>
    <row r="1418" spans="1:24" ht="30" customHeight="1" x14ac:dyDescent="0.35">
      <c r="A1418" s="241" t="s">
        <v>380</v>
      </c>
      <c r="B1418" s="1082" t="s">
        <v>383</v>
      </c>
      <c r="C1418" s="1082"/>
      <c r="D1418" s="1082"/>
      <c r="E1418" s="453">
        <f>+(6450+12300)/2</f>
        <v>9375</v>
      </c>
      <c r="F1418" s="639" t="s">
        <v>10</v>
      </c>
      <c r="G1418" s="700">
        <v>2</v>
      </c>
      <c r="H1418" s="608" t="s">
        <v>932</v>
      </c>
      <c r="I1418" s="750">
        <f>+E1418*G1418/H1408</f>
        <v>1.6471931828164807</v>
      </c>
      <c r="J1418" s="446">
        <v>1.03</v>
      </c>
      <c r="K1418" s="40">
        <f t="shared" si="49"/>
        <v>1.6966089783009752</v>
      </c>
      <c r="L1418" s="243" t="s">
        <v>8</v>
      </c>
      <c r="M1418" s="173"/>
      <c r="O1418" s="218"/>
      <c r="P1418" s="68"/>
      <c r="Q1418" s="217"/>
    </row>
    <row r="1419" spans="1:24" ht="30" customHeight="1" x14ac:dyDescent="0.35">
      <c r="A1419" s="241" t="s">
        <v>380</v>
      </c>
      <c r="B1419" s="1082" t="s">
        <v>939</v>
      </c>
      <c r="C1419" s="1082"/>
      <c r="D1419" s="1082"/>
      <c r="E1419" s="51">
        <f>+(660+1010)/2</f>
        <v>835</v>
      </c>
      <c r="F1419" s="639" t="s">
        <v>10</v>
      </c>
      <c r="G1419" s="700">
        <v>2</v>
      </c>
      <c r="H1419" s="608" t="s">
        <v>932</v>
      </c>
      <c r="I1419" s="750">
        <f>+E1419*G1419/H1408</f>
        <v>0.1467100061495212</v>
      </c>
      <c r="J1419" s="446">
        <v>1.03</v>
      </c>
      <c r="K1419" s="40">
        <f t="shared" si="49"/>
        <v>0.15111130633400685</v>
      </c>
      <c r="L1419" s="243" t="s">
        <v>8</v>
      </c>
      <c r="M1419" s="173"/>
      <c r="O1419" s="218"/>
      <c r="P1419" s="68"/>
      <c r="Q1419" s="217"/>
    </row>
    <row r="1420" spans="1:24" ht="30" customHeight="1" x14ac:dyDescent="0.35">
      <c r="A1420" s="241" t="s">
        <v>380</v>
      </c>
      <c r="B1420" s="1082" t="s">
        <v>385</v>
      </c>
      <c r="C1420" s="1082"/>
      <c r="D1420" s="1082"/>
      <c r="E1420" s="453">
        <f>+(1160+3475)/2</f>
        <v>2317.5</v>
      </c>
      <c r="F1420" s="639" t="s">
        <v>10</v>
      </c>
      <c r="G1420" s="700">
        <v>2</v>
      </c>
      <c r="H1420" s="608" t="s">
        <v>932</v>
      </c>
      <c r="I1420" s="750">
        <f>+E1420*G1420/H1408</f>
        <v>0.40718615479223402</v>
      </c>
      <c r="J1420" s="446">
        <v>1.03</v>
      </c>
      <c r="K1420" s="40">
        <f t="shared" si="49"/>
        <v>0.41940173943600106</v>
      </c>
      <c r="L1420" s="243" t="s">
        <v>8</v>
      </c>
      <c r="M1420" s="173"/>
      <c r="O1420" s="218"/>
      <c r="P1420" s="68"/>
      <c r="Q1420" s="217"/>
    </row>
    <row r="1421" spans="1:24" ht="30" customHeight="1" x14ac:dyDescent="0.35">
      <c r="A1421" s="241"/>
      <c r="B1421" s="1059"/>
      <c r="C1421" s="1059"/>
      <c r="D1421" s="1059"/>
      <c r="E1421" s="453"/>
      <c r="F1421" s="446"/>
      <c r="G1421" s="519"/>
      <c r="H1421" s="508"/>
      <c r="I1421" s="508"/>
      <c r="J1421" s="446" t="s">
        <v>362</v>
      </c>
      <c r="K1421" s="453">
        <f>SUM(K1410:K1420)</f>
        <v>189.20876848897484</v>
      </c>
      <c r="L1421" s="243" t="s">
        <v>8</v>
      </c>
      <c r="M1421" s="173"/>
      <c r="O1421" s="218"/>
      <c r="P1421" s="68"/>
      <c r="Q1421" s="217"/>
    </row>
    <row r="1422" spans="1:24" ht="30" customHeight="1" x14ac:dyDescent="0.35">
      <c r="A1422" s="241"/>
      <c r="B1422" s="506"/>
      <c r="C1422" s="506"/>
      <c r="D1422" s="506"/>
      <c r="E1422" s="506"/>
      <c r="F1422" s="1133" t="s">
        <v>302</v>
      </c>
      <c r="G1422" s="1058" t="s">
        <v>303</v>
      </c>
      <c r="H1422" s="1058"/>
      <c r="I1422" s="1058"/>
      <c r="J1422" s="1058"/>
      <c r="K1422" s="612">
        <v>1.08</v>
      </c>
      <c r="L1422" s="243"/>
      <c r="M1422" s="173"/>
      <c r="O1422" s="218"/>
      <c r="P1422" s="68"/>
      <c r="Q1422" s="217"/>
    </row>
    <row r="1423" spans="1:24" ht="30" customHeight="1" x14ac:dyDescent="0.35">
      <c r="A1423" s="241"/>
      <c r="B1423" s="506"/>
      <c r="C1423" s="506"/>
      <c r="D1423" s="506"/>
      <c r="E1423" s="506"/>
      <c r="F1423" s="1133"/>
      <c r="G1423" s="1073" t="s">
        <v>2374</v>
      </c>
      <c r="H1423" s="1073"/>
      <c r="I1423" s="1073"/>
      <c r="J1423" s="1073"/>
      <c r="K1423" s="612">
        <v>1.08</v>
      </c>
      <c r="L1423" s="243"/>
      <c r="M1423" s="173"/>
      <c r="O1423" s="218"/>
      <c r="P1423" s="68"/>
      <c r="Q1423" s="217"/>
    </row>
    <row r="1424" spans="1:24" ht="30" customHeight="1" x14ac:dyDescent="0.35">
      <c r="A1424" s="241"/>
      <c r="B1424" s="446"/>
      <c r="C1424" s="458"/>
      <c r="D1424" s="458"/>
      <c r="E1424" s="458"/>
      <c r="F1424" s="458"/>
      <c r="G1424" s="458"/>
      <c r="H1424" s="458"/>
      <c r="I1424" s="458"/>
      <c r="J1424" s="446" t="s">
        <v>2356</v>
      </c>
      <c r="K1424" s="591">
        <f>+K1421*K1422/K1423</f>
        <v>189.20876848897484</v>
      </c>
      <c r="L1424" s="243" t="s">
        <v>8</v>
      </c>
      <c r="M1424" s="173"/>
      <c r="N1424" s="419"/>
      <c r="O1424" s="171"/>
      <c r="P1424" s="216"/>
      <c r="Q1424" s="419"/>
      <c r="R1424" s="219"/>
    </row>
    <row r="1425" spans="1:24" ht="30" customHeight="1" x14ac:dyDescent="0.35">
      <c r="A1425" s="241"/>
      <c r="B1425" s="446"/>
      <c r="C1425" s="458"/>
      <c r="D1425" s="458"/>
      <c r="E1425" s="458"/>
      <c r="F1425" s="613" t="s">
        <v>2359</v>
      </c>
      <c r="G1425" s="458"/>
      <c r="H1425" s="458"/>
      <c r="I1425" s="458"/>
      <c r="J1425" s="583">
        <f>VLOOKUP(B1408,'Mil Cost Premiums for PUCs'!$A$4:$R$272,18,FALSE)</f>
        <v>1.1932356231980656</v>
      </c>
      <c r="K1425" s="591">
        <f>+K1424*J1425</f>
        <v>225.77064278248042</v>
      </c>
      <c r="L1425" s="243" t="s">
        <v>8</v>
      </c>
      <c r="M1425" s="173"/>
      <c r="N1425" s="419"/>
      <c r="O1425" s="171"/>
      <c r="P1425" s="216"/>
      <c r="Q1425" s="419"/>
      <c r="R1425" s="219"/>
    </row>
    <row r="1426" spans="1:24" ht="60" customHeight="1" x14ac:dyDescent="0.35">
      <c r="A1426" s="1064" t="s">
        <v>305</v>
      </c>
      <c r="B1426" s="1067"/>
      <c r="C1426" s="1067"/>
      <c r="D1426" s="1067"/>
      <c r="E1426" s="1067"/>
      <c r="F1426" s="1067"/>
      <c r="G1426" s="1067"/>
      <c r="H1426" s="1067"/>
      <c r="I1426" s="1067"/>
      <c r="J1426" s="1067"/>
      <c r="K1426" s="1067"/>
      <c r="L1426" s="1126"/>
      <c r="M1426" s="173"/>
      <c r="O1426" s="218"/>
      <c r="P1426" s="68"/>
      <c r="Q1426" s="217"/>
    </row>
    <row r="1427" spans="1:24" ht="30" customHeight="1" x14ac:dyDescent="0.35">
      <c r="A1427" s="1124" t="s">
        <v>306</v>
      </c>
      <c r="B1427" s="1125"/>
      <c r="C1427" s="1125"/>
      <c r="D1427" s="1067" t="s">
        <v>2177</v>
      </c>
      <c r="E1427" s="1067"/>
      <c r="F1427" s="1067"/>
      <c r="G1427" s="1067"/>
      <c r="H1427" s="1067"/>
      <c r="I1427" s="1067"/>
      <c r="J1427" s="1067"/>
      <c r="K1427" s="1067"/>
      <c r="L1427" s="1126"/>
      <c r="M1427" s="173"/>
      <c r="O1427" s="218"/>
      <c r="P1427" s="68"/>
      <c r="Q1427" s="217"/>
    </row>
    <row r="1428" spans="1:24" ht="30" customHeight="1" x14ac:dyDescent="0.35">
      <c r="A1428" s="1124" t="s">
        <v>307</v>
      </c>
      <c r="B1428" s="1125"/>
      <c r="C1428" s="1125"/>
      <c r="D1428" s="1067" t="s">
        <v>940</v>
      </c>
      <c r="E1428" s="1067"/>
      <c r="F1428" s="1067"/>
      <c r="G1428" s="1067"/>
      <c r="H1428" s="1067"/>
      <c r="I1428" s="1067"/>
      <c r="J1428" s="1067"/>
      <c r="K1428" s="1067"/>
      <c r="L1428" s="1126"/>
      <c r="M1428" s="173"/>
      <c r="N1428" s="68"/>
      <c r="O1428" s="203"/>
      <c r="P1428" s="218"/>
      <c r="Q1428" s="68"/>
      <c r="R1428" s="217"/>
    </row>
    <row r="1429" spans="1:24" ht="30" customHeight="1" x14ac:dyDescent="0.35">
      <c r="A1429" s="1124" t="s">
        <v>308</v>
      </c>
      <c r="B1429" s="1125"/>
      <c r="C1429" s="1125"/>
      <c r="D1429" s="1067" t="s">
        <v>2852</v>
      </c>
      <c r="E1429" s="1067"/>
      <c r="F1429" s="1067"/>
      <c r="G1429" s="1067"/>
      <c r="H1429" s="1067"/>
      <c r="I1429" s="1067"/>
      <c r="J1429" s="1067"/>
      <c r="K1429" s="1067"/>
      <c r="L1429" s="1126"/>
      <c r="M1429" s="173"/>
      <c r="N1429" s="68"/>
      <c r="O1429" s="203"/>
      <c r="P1429" s="218"/>
      <c r="Q1429" s="68"/>
      <c r="R1429" s="217"/>
    </row>
    <row r="1430" spans="1:24" ht="30" customHeight="1" x14ac:dyDescent="0.35">
      <c r="A1430" s="1124" t="s">
        <v>309</v>
      </c>
      <c r="B1430" s="1125"/>
      <c r="C1430" s="1125"/>
      <c r="D1430" s="1067" t="s">
        <v>941</v>
      </c>
      <c r="E1430" s="1067"/>
      <c r="F1430" s="1067"/>
      <c r="G1430" s="1067"/>
      <c r="H1430" s="1067"/>
      <c r="I1430" s="1067"/>
      <c r="J1430" s="1067"/>
      <c r="K1430" s="1067"/>
      <c r="L1430" s="1126"/>
      <c r="M1430" s="173"/>
      <c r="N1430" s="68"/>
      <c r="O1430" s="203"/>
      <c r="P1430" s="218"/>
      <c r="Q1430" s="68"/>
      <c r="R1430" s="217"/>
    </row>
    <row r="1431" spans="1:24" ht="90" customHeight="1" x14ac:dyDescent="0.35">
      <c r="A1431" s="1124" t="s">
        <v>311</v>
      </c>
      <c r="B1431" s="1125"/>
      <c r="C1431" s="1125"/>
      <c r="D1431" s="1067" t="s">
        <v>2862</v>
      </c>
      <c r="E1431" s="1067"/>
      <c r="F1431" s="1067"/>
      <c r="G1431" s="1067"/>
      <c r="H1431" s="1067"/>
      <c r="I1431" s="1067"/>
      <c r="J1431" s="1067"/>
      <c r="K1431" s="1067"/>
      <c r="L1431" s="1126"/>
      <c r="M1431" s="173"/>
      <c r="N1431" s="68"/>
      <c r="O1431" s="203"/>
      <c r="P1431" s="218"/>
      <c r="Q1431" s="68"/>
      <c r="R1431" s="217"/>
    </row>
    <row r="1432" spans="1:24" ht="30" customHeight="1" x14ac:dyDescent="0.35">
      <c r="A1432" s="1124" t="s">
        <v>313</v>
      </c>
      <c r="B1432" s="1125"/>
      <c r="C1432" s="1125"/>
      <c r="D1432" s="1067" t="s">
        <v>942</v>
      </c>
      <c r="E1432" s="1067"/>
      <c r="F1432" s="1067"/>
      <c r="G1432" s="1067"/>
      <c r="H1432" s="1067"/>
      <c r="I1432" s="1067"/>
      <c r="J1432" s="1067"/>
      <c r="K1432" s="1067"/>
      <c r="L1432" s="1126"/>
      <c r="M1432" s="173"/>
      <c r="N1432" s="68"/>
      <c r="O1432" s="203"/>
      <c r="P1432" s="218"/>
      <c r="Q1432" s="68"/>
      <c r="R1432" s="217"/>
    </row>
    <row r="1433" spans="1:24" ht="30" customHeight="1" x14ac:dyDescent="0.35">
      <c r="A1433" s="1124" t="s">
        <v>315</v>
      </c>
      <c r="B1433" s="1125"/>
      <c r="C1433" s="1125"/>
      <c r="D1433" s="1067" t="s">
        <v>852</v>
      </c>
      <c r="E1433" s="1067"/>
      <c r="F1433" s="1067"/>
      <c r="G1433" s="1067"/>
      <c r="H1433" s="1067"/>
      <c r="I1433" s="1067"/>
      <c r="J1433" s="1067"/>
      <c r="K1433" s="1067"/>
      <c r="L1433" s="1126"/>
      <c r="M1433" s="173"/>
      <c r="N1433" s="68"/>
      <c r="O1433" s="203"/>
      <c r="P1433" s="218"/>
      <c r="Q1433" s="68"/>
      <c r="R1433" s="217"/>
    </row>
    <row r="1434" spans="1:24" ht="75" customHeight="1" x14ac:dyDescent="0.35">
      <c r="A1434" s="1124" t="s">
        <v>467</v>
      </c>
      <c r="B1434" s="1125"/>
      <c r="C1434" s="1125"/>
      <c r="D1434" s="1118" t="s">
        <v>917</v>
      </c>
      <c r="E1434" s="1118"/>
      <c r="F1434" s="1118"/>
      <c r="G1434" s="1118"/>
      <c r="H1434" s="1118"/>
      <c r="I1434" s="1118"/>
      <c r="J1434" s="1118"/>
      <c r="K1434" s="1118"/>
      <c r="L1434" s="1119"/>
      <c r="M1434" s="173"/>
      <c r="N1434" s="68"/>
      <c r="O1434" s="203"/>
      <c r="P1434" s="218"/>
      <c r="Q1434" s="68"/>
      <c r="R1434" s="217"/>
    </row>
    <row r="1435" spans="1:24" ht="60" customHeight="1" thickBot="1" x14ac:dyDescent="0.4">
      <c r="A1435" s="1127" t="s">
        <v>318</v>
      </c>
      <c r="B1435" s="1128"/>
      <c r="C1435" s="1128"/>
      <c r="D1435" s="1068" t="s">
        <v>2855</v>
      </c>
      <c r="E1435" s="1068"/>
      <c r="F1435" s="1068"/>
      <c r="G1435" s="1068"/>
      <c r="H1435" s="1068"/>
      <c r="I1435" s="1068"/>
      <c r="J1435" s="1068"/>
      <c r="K1435" s="1068"/>
      <c r="L1435" s="1120"/>
      <c r="M1435" s="173"/>
      <c r="N1435" s="68"/>
      <c r="O1435" s="203"/>
      <c r="P1435" s="218"/>
      <c r="Q1435" s="68"/>
      <c r="R1435" s="217"/>
    </row>
    <row r="1436" spans="1:24" ht="30" customHeight="1" thickBot="1" x14ac:dyDescent="0.4">
      <c r="A1436" s="1086"/>
      <c r="B1436" s="1086"/>
      <c r="C1436" s="1086"/>
      <c r="D1436" s="1086"/>
      <c r="E1436" s="1086"/>
      <c r="F1436" s="1086"/>
      <c r="G1436" s="1086"/>
      <c r="H1436" s="1086"/>
      <c r="I1436" s="1086"/>
      <c r="J1436" s="1086"/>
      <c r="K1436" s="1086"/>
      <c r="L1436" s="1103"/>
      <c r="M1436" s="173"/>
      <c r="N1436" s="68"/>
      <c r="O1436" s="203"/>
      <c r="P1436" s="218"/>
      <c r="Q1436" s="68"/>
      <c r="R1436" s="217"/>
    </row>
    <row r="1437" spans="1:24" ht="30" customHeight="1" x14ac:dyDescent="0.35">
      <c r="A1437" s="467" t="s">
        <v>278</v>
      </c>
      <c r="B1437" s="502">
        <v>2123</v>
      </c>
      <c r="C1437" s="1178" t="s">
        <v>943</v>
      </c>
      <c r="D1437" s="1178"/>
      <c r="E1437" s="396" t="s">
        <v>280</v>
      </c>
      <c r="F1437" s="67" t="s">
        <v>8</v>
      </c>
      <c r="G1437" s="397" t="s">
        <v>285</v>
      </c>
      <c r="H1437" s="204">
        <v>11147</v>
      </c>
      <c r="I1437" s="396" t="s">
        <v>281</v>
      </c>
      <c r="J1437" s="1019" t="s">
        <v>2371</v>
      </c>
      <c r="K1437" s="1019"/>
      <c r="L1437" s="1020"/>
      <c r="M1437" s="173"/>
      <c r="N1437" s="68"/>
      <c r="O1437" s="203"/>
      <c r="P1437" s="218"/>
      <c r="Q1437" s="68"/>
      <c r="R1437" s="217"/>
    </row>
    <row r="1438" spans="1:24" ht="30" customHeight="1" x14ac:dyDescent="0.35">
      <c r="A1438" s="588" t="s">
        <v>298</v>
      </c>
      <c r="B1438" s="1038" t="s">
        <v>321</v>
      </c>
      <c r="C1438" s="1038"/>
      <c r="D1438" s="1038"/>
      <c r="E1438" s="23" t="s">
        <v>290</v>
      </c>
      <c r="F1438" s="23" t="s">
        <v>322</v>
      </c>
      <c r="G1438" s="1012" t="s">
        <v>323</v>
      </c>
      <c r="H1438" s="1012"/>
      <c r="I1438" s="500" t="s">
        <v>928</v>
      </c>
      <c r="J1438" s="509" t="s">
        <v>299</v>
      </c>
      <c r="K1438" s="1012" t="s">
        <v>292</v>
      </c>
      <c r="L1438" s="1023"/>
      <c r="M1438" s="173"/>
      <c r="N1438" s="419"/>
      <c r="O1438" s="203"/>
      <c r="P1438" s="218"/>
      <c r="Q1438" s="68"/>
      <c r="R1438" s="217"/>
      <c r="T1438" s="208"/>
      <c r="U1438" s="208"/>
      <c r="V1438" s="208"/>
      <c r="W1438" s="208"/>
      <c r="X1438" s="208"/>
    </row>
    <row r="1439" spans="1:24" s="208" customFormat="1" ht="30" customHeight="1" x14ac:dyDescent="0.35">
      <c r="A1439" s="241" t="s">
        <v>435</v>
      </c>
      <c r="B1439" s="1082" t="s">
        <v>2851</v>
      </c>
      <c r="C1439" s="1082"/>
      <c r="D1439" s="1082"/>
      <c r="E1439" s="453">
        <f>164-2.51</f>
        <v>161.49</v>
      </c>
      <c r="F1439" s="446" t="s">
        <v>8</v>
      </c>
      <c r="G1439" s="53"/>
      <c r="H1439" s="498"/>
      <c r="I1439" s="258">
        <f>+E1439</f>
        <v>161.49</v>
      </c>
      <c r="J1439" s="446">
        <v>1.01</v>
      </c>
      <c r="K1439" s="40">
        <f>+E1439*J1439</f>
        <v>163.10490000000001</v>
      </c>
      <c r="L1439" s="243" t="s">
        <v>8</v>
      </c>
      <c r="M1439" s="173"/>
      <c r="N1439" s="203"/>
      <c r="O1439" s="218"/>
      <c r="P1439" s="68"/>
      <c r="Q1439" s="217"/>
      <c r="R1439" s="203"/>
      <c r="S1439" s="203"/>
      <c r="T1439" s="203"/>
      <c r="U1439" s="203"/>
      <c r="V1439" s="203"/>
      <c r="W1439" s="203"/>
      <c r="X1439" s="203"/>
    </row>
    <row r="1440" spans="1:24" ht="30" customHeight="1" x14ac:dyDescent="0.35">
      <c r="A1440" s="241" t="s">
        <v>360</v>
      </c>
      <c r="B1440" s="1082" t="s">
        <v>367</v>
      </c>
      <c r="C1440" s="1082"/>
      <c r="D1440" s="1082"/>
      <c r="E1440" s="51">
        <v>4.38</v>
      </c>
      <c r="F1440" s="446" t="s">
        <v>8</v>
      </c>
      <c r="G1440" s="700"/>
      <c r="H1440" s="608"/>
      <c r="I1440" s="750">
        <f>+E1440</f>
        <v>4.38</v>
      </c>
      <c r="J1440" s="446">
        <v>1.01</v>
      </c>
      <c r="K1440" s="40">
        <f>+E1440*J1440</f>
        <v>4.4238</v>
      </c>
      <c r="L1440" s="243" t="s">
        <v>8</v>
      </c>
      <c r="M1440" s="173"/>
      <c r="N1440" s="208"/>
      <c r="O1440" s="218"/>
      <c r="P1440" s="68"/>
      <c r="Q1440" s="217"/>
      <c r="R1440" s="208"/>
      <c r="S1440" s="208"/>
    </row>
    <row r="1441" spans="1:24" ht="30" customHeight="1" x14ac:dyDescent="0.35">
      <c r="A1441" s="241" t="s">
        <v>360</v>
      </c>
      <c r="B1441" s="1082" t="s">
        <v>929</v>
      </c>
      <c r="C1441" s="1082"/>
      <c r="D1441" s="1082"/>
      <c r="E1441" s="591">
        <f>0.15*E1440</f>
        <v>0.65699999999999992</v>
      </c>
      <c r="F1441" s="639" t="s">
        <v>8</v>
      </c>
      <c r="G1441" s="700"/>
      <c r="H1441" s="608"/>
      <c r="I1441" s="750">
        <f>+E1441</f>
        <v>0.65699999999999992</v>
      </c>
      <c r="J1441" s="446">
        <v>1.01</v>
      </c>
      <c r="K1441" s="40">
        <f>+I1441*J1441</f>
        <v>0.66356999999999988</v>
      </c>
      <c r="L1441" s="243" t="s">
        <v>8</v>
      </c>
      <c r="M1441" s="173"/>
      <c r="O1441" s="218"/>
      <c r="P1441" s="68"/>
      <c r="Q1441" s="217"/>
    </row>
    <row r="1442" spans="1:24" ht="30" customHeight="1" x14ac:dyDescent="0.35">
      <c r="A1442" s="241" t="s">
        <v>360</v>
      </c>
      <c r="B1442" s="1082" t="s">
        <v>930</v>
      </c>
      <c r="C1442" s="1082"/>
      <c r="D1442" s="1082"/>
      <c r="E1442" s="591">
        <f xml:space="preserve"> 0.58+((1.15+1.71)/2)</f>
        <v>2.0099999999999998</v>
      </c>
      <c r="F1442" s="639" t="s">
        <v>8</v>
      </c>
      <c r="G1442" s="700"/>
      <c r="H1442" s="608"/>
      <c r="I1442" s="750">
        <f>+E1442</f>
        <v>2.0099999999999998</v>
      </c>
      <c r="J1442" s="446">
        <v>1.01</v>
      </c>
      <c r="K1442" s="40">
        <f>+I1442*J1442</f>
        <v>2.0301</v>
      </c>
      <c r="L1442" s="243" t="s">
        <v>8</v>
      </c>
      <c r="M1442" s="173"/>
      <c r="O1442" s="218"/>
      <c r="P1442" s="68"/>
      <c r="Q1442" s="217"/>
    </row>
    <row r="1443" spans="1:24" ht="30" customHeight="1" x14ac:dyDescent="0.35">
      <c r="A1443" s="241" t="s">
        <v>436</v>
      </c>
      <c r="B1443" s="1082" t="s">
        <v>931</v>
      </c>
      <c r="C1443" s="1082"/>
      <c r="D1443" s="1082"/>
      <c r="E1443" s="453">
        <f t="shared" ref="E1443:E1445" si="50">E1414</f>
        <v>177000</v>
      </c>
      <c r="F1443" s="639" t="s">
        <v>10</v>
      </c>
      <c r="G1443" s="700"/>
      <c r="H1443" s="608" t="s">
        <v>932</v>
      </c>
      <c r="I1443" s="750">
        <f>+E1443/H1437</f>
        <v>15.878711761011932</v>
      </c>
      <c r="J1443" s="446">
        <v>1.02</v>
      </c>
      <c r="K1443" s="453">
        <f>+I1443*J1443</f>
        <v>16.19628599623217</v>
      </c>
      <c r="L1443" s="243" t="s">
        <v>8</v>
      </c>
      <c r="M1443" s="173"/>
      <c r="O1443" s="218"/>
      <c r="P1443" s="68"/>
      <c r="Q1443" s="217"/>
    </row>
    <row r="1444" spans="1:24" ht="30" customHeight="1" x14ac:dyDescent="0.35">
      <c r="A1444" s="241" t="s">
        <v>377</v>
      </c>
      <c r="B1444" s="1134" t="s">
        <v>933</v>
      </c>
      <c r="C1444" s="1134"/>
      <c r="D1444" s="1134"/>
      <c r="E1444" s="591">
        <f t="shared" si="50"/>
        <v>25.9</v>
      </c>
      <c r="F1444" s="639" t="s">
        <v>944</v>
      </c>
      <c r="G1444" s="700">
        <f>2*81</f>
        <v>162</v>
      </c>
      <c r="H1444" s="608" t="s">
        <v>8</v>
      </c>
      <c r="I1444" s="750">
        <f>+E1444*G1444/H1437</f>
        <v>0.37640620794832691</v>
      </c>
      <c r="J1444" s="446">
        <v>1.03</v>
      </c>
      <c r="K1444" s="453">
        <f t="shared" ref="K1444:K1449" si="51">+I1444*J1444</f>
        <v>0.38769839418677671</v>
      </c>
      <c r="L1444" s="243" t="s">
        <v>8</v>
      </c>
      <c r="M1444" s="173"/>
      <c r="O1444" s="218"/>
      <c r="P1444" s="68"/>
      <c r="Q1444" s="217"/>
    </row>
    <row r="1445" spans="1:24" ht="30" customHeight="1" x14ac:dyDescent="0.35">
      <c r="A1445" s="241" t="s">
        <v>377</v>
      </c>
      <c r="B1445" s="1271" t="s">
        <v>936</v>
      </c>
      <c r="C1445" s="1271"/>
      <c r="D1445" s="1271"/>
      <c r="E1445" s="751">
        <f t="shared" si="50"/>
        <v>2065</v>
      </c>
      <c r="F1445" s="639" t="s">
        <v>10</v>
      </c>
      <c r="G1445" s="700">
        <v>2</v>
      </c>
      <c r="H1445" s="608" t="s">
        <v>10</v>
      </c>
      <c r="I1445" s="750">
        <f>+E1445*G1445/H1437</f>
        <v>0.37050327442361175</v>
      </c>
      <c r="J1445" s="446">
        <v>1.03</v>
      </c>
      <c r="K1445" s="453">
        <f t="shared" si="51"/>
        <v>0.38161837265632009</v>
      </c>
      <c r="L1445" s="243" t="s">
        <v>8</v>
      </c>
      <c r="M1445" s="173"/>
      <c r="O1445" s="218"/>
      <c r="P1445" s="68"/>
      <c r="Q1445" s="217"/>
    </row>
    <row r="1446" spans="1:24" ht="30" customHeight="1" x14ac:dyDescent="0.35">
      <c r="A1446" s="241" t="s">
        <v>380</v>
      </c>
      <c r="B1446" s="1082" t="s">
        <v>945</v>
      </c>
      <c r="C1446" s="1082"/>
      <c r="D1446" s="1082"/>
      <c r="E1446" s="453">
        <f>+(34.5+82)/2</f>
        <v>58.25</v>
      </c>
      <c r="F1446" s="639" t="s">
        <v>6</v>
      </c>
      <c r="G1446" s="700">
        <f>2*10</f>
        <v>20</v>
      </c>
      <c r="H1446" s="608" t="s">
        <v>946</v>
      </c>
      <c r="I1446" s="750">
        <f>+E1446*G1446/H1437</f>
        <v>0.10451242486767741</v>
      </c>
      <c r="J1446" s="446">
        <v>1.03</v>
      </c>
      <c r="K1446" s="453">
        <f t="shared" si="51"/>
        <v>0.10764779761370773</v>
      </c>
      <c r="L1446" s="243" t="s">
        <v>8</v>
      </c>
      <c r="M1446" s="173"/>
      <c r="O1446" s="218"/>
      <c r="P1446" s="68"/>
      <c r="Q1446" s="217"/>
    </row>
    <row r="1447" spans="1:24" ht="30" customHeight="1" x14ac:dyDescent="0.35">
      <c r="A1447" s="241" t="s">
        <v>380</v>
      </c>
      <c r="B1447" s="1082" t="s">
        <v>947</v>
      </c>
      <c r="C1447" s="1082"/>
      <c r="D1447" s="1082"/>
      <c r="E1447" s="453">
        <f>+(6450+12300)/2</f>
        <v>9375</v>
      </c>
      <c r="F1447" s="639" t="s">
        <v>10</v>
      </c>
      <c r="G1447" s="700">
        <v>2</v>
      </c>
      <c r="H1447" s="608" t="s">
        <v>932</v>
      </c>
      <c r="I1447" s="750">
        <f>+E1447*G1447/H1437</f>
        <v>1.6820669238360098</v>
      </c>
      <c r="J1447" s="446">
        <v>1.03</v>
      </c>
      <c r="K1447" s="453">
        <f t="shared" si="51"/>
        <v>1.7325289315510901</v>
      </c>
      <c r="L1447" s="243" t="s">
        <v>8</v>
      </c>
      <c r="M1447" s="173"/>
      <c r="O1447" s="218"/>
      <c r="P1447" s="68"/>
      <c r="Q1447" s="217"/>
    </row>
    <row r="1448" spans="1:24" ht="30" customHeight="1" x14ac:dyDescent="0.35">
      <c r="A1448" s="241" t="s">
        <v>380</v>
      </c>
      <c r="B1448" s="1082" t="s">
        <v>948</v>
      </c>
      <c r="C1448" s="1082"/>
      <c r="D1448" s="1082"/>
      <c r="E1448" s="51">
        <f>+(660+1010)/2</f>
        <v>835</v>
      </c>
      <c r="F1448" s="639" t="s">
        <v>10</v>
      </c>
      <c r="G1448" s="700">
        <v>2</v>
      </c>
      <c r="H1448" s="608" t="s">
        <v>932</v>
      </c>
      <c r="I1448" s="750">
        <f>+E1448*G1448/H1437</f>
        <v>0.14981609401632726</v>
      </c>
      <c r="J1448" s="446">
        <v>1.05</v>
      </c>
      <c r="K1448" s="453">
        <f t="shared" si="51"/>
        <v>0.15730689871714362</v>
      </c>
      <c r="L1448" s="243" t="s">
        <v>8</v>
      </c>
      <c r="M1448" s="173"/>
      <c r="O1448" s="218"/>
      <c r="P1448" s="68"/>
      <c r="Q1448" s="217"/>
    </row>
    <row r="1449" spans="1:24" ht="30" customHeight="1" x14ac:dyDescent="0.35">
      <c r="A1449" s="241" t="s">
        <v>380</v>
      </c>
      <c r="B1449" s="1082" t="s">
        <v>949</v>
      </c>
      <c r="C1449" s="1082"/>
      <c r="D1449" s="1082"/>
      <c r="E1449" s="453">
        <f>+(1160+3475)/2</f>
        <v>2317.5</v>
      </c>
      <c r="F1449" s="639" t="s">
        <v>10</v>
      </c>
      <c r="G1449" s="700">
        <v>2</v>
      </c>
      <c r="H1449" s="608" t="s">
        <v>932</v>
      </c>
      <c r="I1449" s="750">
        <f>+E1449*G1449/H1437</f>
        <v>0.41580694357226161</v>
      </c>
      <c r="J1449" s="446">
        <v>1.05</v>
      </c>
      <c r="K1449" s="453">
        <f t="shared" si="51"/>
        <v>0.43659729075087472</v>
      </c>
      <c r="L1449" s="243" t="s">
        <v>8</v>
      </c>
      <c r="M1449" s="173"/>
      <c r="O1449" s="218"/>
      <c r="P1449" s="68"/>
      <c r="Q1449" s="217"/>
    </row>
    <row r="1450" spans="1:24" ht="30" customHeight="1" x14ac:dyDescent="0.35">
      <c r="A1450" s="241"/>
      <c r="B1450" s="1059"/>
      <c r="C1450" s="1059"/>
      <c r="D1450" s="1059"/>
      <c r="E1450" s="453"/>
      <c r="F1450" s="519"/>
      <c r="G1450" s="508"/>
      <c r="H1450" s="508"/>
      <c r="I1450" s="446"/>
      <c r="J1450" s="446" t="s">
        <v>362</v>
      </c>
      <c r="K1450" s="453">
        <f>SUM(K1439:K1449)</f>
        <v>189.62205368170811</v>
      </c>
      <c r="L1450" s="243" t="s">
        <v>8</v>
      </c>
      <c r="M1450" s="173"/>
      <c r="O1450" s="218"/>
      <c r="P1450" s="68"/>
      <c r="Q1450" s="217"/>
    </row>
    <row r="1451" spans="1:24" ht="30" customHeight="1" x14ac:dyDescent="0.35">
      <c r="A1451" s="241"/>
      <c r="B1451" s="506"/>
      <c r="C1451" s="506"/>
      <c r="D1451" s="506"/>
      <c r="E1451" s="506"/>
      <c r="F1451" s="1029" t="s">
        <v>302</v>
      </c>
      <c r="G1451" s="1058" t="s">
        <v>303</v>
      </c>
      <c r="H1451" s="1058"/>
      <c r="I1451" s="1058"/>
      <c r="J1451" s="1058"/>
      <c r="K1451" s="612">
        <v>1.08</v>
      </c>
      <c r="L1451" s="243"/>
      <c r="M1451" s="173"/>
      <c r="O1451" s="218"/>
      <c r="P1451" s="68"/>
      <c r="Q1451" s="217"/>
    </row>
    <row r="1452" spans="1:24" ht="30" customHeight="1" x14ac:dyDescent="0.35">
      <c r="A1452" s="241"/>
      <c r="B1452" s="506"/>
      <c r="C1452" s="506"/>
      <c r="D1452" s="506"/>
      <c r="E1452" s="506"/>
      <c r="F1452" s="1029"/>
      <c r="G1452" s="1073" t="s">
        <v>2374</v>
      </c>
      <c r="H1452" s="1073"/>
      <c r="I1452" s="1073"/>
      <c r="J1452" s="1073"/>
      <c r="K1452" s="612">
        <v>1.08</v>
      </c>
      <c r="L1452" s="243"/>
      <c r="M1452" s="173"/>
      <c r="O1452" s="218"/>
      <c r="P1452" s="68"/>
      <c r="Q1452" s="217"/>
    </row>
    <row r="1453" spans="1:24" ht="30" customHeight="1" x14ac:dyDescent="0.35">
      <c r="A1453" s="241"/>
      <c r="B1453" s="446"/>
      <c r="C1453" s="458"/>
      <c r="D1453" s="458"/>
      <c r="E1453" s="458"/>
      <c r="F1453" s="458"/>
      <c r="G1453" s="458"/>
      <c r="H1453" s="458"/>
      <c r="I1453" s="458"/>
      <c r="J1453" s="446" t="s">
        <v>2356</v>
      </c>
      <c r="K1453" s="591">
        <f>+K1450*K1451/K1452</f>
        <v>189.62205368170811</v>
      </c>
      <c r="L1453" s="243" t="s">
        <v>8</v>
      </c>
      <c r="M1453" s="173"/>
      <c r="N1453" s="419"/>
      <c r="O1453" s="171"/>
      <c r="P1453" s="216"/>
      <c r="Q1453" s="419"/>
      <c r="R1453" s="219"/>
      <c r="T1453" s="205"/>
      <c r="U1453" s="205"/>
      <c r="V1453" s="205"/>
      <c r="W1453" s="205"/>
      <c r="X1453" s="205"/>
    </row>
    <row r="1454" spans="1:24" s="205" customFormat="1" ht="30" customHeight="1" x14ac:dyDescent="0.35">
      <c r="A1454" s="241"/>
      <c r="B1454" s="446"/>
      <c r="C1454" s="458"/>
      <c r="D1454" s="458"/>
      <c r="E1454" s="458"/>
      <c r="F1454" s="752" t="s">
        <v>2359</v>
      </c>
      <c r="G1454" s="753"/>
      <c r="H1454" s="753"/>
      <c r="I1454" s="754"/>
      <c r="J1454" s="583">
        <f>VLOOKUP(B1437,'Mil Cost Premiums for PUCs'!$A$4:$R$272,18,FALSE)</f>
        <v>1.1932356231980656</v>
      </c>
      <c r="K1454" s="591">
        <f>+K1453*J1454</f>
        <v>226.26378939699003</v>
      </c>
      <c r="L1454" s="243" t="s">
        <v>8</v>
      </c>
      <c r="M1454" s="173"/>
      <c r="N1454" s="419"/>
      <c r="O1454" s="171"/>
      <c r="P1454" s="216"/>
      <c r="Q1454" s="419"/>
      <c r="R1454" s="219"/>
      <c r="S1454" s="203"/>
      <c r="T1454" s="203"/>
      <c r="U1454" s="203"/>
      <c r="V1454" s="203"/>
      <c r="W1454" s="203"/>
      <c r="X1454" s="203"/>
    </row>
    <row r="1455" spans="1:24" ht="60" customHeight="1" x14ac:dyDescent="0.35">
      <c r="A1455" s="1064" t="s">
        <v>305</v>
      </c>
      <c r="B1455" s="1067"/>
      <c r="C1455" s="1067"/>
      <c r="D1455" s="1067"/>
      <c r="E1455" s="1067"/>
      <c r="F1455" s="1067"/>
      <c r="G1455" s="1067"/>
      <c r="H1455" s="1067"/>
      <c r="I1455" s="1067"/>
      <c r="J1455" s="1067"/>
      <c r="K1455" s="1067"/>
      <c r="L1455" s="1126"/>
      <c r="M1455" s="173"/>
      <c r="N1455" s="205"/>
      <c r="O1455" s="254"/>
      <c r="P1455" s="71"/>
      <c r="Q1455" s="253"/>
      <c r="R1455" s="205"/>
      <c r="S1455" s="205"/>
    </row>
    <row r="1456" spans="1:24" ht="30" customHeight="1" x14ac:dyDescent="0.35">
      <c r="A1456" s="1124" t="s">
        <v>306</v>
      </c>
      <c r="B1456" s="1125"/>
      <c r="C1456" s="1125"/>
      <c r="D1456" s="1067" t="s">
        <v>950</v>
      </c>
      <c r="E1456" s="1067"/>
      <c r="F1456" s="1067"/>
      <c r="G1456" s="1067"/>
      <c r="H1456" s="1067"/>
      <c r="I1456" s="1067"/>
      <c r="J1456" s="1067"/>
      <c r="K1456" s="1067"/>
      <c r="L1456" s="1126"/>
      <c r="M1456" s="173"/>
      <c r="O1456" s="218"/>
      <c r="P1456" s="68"/>
      <c r="Q1456" s="217"/>
    </row>
    <row r="1457" spans="1:24" ht="30" customHeight="1" x14ac:dyDescent="0.35">
      <c r="A1457" s="1124" t="s">
        <v>307</v>
      </c>
      <c r="B1457" s="1125"/>
      <c r="C1457" s="1125"/>
      <c r="D1457" s="1067" t="s">
        <v>951</v>
      </c>
      <c r="E1457" s="1067"/>
      <c r="F1457" s="1067"/>
      <c r="G1457" s="1067"/>
      <c r="H1457" s="1067"/>
      <c r="I1457" s="1067"/>
      <c r="J1457" s="1067"/>
      <c r="K1457" s="1067"/>
      <c r="L1457" s="1126"/>
      <c r="M1457" s="173"/>
      <c r="N1457" s="68"/>
      <c r="O1457" s="203"/>
      <c r="P1457" s="218"/>
      <c r="Q1457" s="68"/>
      <c r="R1457" s="217"/>
    </row>
    <row r="1458" spans="1:24" ht="30" customHeight="1" x14ac:dyDescent="0.35">
      <c r="A1458" s="1124" t="s">
        <v>308</v>
      </c>
      <c r="B1458" s="1125"/>
      <c r="C1458" s="1125"/>
      <c r="D1458" s="1067" t="s">
        <v>2856</v>
      </c>
      <c r="E1458" s="1067"/>
      <c r="F1458" s="1067"/>
      <c r="G1458" s="1067"/>
      <c r="H1458" s="1067"/>
      <c r="I1458" s="1067"/>
      <c r="J1458" s="1067"/>
      <c r="K1458" s="1067"/>
      <c r="L1458" s="1126"/>
      <c r="M1458" s="173"/>
      <c r="N1458" s="68"/>
      <c r="O1458" s="203"/>
      <c r="P1458" s="218"/>
      <c r="Q1458" s="68"/>
      <c r="R1458" s="217"/>
    </row>
    <row r="1459" spans="1:24" ht="30" customHeight="1" x14ac:dyDescent="0.35">
      <c r="A1459" s="1124" t="s">
        <v>309</v>
      </c>
      <c r="B1459" s="1125"/>
      <c r="C1459" s="1125"/>
      <c r="D1459" s="1067" t="s">
        <v>952</v>
      </c>
      <c r="E1459" s="1067"/>
      <c r="F1459" s="1067"/>
      <c r="G1459" s="1067"/>
      <c r="H1459" s="1067"/>
      <c r="I1459" s="1067"/>
      <c r="J1459" s="1067"/>
      <c r="K1459" s="1067"/>
      <c r="L1459" s="1126"/>
      <c r="M1459" s="173"/>
      <c r="N1459" s="68"/>
      <c r="O1459" s="203"/>
      <c r="P1459" s="218"/>
      <c r="Q1459" s="68"/>
      <c r="R1459" s="217"/>
    </row>
    <row r="1460" spans="1:24" ht="90" customHeight="1" x14ac:dyDescent="0.35">
      <c r="A1460" s="1124" t="s">
        <v>311</v>
      </c>
      <c r="B1460" s="1125"/>
      <c r="C1460" s="1125"/>
      <c r="D1460" s="1067" t="s">
        <v>953</v>
      </c>
      <c r="E1460" s="1067"/>
      <c r="F1460" s="1067"/>
      <c r="G1460" s="1067"/>
      <c r="H1460" s="1067"/>
      <c r="I1460" s="1067"/>
      <c r="J1460" s="1067"/>
      <c r="K1460" s="1067"/>
      <c r="L1460" s="1126"/>
      <c r="M1460" s="173"/>
      <c r="N1460" s="68"/>
      <c r="O1460" s="203"/>
      <c r="P1460" s="218"/>
      <c r="Q1460" s="68"/>
      <c r="R1460" s="217"/>
    </row>
    <row r="1461" spans="1:24" ht="30" customHeight="1" x14ac:dyDescent="0.35">
      <c r="A1461" s="1124" t="s">
        <v>313</v>
      </c>
      <c r="B1461" s="1125"/>
      <c r="C1461" s="1125"/>
      <c r="D1461" s="1067" t="s">
        <v>942</v>
      </c>
      <c r="E1461" s="1067"/>
      <c r="F1461" s="1067"/>
      <c r="G1461" s="1067"/>
      <c r="H1461" s="1067"/>
      <c r="I1461" s="1067"/>
      <c r="J1461" s="1067"/>
      <c r="K1461" s="1067"/>
      <c r="L1461" s="1126"/>
      <c r="M1461" s="173"/>
      <c r="N1461" s="68"/>
      <c r="O1461" s="203"/>
      <c r="P1461" s="218"/>
      <c r="Q1461" s="68"/>
      <c r="R1461" s="217"/>
    </row>
    <row r="1462" spans="1:24" ht="30" customHeight="1" x14ac:dyDescent="0.35">
      <c r="A1462" s="1124" t="s">
        <v>315</v>
      </c>
      <c r="B1462" s="1125"/>
      <c r="C1462" s="1125"/>
      <c r="D1462" s="1067" t="s">
        <v>852</v>
      </c>
      <c r="E1462" s="1067"/>
      <c r="F1462" s="1067"/>
      <c r="G1462" s="1067"/>
      <c r="H1462" s="1067"/>
      <c r="I1462" s="1067"/>
      <c r="J1462" s="1067"/>
      <c r="K1462" s="1067"/>
      <c r="L1462" s="1126"/>
      <c r="M1462" s="173"/>
      <c r="N1462" s="68"/>
      <c r="O1462" s="203"/>
      <c r="P1462" s="218"/>
      <c r="Q1462" s="68"/>
      <c r="R1462" s="217"/>
    </row>
    <row r="1463" spans="1:24" ht="75" customHeight="1" x14ac:dyDescent="0.35">
      <c r="A1463" s="1124" t="s">
        <v>467</v>
      </c>
      <c r="B1463" s="1125"/>
      <c r="C1463" s="1125"/>
      <c r="D1463" s="1118" t="s">
        <v>917</v>
      </c>
      <c r="E1463" s="1118"/>
      <c r="F1463" s="1118"/>
      <c r="G1463" s="1118"/>
      <c r="H1463" s="1118"/>
      <c r="I1463" s="1118"/>
      <c r="J1463" s="1118"/>
      <c r="K1463" s="1118"/>
      <c r="L1463" s="1119"/>
      <c r="M1463" s="173"/>
      <c r="N1463" s="13"/>
      <c r="O1463" s="203"/>
      <c r="P1463" s="218"/>
      <c r="Q1463" s="68"/>
      <c r="R1463" s="217"/>
    </row>
    <row r="1464" spans="1:24" ht="60" customHeight="1" thickBot="1" x14ac:dyDescent="0.4">
      <c r="A1464" s="1132" t="s">
        <v>318</v>
      </c>
      <c r="B1464" s="1129"/>
      <c r="C1464" s="1129"/>
      <c r="D1464" s="1068" t="s">
        <v>2855</v>
      </c>
      <c r="E1464" s="1068"/>
      <c r="F1464" s="1068"/>
      <c r="G1464" s="1068"/>
      <c r="H1464" s="1068"/>
      <c r="I1464" s="1068"/>
      <c r="J1464" s="1068"/>
      <c r="K1464" s="1068"/>
      <c r="L1464" s="1120"/>
      <c r="M1464" s="173"/>
      <c r="N1464" s="68"/>
      <c r="O1464" s="203"/>
      <c r="P1464" s="218"/>
      <c r="Q1464" s="68"/>
      <c r="R1464" s="217"/>
    </row>
    <row r="1465" spans="1:24" ht="30" customHeight="1" thickBot="1" x14ac:dyDescent="0.4">
      <c r="A1465" s="1086"/>
      <c r="B1465" s="1086"/>
      <c r="C1465" s="1086"/>
      <c r="D1465" s="1086"/>
      <c r="E1465" s="1086"/>
      <c r="F1465" s="1086"/>
      <c r="G1465" s="1086"/>
      <c r="H1465" s="1086"/>
      <c r="I1465" s="1086"/>
      <c r="J1465" s="1086"/>
      <c r="K1465" s="1086"/>
      <c r="L1465" s="1103"/>
      <c r="M1465" s="173"/>
      <c r="N1465" s="68"/>
      <c r="O1465" s="203"/>
      <c r="P1465" s="218"/>
      <c r="Q1465" s="68"/>
      <c r="R1465" s="217"/>
    </row>
    <row r="1466" spans="1:24" ht="30" customHeight="1" x14ac:dyDescent="0.35">
      <c r="A1466" s="465" t="s">
        <v>278</v>
      </c>
      <c r="B1466" s="539">
        <v>2124</v>
      </c>
      <c r="C1466" s="1017" t="s">
        <v>954</v>
      </c>
      <c r="D1466" s="1017"/>
      <c r="E1466" s="541" t="s">
        <v>280</v>
      </c>
      <c r="F1466" s="542" t="s">
        <v>10</v>
      </c>
      <c r="G1466" s="553" t="s">
        <v>955</v>
      </c>
      <c r="H1466" s="632">
        <v>14400</v>
      </c>
      <c r="I1466" s="541" t="s">
        <v>281</v>
      </c>
      <c r="J1466" s="1019" t="s">
        <v>2371</v>
      </c>
      <c r="K1466" s="1019"/>
      <c r="L1466" s="1020"/>
      <c r="M1466" s="173"/>
      <c r="N1466" s="68"/>
      <c r="O1466" s="203"/>
      <c r="P1466" s="218"/>
      <c r="Q1466" s="68"/>
      <c r="R1466" s="217"/>
    </row>
    <row r="1467" spans="1:24" ht="30" customHeight="1" x14ac:dyDescent="0.35">
      <c r="A1467" s="588" t="s">
        <v>298</v>
      </c>
      <c r="B1467" s="1038" t="s">
        <v>321</v>
      </c>
      <c r="C1467" s="1038"/>
      <c r="D1467" s="1038"/>
      <c r="E1467" s="23" t="s">
        <v>290</v>
      </c>
      <c r="F1467" s="23" t="s">
        <v>322</v>
      </c>
      <c r="G1467" s="1034" t="s">
        <v>323</v>
      </c>
      <c r="H1467" s="1034"/>
      <c r="I1467" s="509" t="s">
        <v>299</v>
      </c>
      <c r="J1467" s="509"/>
      <c r="K1467" s="1012" t="s">
        <v>292</v>
      </c>
      <c r="L1467" s="1023"/>
      <c r="M1467" s="173"/>
      <c r="N1467" s="68"/>
      <c r="O1467" s="203"/>
      <c r="P1467" s="218"/>
      <c r="Q1467" s="68"/>
      <c r="R1467" s="217"/>
      <c r="T1467" s="208"/>
      <c r="U1467" s="208"/>
      <c r="V1467" s="208"/>
      <c r="W1467" s="208"/>
      <c r="X1467" s="208"/>
    </row>
    <row r="1468" spans="1:24" s="208" customFormat="1" ht="30" customHeight="1" x14ac:dyDescent="0.35">
      <c r="A1468" s="241" t="s">
        <v>300</v>
      </c>
      <c r="B1468" s="1031" t="s">
        <v>956</v>
      </c>
      <c r="C1468" s="1031"/>
      <c r="D1468" s="1031"/>
      <c r="E1468" s="453">
        <v>74000</v>
      </c>
      <c r="F1468" s="446" t="s">
        <v>10</v>
      </c>
      <c r="G1468" s="53"/>
      <c r="H1468" s="498"/>
      <c r="I1468" s="755">
        <v>1.02</v>
      </c>
      <c r="J1468" s="755"/>
      <c r="K1468" s="40">
        <f>+E1468*I1468</f>
        <v>75480</v>
      </c>
      <c r="L1468" s="676" t="s">
        <v>10</v>
      </c>
      <c r="M1468" s="173"/>
      <c r="N1468" s="68"/>
      <c r="O1468" s="203"/>
      <c r="P1468" s="218"/>
      <c r="Q1468" s="68"/>
      <c r="R1468" s="217"/>
      <c r="S1468" s="203"/>
      <c r="T1468" s="203"/>
      <c r="U1468" s="203"/>
      <c r="V1468" s="203"/>
      <c r="W1468" s="203"/>
      <c r="X1468" s="203"/>
    </row>
    <row r="1469" spans="1:24" ht="30" customHeight="1" x14ac:dyDescent="0.35">
      <c r="A1469" s="241" t="s">
        <v>493</v>
      </c>
      <c r="B1469" s="1031" t="s">
        <v>957</v>
      </c>
      <c r="C1469" s="1031"/>
      <c r="D1469" s="1031"/>
      <c r="E1469" s="40">
        <f>+((4.79+7.16)/2)+(8*(0.44+0.63)/2)+((0.5+2.53)/2)</f>
        <v>11.77</v>
      </c>
      <c r="F1469" s="3" t="s">
        <v>8</v>
      </c>
      <c r="G1469" s="39">
        <f>+H1466</f>
        <v>14400</v>
      </c>
      <c r="H1469" s="498" t="s">
        <v>325</v>
      </c>
      <c r="I1469" s="665">
        <v>1.02</v>
      </c>
      <c r="J1469" s="665"/>
      <c r="K1469" s="38">
        <f>+E1469*G1469*I1469</f>
        <v>172877.76</v>
      </c>
      <c r="L1469" s="676" t="s">
        <v>10</v>
      </c>
      <c r="M1469" s="173"/>
      <c r="N1469" s="68"/>
      <c r="O1469" s="208"/>
      <c r="P1469" s="218"/>
      <c r="Q1469" s="68"/>
      <c r="R1469" s="217"/>
      <c r="S1469" s="208"/>
    </row>
    <row r="1470" spans="1:24" ht="30" customHeight="1" x14ac:dyDescent="0.35">
      <c r="A1470" s="241" t="s">
        <v>436</v>
      </c>
      <c r="B1470" s="1031" t="s">
        <v>958</v>
      </c>
      <c r="C1470" s="1031"/>
      <c r="D1470" s="1031"/>
      <c r="E1470" s="453">
        <v>125</v>
      </c>
      <c r="F1470" s="446" t="s">
        <v>6</v>
      </c>
      <c r="G1470" s="54">
        <v>100</v>
      </c>
      <c r="H1470" s="498" t="s">
        <v>428</v>
      </c>
      <c r="I1470" s="446">
        <v>1.02</v>
      </c>
      <c r="J1470" s="665"/>
      <c r="K1470" s="40">
        <f>+E1470*G1470*I1470</f>
        <v>12750</v>
      </c>
      <c r="L1470" s="676" t="s">
        <v>10</v>
      </c>
      <c r="M1470" s="173"/>
      <c r="N1470" s="68"/>
      <c r="O1470" s="203"/>
      <c r="P1470" s="218"/>
      <c r="Q1470" s="68"/>
      <c r="R1470" s="217"/>
    </row>
    <row r="1471" spans="1:24" ht="30" customHeight="1" x14ac:dyDescent="0.35">
      <c r="A1471" s="241" t="s">
        <v>436</v>
      </c>
      <c r="B1471" s="1031" t="s">
        <v>959</v>
      </c>
      <c r="C1471" s="1031"/>
      <c r="D1471" s="1031"/>
      <c r="E1471" s="453">
        <v>3075</v>
      </c>
      <c r="F1471" s="446" t="s">
        <v>10</v>
      </c>
      <c r="G1471" s="53"/>
      <c r="H1471" s="498"/>
      <c r="I1471" s="446">
        <v>1.02</v>
      </c>
      <c r="J1471" s="665"/>
      <c r="K1471" s="40">
        <f>+E1471*I1471</f>
        <v>3136.5</v>
      </c>
      <c r="L1471" s="676" t="s">
        <v>10</v>
      </c>
      <c r="M1471" s="173"/>
      <c r="N1471" s="68"/>
      <c r="O1471" s="203"/>
      <c r="P1471" s="218"/>
      <c r="Q1471" s="68"/>
      <c r="R1471" s="217"/>
    </row>
    <row r="1472" spans="1:24" ht="30" customHeight="1" x14ac:dyDescent="0.35">
      <c r="A1472" s="241"/>
      <c r="B1472" s="506"/>
      <c r="C1472" s="506"/>
      <c r="D1472" s="506"/>
      <c r="E1472" s="591"/>
      <c r="F1472" s="446"/>
      <c r="G1472" s="519"/>
      <c r="H1472" s="508"/>
      <c r="I1472" s="446"/>
      <c r="J1472" s="446" t="s">
        <v>335</v>
      </c>
      <c r="K1472" s="453">
        <f>SUM(K1468:K1471)</f>
        <v>264244.26</v>
      </c>
      <c r="L1472" s="243" t="s">
        <v>10</v>
      </c>
      <c r="M1472" s="173"/>
      <c r="N1472" s="68"/>
      <c r="O1472" s="203"/>
      <c r="P1472" s="218"/>
      <c r="Q1472" s="68"/>
      <c r="R1472" s="217"/>
    </row>
    <row r="1473" spans="1:24" ht="30" customHeight="1" x14ac:dyDescent="0.35">
      <c r="A1473" s="241"/>
      <c r="B1473" s="506"/>
      <c r="C1473" s="506"/>
      <c r="D1473" s="506"/>
      <c r="E1473" s="453"/>
      <c r="F1473" s="1029" t="s">
        <v>302</v>
      </c>
      <c r="G1473" s="1058" t="s">
        <v>303</v>
      </c>
      <c r="H1473" s="1058"/>
      <c r="I1473" s="1058"/>
      <c r="J1473" s="1058"/>
      <c r="K1473" s="612">
        <v>1.07</v>
      </c>
      <c r="L1473" s="243"/>
      <c r="M1473" s="173"/>
      <c r="N1473" s="68"/>
      <c r="O1473" s="203"/>
      <c r="P1473" s="218"/>
      <c r="Q1473" s="68"/>
      <c r="R1473" s="217"/>
    </row>
    <row r="1474" spans="1:24" ht="30" customHeight="1" x14ac:dyDescent="0.35">
      <c r="A1474" s="241"/>
      <c r="B1474" s="506"/>
      <c r="C1474" s="506"/>
      <c r="D1474" s="506"/>
      <c r="E1474" s="453"/>
      <c r="F1474" s="1029"/>
      <c r="G1474" s="1073" t="s">
        <v>2374</v>
      </c>
      <c r="H1474" s="1073"/>
      <c r="I1474" s="1073"/>
      <c r="J1474" s="1073"/>
      <c r="K1474" s="612">
        <v>1.08</v>
      </c>
      <c r="L1474" s="243"/>
      <c r="M1474" s="173"/>
      <c r="N1474" s="68"/>
      <c r="O1474" s="203"/>
      <c r="P1474" s="218"/>
      <c r="Q1474" s="68"/>
      <c r="R1474" s="217"/>
    </row>
    <row r="1475" spans="1:24" ht="30" customHeight="1" x14ac:dyDescent="0.35">
      <c r="A1475" s="241"/>
      <c r="B1475" s="446"/>
      <c r="C1475" s="458"/>
      <c r="D1475" s="458"/>
      <c r="E1475" s="458"/>
      <c r="F1475" s="458"/>
      <c r="G1475" s="458"/>
      <c r="H1475" s="458"/>
      <c r="I1475" s="458"/>
      <c r="J1475" s="458" t="s">
        <v>2356</v>
      </c>
      <c r="K1475" s="591">
        <f>+K1472*K1473/K1474</f>
        <v>261797.55388888888</v>
      </c>
      <c r="L1475" s="243" t="s">
        <v>10</v>
      </c>
      <c r="M1475" s="173"/>
      <c r="N1475" s="419"/>
      <c r="O1475" s="171"/>
      <c r="P1475" s="216"/>
      <c r="Q1475" s="419"/>
      <c r="R1475" s="219"/>
    </row>
    <row r="1476" spans="1:24" ht="30" customHeight="1" thickBot="1" x14ac:dyDescent="0.4">
      <c r="A1476" s="241"/>
      <c r="B1476" s="1059"/>
      <c r="C1476" s="1059"/>
      <c r="D1476" s="1059"/>
      <c r="E1476" s="458"/>
      <c r="F1476" s="458"/>
      <c r="G1476" s="592" t="s">
        <v>2358</v>
      </c>
      <c r="H1476" s="458"/>
      <c r="I1476" s="458"/>
      <c r="J1476" s="583">
        <f>VLOOKUP(B1466,'Mil Cost Premiums for PUCs'!$A$4:$R$272,18,FALSE)</f>
        <v>1.1233553701921195</v>
      </c>
      <c r="K1476" s="591">
        <f>+K1475*J1476</f>
        <v>294091.68806424411</v>
      </c>
      <c r="L1476" s="243" t="s">
        <v>10</v>
      </c>
      <c r="M1476" s="173"/>
      <c r="N1476" s="419"/>
      <c r="O1476" s="171"/>
      <c r="P1476" s="216"/>
      <c r="Q1476" s="419"/>
      <c r="R1476" s="219"/>
    </row>
    <row r="1477" spans="1:24" ht="30" customHeight="1" thickBot="1" x14ac:dyDescent="0.4">
      <c r="A1477" s="1086"/>
      <c r="B1477" s="1086"/>
      <c r="C1477" s="1086"/>
      <c r="D1477" s="1086"/>
      <c r="E1477" s="1086"/>
      <c r="F1477" s="1086"/>
      <c r="G1477" s="1086"/>
      <c r="H1477" s="1086"/>
      <c r="I1477" s="1086"/>
      <c r="J1477" s="1086"/>
      <c r="K1477" s="1086"/>
      <c r="L1477" s="1103"/>
      <c r="M1477" s="173"/>
      <c r="N1477" s="231"/>
      <c r="O1477" s="203"/>
      <c r="P1477" s="218"/>
      <c r="Q1477" s="68"/>
      <c r="R1477" s="217"/>
    </row>
    <row r="1478" spans="1:24" ht="30" customHeight="1" x14ac:dyDescent="0.35">
      <c r="A1478" s="467" t="s">
        <v>278</v>
      </c>
      <c r="B1478" s="502">
        <v>2125</v>
      </c>
      <c r="C1478" s="1178" t="s">
        <v>960</v>
      </c>
      <c r="D1478" s="1178"/>
      <c r="E1478" s="396" t="s">
        <v>280</v>
      </c>
      <c r="F1478" s="67" t="s">
        <v>8</v>
      </c>
      <c r="G1478" s="397" t="s">
        <v>285</v>
      </c>
      <c r="H1478" s="204">
        <v>33011</v>
      </c>
      <c r="I1478" s="396" t="s">
        <v>281</v>
      </c>
      <c r="J1478" s="1019" t="s">
        <v>2371</v>
      </c>
      <c r="K1478" s="1019"/>
      <c r="L1478" s="1020"/>
      <c r="M1478" s="173"/>
      <c r="N1478" s="419"/>
      <c r="O1478" s="203"/>
      <c r="P1478" s="218"/>
      <c r="Q1478" s="68"/>
      <c r="R1478" s="217"/>
    </row>
    <row r="1479" spans="1:24" ht="30" customHeight="1" x14ac:dyDescent="0.35">
      <c r="A1479" s="588" t="s">
        <v>298</v>
      </c>
      <c r="B1479" s="1038" t="s">
        <v>321</v>
      </c>
      <c r="C1479" s="1038"/>
      <c r="D1479" s="1038"/>
      <c r="E1479" s="23" t="s">
        <v>290</v>
      </c>
      <c r="F1479" s="23" t="s">
        <v>322</v>
      </c>
      <c r="G1479" s="1012" t="s">
        <v>323</v>
      </c>
      <c r="H1479" s="1012"/>
      <c r="I1479" s="259" t="s">
        <v>928</v>
      </c>
      <c r="J1479" s="509" t="s">
        <v>299</v>
      </c>
      <c r="K1479" s="1012" t="s">
        <v>292</v>
      </c>
      <c r="L1479" s="1023"/>
      <c r="M1479" s="173"/>
      <c r="N1479" s="419"/>
      <c r="O1479" s="203"/>
      <c r="P1479" s="218"/>
      <c r="Q1479" s="68"/>
      <c r="R1479" s="217"/>
      <c r="T1479" s="208"/>
      <c r="U1479" s="208"/>
      <c r="V1479" s="208"/>
      <c r="W1479" s="208"/>
      <c r="X1479" s="208"/>
    </row>
    <row r="1480" spans="1:24" s="208" customFormat="1" ht="30" customHeight="1" x14ac:dyDescent="0.35">
      <c r="A1480" s="241" t="s">
        <v>435</v>
      </c>
      <c r="B1480" s="1082" t="s">
        <v>2863</v>
      </c>
      <c r="C1480" s="1082"/>
      <c r="D1480" s="1082"/>
      <c r="E1480" s="453">
        <f>164-2.51</f>
        <v>161.49</v>
      </c>
      <c r="F1480" s="446" t="s">
        <v>8</v>
      </c>
      <c r="G1480" s="53"/>
      <c r="H1480" s="498"/>
      <c r="I1480" s="258">
        <f>+E1480</f>
        <v>161.49</v>
      </c>
      <c r="J1480" s="446">
        <v>1.01</v>
      </c>
      <c r="K1480" s="40">
        <f t="shared" ref="K1480:K1490" si="52">+I1480*J1480</f>
        <v>163.10490000000001</v>
      </c>
      <c r="L1480" s="243" t="s">
        <v>8</v>
      </c>
      <c r="M1480" s="173"/>
      <c r="N1480" s="203"/>
      <c r="O1480" s="218"/>
      <c r="P1480" s="68"/>
      <c r="Q1480" s="217"/>
      <c r="R1480" s="203"/>
      <c r="S1480" s="203"/>
      <c r="T1480" s="203"/>
      <c r="U1480" s="203"/>
      <c r="V1480" s="203"/>
      <c r="W1480" s="203"/>
      <c r="X1480" s="203"/>
    </row>
    <row r="1481" spans="1:24" ht="30" customHeight="1" x14ac:dyDescent="0.35">
      <c r="A1481" s="241" t="s">
        <v>360</v>
      </c>
      <c r="B1481" s="1082" t="s">
        <v>961</v>
      </c>
      <c r="C1481" s="1082"/>
      <c r="D1481" s="1082"/>
      <c r="E1481" s="51">
        <v>3.61</v>
      </c>
      <c r="F1481" s="446" t="s">
        <v>8</v>
      </c>
      <c r="G1481" s="700"/>
      <c r="H1481" s="608"/>
      <c r="I1481" s="750">
        <f>+E1481</f>
        <v>3.61</v>
      </c>
      <c r="J1481" s="446">
        <v>1.01</v>
      </c>
      <c r="K1481" s="40">
        <f t="shared" si="52"/>
        <v>3.6461000000000001</v>
      </c>
      <c r="L1481" s="243" t="s">
        <v>8</v>
      </c>
      <c r="M1481" s="173"/>
      <c r="N1481" s="13"/>
      <c r="O1481" s="218"/>
      <c r="P1481" s="68"/>
      <c r="Q1481" s="217"/>
      <c r="R1481" s="208"/>
      <c r="S1481" s="208"/>
    </row>
    <row r="1482" spans="1:24" ht="30" customHeight="1" x14ac:dyDescent="0.35">
      <c r="A1482" s="241" t="s">
        <v>360</v>
      </c>
      <c r="B1482" s="1082" t="s">
        <v>929</v>
      </c>
      <c r="C1482" s="1082"/>
      <c r="D1482" s="1082"/>
      <c r="E1482" s="591">
        <f>0.15*E1481</f>
        <v>0.54149999999999998</v>
      </c>
      <c r="F1482" s="639" t="s">
        <v>8</v>
      </c>
      <c r="G1482" s="700"/>
      <c r="H1482" s="608"/>
      <c r="I1482" s="750">
        <f>E1482</f>
        <v>0.54149999999999998</v>
      </c>
      <c r="J1482" s="446">
        <v>1.01</v>
      </c>
      <c r="K1482" s="453">
        <f t="shared" si="52"/>
        <v>0.54691500000000004</v>
      </c>
      <c r="L1482" s="243" t="s">
        <v>8</v>
      </c>
      <c r="M1482" s="173"/>
      <c r="O1482" s="218"/>
      <c r="P1482" s="68"/>
      <c r="Q1482" s="217"/>
    </row>
    <row r="1483" spans="1:24" ht="30" customHeight="1" x14ac:dyDescent="0.35">
      <c r="A1483" s="241" t="s">
        <v>360</v>
      </c>
      <c r="B1483" s="1082" t="s">
        <v>930</v>
      </c>
      <c r="C1483" s="1082"/>
      <c r="D1483" s="1082"/>
      <c r="E1483" s="591">
        <f xml:space="preserve"> 0.58+((1.15+1.71)/2)</f>
        <v>2.0099999999999998</v>
      </c>
      <c r="F1483" s="639" t="s">
        <v>8</v>
      </c>
      <c r="G1483" s="700"/>
      <c r="H1483" s="608"/>
      <c r="I1483" s="750">
        <f>E1483</f>
        <v>2.0099999999999998</v>
      </c>
      <c r="J1483" s="446">
        <v>1.01</v>
      </c>
      <c r="K1483" s="453">
        <f t="shared" si="52"/>
        <v>2.0301</v>
      </c>
      <c r="L1483" s="243" t="s">
        <v>8</v>
      </c>
      <c r="M1483" s="173"/>
      <c r="O1483" s="218"/>
      <c r="P1483" s="68"/>
      <c r="Q1483" s="217"/>
    </row>
    <row r="1484" spans="1:24" ht="30" customHeight="1" x14ac:dyDescent="0.35">
      <c r="A1484" s="241" t="s">
        <v>436</v>
      </c>
      <c r="B1484" s="1082" t="s">
        <v>962</v>
      </c>
      <c r="C1484" s="1082"/>
      <c r="D1484" s="1082"/>
      <c r="E1484" s="453">
        <v>177000</v>
      </c>
      <c r="F1484" s="639" t="s">
        <v>10</v>
      </c>
      <c r="G1484" s="700"/>
      <c r="H1484" s="608" t="s">
        <v>932</v>
      </c>
      <c r="I1484" s="750">
        <f>+E1484*2/$H$1478</f>
        <v>10.723698161218987</v>
      </c>
      <c r="J1484" s="446">
        <v>1.02</v>
      </c>
      <c r="K1484" s="453">
        <f t="shared" si="52"/>
        <v>10.938172124443367</v>
      </c>
      <c r="L1484" s="243" t="s">
        <v>8</v>
      </c>
      <c r="M1484" s="173"/>
      <c r="O1484" s="218"/>
      <c r="P1484" s="68"/>
      <c r="Q1484" s="217"/>
    </row>
    <row r="1485" spans="1:24" ht="30" customHeight="1" x14ac:dyDescent="0.35">
      <c r="A1485" s="241" t="s">
        <v>377</v>
      </c>
      <c r="B1485" s="1134" t="s">
        <v>963</v>
      </c>
      <c r="C1485" s="1134"/>
      <c r="D1485" s="1134"/>
      <c r="E1485" s="591">
        <f>(20.3+31.5)/2</f>
        <v>25.9</v>
      </c>
      <c r="F1485" s="639" t="s">
        <v>934</v>
      </c>
      <c r="G1485" s="700">
        <f>4*81</f>
        <v>324</v>
      </c>
      <c r="H1485" s="608" t="s">
        <v>8</v>
      </c>
      <c r="I1485" s="750">
        <f>+E1485*G1485/H1478</f>
        <v>0.25420617369967585</v>
      </c>
      <c r="J1485" s="446">
        <v>1.03</v>
      </c>
      <c r="K1485" s="453">
        <f t="shared" si="52"/>
        <v>0.26183235891066614</v>
      </c>
      <c r="L1485" s="243" t="s">
        <v>8</v>
      </c>
      <c r="M1485" s="173"/>
      <c r="O1485" s="218"/>
      <c r="P1485" s="68"/>
      <c r="Q1485" s="217"/>
    </row>
    <row r="1486" spans="1:24" ht="30" customHeight="1" x14ac:dyDescent="0.35">
      <c r="A1486" s="241" t="s">
        <v>377</v>
      </c>
      <c r="B1486" s="1122" t="s">
        <v>964</v>
      </c>
      <c r="C1486" s="1122"/>
      <c r="D1486" s="1122"/>
      <c r="E1486" s="751">
        <f>(1710+2420)/2</f>
        <v>2065</v>
      </c>
      <c r="F1486" s="446" t="s">
        <v>10</v>
      </c>
      <c r="G1486" s="579">
        <v>4</v>
      </c>
      <c r="H1486" s="591" t="s">
        <v>937</v>
      </c>
      <c r="I1486" s="750">
        <f>+E1486*G1486/$H$1478</f>
        <v>0.25021962376177637</v>
      </c>
      <c r="J1486" s="446">
        <v>1.03</v>
      </c>
      <c r="K1486" s="453">
        <f t="shared" si="52"/>
        <v>0.25772621247462968</v>
      </c>
      <c r="L1486" s="243" t="s">
        <v>8</v>
      </c>
      <c r="M1486" s="173"/>
      <c r="O1486" s="218"/>
      <c r="P1486" s="68"/>
      <c r="Q1486" s="217"/>
    </row>
    <row r="1487" spans="1:24" ht="30" customHeight="1" x14ac:dyDescent="0.35">
      <c r="A1487" s="241" t="s">
        <v>380</v>
      </c>
      <c r="B1487" s="1082" t="s">
        <v>965</v>
      </c>
      <c r="C1487" s="1082"/>
      <c r="D1487" s="1082"/>
      <c r="E1487" s="453">
        <f>+(34.5+82)/2</f>
        <v>58.25</v>
      </c>
      <c r="F1487" s="639" t="s">
        <v>6</v>
      </c>
      <c r="G1487" s="700">
        <f>4*10</f>
        <v>40</v>
      </c>
      <c r="H1487" s="608" t="s">
        <v>966</v>
      </c>
      <c r="I1487" s="750">
        <f>+E1487*G1487/$H$1478</f>
        <v>7.0582533095028932E-2</v>
      </c>
      <c r="J1487" s="446">
        <v>1.03</v>
      </c>
      <c r="K1487" s="453">
        <f t="shared" si="52"/>
        <v>7.2700009087879797E-2</v>
      </c>
      <c r="L1487" s="243" t="s">
        <v>8</v>
      </c>
      <c r="M1487" s="173"/>
      <c r="O1487" s="218"/>
      <c r="P1487" s="68"/>
      <c r="Q1487" s="217"/>
    </row>
    <row r="1488" spans="1:24" ht="30" customHeight="1" x14ac:dyDescent="0.35">
      <c r="A1488" s="241" t="s">
        <v>380</v>
      </c>
      <c r="B1488" s="1082" t="s">
        <v>967</v>
      </c>
      <c r="C1488" s="1082"/>
      <c r="D1488" s="1082"/>
      <c r="E1488" s="453">
        <f>+(6450+12300)/2</f>
        <v>9375</v>
      </c>
      <c r="F1488" s="639" t="s">
        <v>10</v>
      </c>
      <c r="G1488" s="700">
        <v>4</v>
      </c>
      <c r="H1488" s="608" t="s">
        <v>932</v>
      </c>
      <c r="I1488" s="750">
        <f>+E1488*G1488/$H$1478</f>
        <v>1.1359849747054012</v>
      </c>
      <c r="J1488" s="446">
        <v>1.03</v>
      </c>
      <c r="K1488" s="453">
        <f t="shared" si="52"/>
        <v>1.1700645239465632</v>
      </c>
      <c r="L1488" s="243" t="s">
        <v>8</v>
      </c>
      <c r="M1488" s="173"/>
      <c r="O1488" s="218"/>
      <c r="P1488" s="68"/>
      <c r="Q1488" s="217"/>
    </row>
    <row r="1489" spans="1:24" ht="30" customHeight="1" x14ac:dyDescent="0.35">
      <c r="A1489" s="241" t="s">
        <v>380</v>
      </c>
      <c r="B1489" s="1082" t="s">
        <v>968</v>
      </c>
      <c r="C1489" s="1082"/>
      <c r="D1489" s="1082"/>
      <c r="E1489" s="51">
        <f>+(660+1010)/2</f>
        <v>835</v>
      </c>
      <c r="F1489" s="639" t="s">
        <v>10</v>
      </c>
      <c r="G1489" s="700">
        <v>4</v>
      </c>
      <c r="H1489" s="608" t="s">
        <v>932</v>
      </c>
      <c r="I1489" s="750">
        <f>+E1489*G1489/$H$1478</f>
        <v>0.10117839508042774</v>
      </c>
      <c r="J1489" s="446">
        <v>1.03</v>
      </c>
      <c r="K1489" s="453">
        <f t="shared" si="52"/>
        <v>0.10421374693284058</v>
      </c>
      <c r="L1489" s="243" t="s">
        <v>8</v>
      </c>
      <c r="M1489" s="173"/>
      <c r="O1489" s="218"/>
      <c r="P1489" s="68"/>
      <c r="Q1489" s="217"/>
    </row>
    <row r="1490" spans="1:24" ht="30" customHeight="1" x14ac:dyDescent="0.35">
      <c r="A1490" s="241" t="s">
        <v>380</v>
      </c>
      <c r="B1490" s="1082" t="s">
        <v>969</v>
      </c>
      <c r="C1490" s="1082"/>
      <c r="D1490" s="1082"/>
      <c r="E1490" s="453">
        <f>+(1160+3475)/2</f>
        <v>2317.5</v>
      </c>
      <c r="F1490" s="639" t="s">
        <v>10</v>
      </c>
      <c r="G1490" s="700">
        <v>4</v>
      </c>
      <c r="H1490" s="608" t="s">
        <v>932</v>
      </c>
      <c r="I1490" s="750">
        <f>+E1490*G1490/$H$1478</f>
        <v>0.28081548574717519</v>
      </c>
      <c r="J1490" s="446">
        <v>1.03</v>
      </c>
      <c r="K1490" s="453">
        <f t="shared" si="52"/>
        <v>0.28923995031959043</v>
      </c>
      <c r="L1490" s="243" t="s">
        <v>8</v>
      </c>
      <c r="M1490" s="173"/>
      <c r="O1490" s="218"/>
      <c r="P1490" s="68"/>
      <c r="Q1490" s="217"/>
    </row>
    <row r="1491" spans="1:24" ht="30" customHeight="1" x14ac:dyDescent="0.35">
      <c r="A1491" s="241"/>
      <c r="B1491" s="1059"/>
      <c r="C1491" s="1059"/>
      <c r="D1491" s="1059"/>
      <c r="E1491" s="453"/>
      <c r="F1491" s="519"/>
      <c r="G1491" s="508"/>
      <c r="H1491" s="508"/>
      <c r="I1491" s="446"/>
      <c r="J1491" s="446" t="s">
        <v>362</v>
      </c>
      <c r="K1491" s="453">
        <f>SUM(K1480:K1490)</f>
        <v>182.42196392611552</v>
      </c>
      <c r="L1491" s="243" t="s">
        <v>8</v>
      </c>
      <c r="M1491" s="173"/>
      <c r="O1491" s="218"/>
      <c r="P1491" s="68"/>
      <c r="Q1491" s="217"/>
    </row>
    <row r="1492" spans="1:24" ht="30" customHeight="1" x14ac:dyDescent="0.35">
      <c r="A1492" s="241"/>
      <c r="B1492" s="506"/>
      <c r="C1492" s="506"/>
      <c r="D1492" s="506"/>
      <c r="E1492" s="506"/>
      <c r="F1492" s="1029" t="s">
        <v>302</v>
      </c>
      <c r="G1492" s="1058" t="s">
        <v>303</v>
      </c>
      <c r="H1492" s="1058"/>
      <c r="I1492" s="1058"/>
      <c r="J1492" s="1058"/>
      <c r="K1492" s="612">
        <v>1.08</v>
      </c>
      <c r="L1492" s="243"/>
      <c r="M1492" s="173"/>
      <c r="O1492" s="218"/>
      <c r="P1492" s="68"/>
      <c r="Q1492" s="217"/>
    </row>
    <row r="1493" spans="1:24" ht="30" customHeight="1" x14ac:dyDescent="0.35">
      <c r="A1493" s="241"/>
      <c r="B1493" s="506"/>
      <c r="C1493" s="506"/>
      <c r="D1493" s="506"/>
      <c r="E1493" s="506"/>
      <c r="F1493" s="1029"/>
      <c r="G1493" s="1073" t="s">
        <v>2374</v>
      </c>
      <c r="H1493" s="1073"/>
      <c r="I1493" s="1073"/>
      <c r="J1493" s="1073"/>
      <c r="K1493" s="612">
        <v>1.08</v>
      </c>
      <c r="L1493" s="243"/>
      <c r="M1493" s="173"/>
      <c r="O1493" s="218"/>
      <c r="P1493" s="68"/>
      <c r="Q1493" s="217"/>
    </row>
    <row r="1494" spans="1:24" ht="30" customHeight="1" x14ac:dyDescent="0.35">
      <c r="A1494" s="241"/>
      <c r="B1494" s="446"/>
      <c r="C1494" s="458"/>
      <c r="D1494" s="458"/>
      <c r="E1494" s="458"/>
      <c r="F1494" s="458"/>
      <c r="G1494" s="458"/>
      <c r="H1494" s="458"/>
      <c r="I1494" s="458"/>
      <c r="J1494" s="458" t="s">
        <v>2356</v>
      </c>
      <c r="K1494" s="591">
        <f>+K1491*K1492/K1493</f>
        <v>182.42196392611552</v>
      </c>
      <c r="L1494" s="243" t="s">
        <v>8</v>
      </c>
      <c r="M1494" s="173"/>
      <c r="N1494" s="419"/>
      <c r="O1494" s="171"/>
      <c r="P1494" s="216"/>
      <c r="Q1494" s="419"/>
      <c r="R1494" s="219"/>
    </row>
    <row r="1495" spans="1:24" ht="30" customHeight="1" thickBot="1" x14ac:dyDescent="0.4">
      <c r="A1495" s="241"/>
      <c r="B1495" s="446"/>
      <c r="C1495" s="458"/>
      <c r="D1495" s="458"/>
      <c r="E1495" s="458"/>
      <c r="F1495" s="458"/>
      <c r="G1495" s="592" t="s">
        <v>2358</v>
      </c>
      <c r="H1495" s="458"/>
      <c r="I1495" s="458"/>
      <c r="J1495" s="583">
        <f>VLOOKUP(B1478,'Mil Cost Premiums for PUCs'!$A$4:$R$272,18,FALSE)</f>
        <v>1.1932356231980656</v>
      </c>
      <c r="K1495" s="591">
        <f>+K1494*J1495</f>
        <v>217.67238581039351</v>
      </c>
      <c r="L1495" s="243" t="s">
        <v>8</v>
      </c>
      <c r="M1495" s="173"/>
      <c r="N1495" s="419"/>
      <c r="O1495" s="171"/>
      <c r="P1495" s="216"/>
      <c r="Q1495" s="419"/>
      <c r="R1495" s="219"/>
    </row>
    <row r="1496" spans="1:24" ht="30" customHeight="1" thickBot="1" x14ac:dyDescent="0.4">
      <c r="A1496" s="1086"/>
      <c r="B1496" s="1086"/>
      <c r="C1496" s="1086"/>
      <c r="D1496" s="1086"/>
      <c r="E1496" s="1086"/>
      <c r="F1496" s="1086"/>
      <c r="G1496" s="1086"/>
      <c r="H1496" s="1086"/>
      <c r="I1496" s="1086"/>
      <c r="J1496" s="1086"/>
      <c r="K1496" s="1086"/>
      <c r="L1496" s="1103"/>
      <c r="M1496" s="173"/>
      <c r="O1496" s="218"/>
      <c r="P1496" s="68"/>
      <c r="Q1496" s="217"/>
    </row>
    <row r="1497" spans="1:24" ht="30" customHeight="1" x14ac:dyDescent="0.35">
      <c r="A1497" s="465" t="s">
        <v>278</v>
      </c>
      <c r="B1497" s="539">
        <v>2126</v>
      </c>
      <c r="C1497" s="1054" t="s">
        <v>2950</v>
      </c>
      <c r="D1497" s="1054"/>
      <c r="E1497" s="541" t="s">
        <v>280</v>
      </c>
      <c r="F1497" s="542" t="s">
        <v>8</v>
      </c>
      <c r="G1497" s="543" t="s">
        <v>285</v>
      </c>
      <c r="H1497" s="756">
        <v>33754</v>
      </c>
      <c r="I1497" s="541" t="s">
        <v>281</v>
      </c>
      <c r="J1497" s="1019" t="s">
        <v>2371</v>
      </c>
      <c r="K1497" s="1019"/>
      <c r="L1497" s="1020"/>
      <c r="M1497" s="173"/>
      <c r="O1497" s="203"/>
    </row>
    <row r="1498" spans="1:24" ht="30" customHeight="1" x14ac:dyDescent="0.35">
      <c r="A1498" s="588" t="s">
        <v>298</v>
      </c>
      <c r="B1498" s="1038" t="s">
        <v>321</v>
      </c>
      <c r="C1498" s="1038"/>
      <c r="D1498" s="1038"/>
      <c r="E1498" s="510" t="s">
        <v>290</v>
      </c>
      <c r="F1498" s="510" t="s">
        <v>322</v>
      </c>
      <c r="G1498" s="1012" t="s">
        <v>323</v>
      </c>
      <c r="H1498" s="1012"/>
      <c r="I1498" s="660" t="s">
        <v>928</v>
      </c>
      <c r="J1498" s="509" t="s">
        <v>299</v>
      </c>
      <c r="K1498" s="1012" t="s">
        <v>292</v>
      </c>
      <c r="L1498" s="1023"/>
      <c r="M1498" s="173"/>
      <c r="N1498" s="171"/>
      <c r="O1498" s="203"/>
      <c r="T1498" s="208"/>
      <c r="U1498" s="208"/>
      <c r="V1498" s="208"/>
      <c r="W1498" s="208"/>
      <c r="X1498" s="208"/>
    </row>
    <row r="1499" spans="1:24" s="208" customFormat="1" ht="30" customHeight="1" x14ac:dyDescent="0.35">
      <c r="A1499" s="241" t="s">
        <v>435</v>
      </c>
      <c r="B1499" s="1082" t="s">
        <v>2863</v>
      </c>
      <c r="C1499" s="1082"/>
      <c r="D1499" s="1082"/>
      <c r="E1499" s="453">
        <f>164-2.51</f>
        <v>161.49</v>
      </c>
      <c r="F1499" s="446" t="s">
        <v>8</v>
      </c>
      <c r="G1499" s="53"/>
      <c r="H1499" s="498"/>
      <c r="I1499" s="258">
        <f>+E1499</f>
        <v>161.49</v>
      </c>
      <c r="J1499" s="446">
        <v>1.01</v>
      </c>
      <c r="K1499" s="40">
        <f>+I1499*J1499</f>
        <v>163.10490000000001</v>
      </c>
      <c r="L1499" s="676" t="s">
        <v>8</v>
      </c>
      <c r="M1499" s="173"/>
      <c r="N1499" s="203"/>
      <c r="O1499" s="203"/>
      <c r="P1499" s="203"/>
      <c r="Q1499" s="203"/>
      <c r="R1499" s="203"/>
      <c r="S1499" s="203"/>
      <c r="T1499" s="203"/>
      <c r="U1499" s="203"/>
      <c r="V1499" s="203"/>
      <c r="W1499" s="203"/>
      <c r="X1499" s="203"/>
    </row>
    <row r="1500" spans="1:24" ht="30" customHeight="1" x14ac:dyDescent="0.35">
      <c r="A1500" s="241" t="s">
        <v>360</v>
      </c>
      <c r="B1500" s="1082" t="s">
        <v>961</v>
      </c>
      <c r="C1500" s="1082"/>
      <c r="D1500" s="1082"/>
      <c r="E1500" s="51">
        <v>3.61</v>
      </c>
      <c r="F1500" s="446" t="s">
        <v>8</v>
      </c>
      <c r="G1500" s="700"/>
      <c r="H1500" s="608"/>
      <c r="I1500" s="258">
        <f>+E1500</f>
        <v>3.61</v>
      </c>
      <c r="J1500" s="446">
        <v>1.01</v>
      </c>
      <c r="K1500" s="40">
        <f>+I1500*J1500</f>
        <v>3.6461000000000001</v>
      </c>
      <c r="L1500" s="243" t="s">
        <v>8</v>
      </c>
      <c r="M1500" s="173"/>
      <c r="N1500" s="208"/>
      <c r="O1500" s="208"/>
      <c r="P1500" s="208"/>
      <c r="Q1500" s="208"/>
      <c r="R1500" s="208"/>
      <c r="S1500" s="208"/>
    </row>
    <row r="1501" spans="1:24" ht="30" customHeight="1" x14ac:dyDescent="0.35">
      <c r="A1501" s="241" t="s">
        <v>360</v>
      </c>
      <c r="B1501" s="1082" t="s">
        <v>929</v>
      </c>
      <c r="C1501" s="1082"/>
      <c r="D1501" s="1082"/>
      <c r="E1501" s="591">
        <f>0.15*E1500</f>
        <v>0.54149999999999998</v>
      </c>
      <c r="F1501" s="639" t="s">
        <v>8</v>
      </c>
      <c r="G1501" s="700"/>
      <c r="H1501" s="608"/>
      <c r="I1501" s="258">
        <f>+E1501</f>
        <v>0.54149999999999998</v>
      </c>
      <c r="J1501" s="446">
        <v>1.01</v>
      </c>
      <c r="K1501" s="40">
        <f>+I1501*J1501</f>
        <v>0.54691500000000004</v>
      </c>
      <c r="L1501" s="676" t="s">
        <v>8</v>
      </c>
      <c r="M1501" s="173"/>
      <c r="O1501" s="203"/>
    </row>
    <row r="1502" spans="1:24" ht="30" customHeight="1" x14ac:dyDescent="0.35">
      <c r="A1502" s="241" t="s">
        <v>360</v>
      </c>
      <c r="B1502" s="1082" t="s">
        <v>930</v>
      </c>
      <c r="C1502" s="1082"/>
      <c r="D1502" s="1082"/>
      <c r="E1502" s="591">
        <f xml:space="preserve"> 0.58+((1.15+1.71)/2)</f>
        <v>2.0099999999999998</v>
      </c>
      <c r="F1502" s="639" t="s">
        <v>8</v>
      </c>
      <c r="G1502" s="700"/>
      <c r="H1502" s="608"/>
      <c r="I1502" s="750">
        <f>+E1502</f>
        <v>2.0099999999999998</v>
      </c>
      <c r="J1502" s="446">
        <v>1.01</v>
      </c>
      <c r="K1502" s="40">
        <f>+I1502*J1502</f>
        <v>2.0301</v>
      </c>
      <c r="L1502" s="243" t="s">
        <v>8</v>
      </c>
      <c r="M1502" s="173"/>
      <c r="O1502" s="203"/>
    </row>
    <row r="1503" spans="1:24" ht="30" customHeight="1" x14ac:dyDescent="0.35">
      <c r="A1503" s="241" t="s">
        <v>436</v>
      </c>
      <c r="B1503" s="1082" t="s">
        <v>2216</v>
      </c>
      <c r="C1503" s="1082"/>
      <c r="D1503" s="1082"/>
      <c r="E1503" s="453">
        <v>177000</v>
      </c>
      <c r="F1503" s="639" t="s">
        <v>10</v>
      </c>
      <c r="G1503" s="663">
        <f>H1497</f>
        <v>33754</v>
      </c>
      <c r="H1503" s="608" t="s">
        <v>932</v>
      </c>
      <c r="I1503" s="750">
        <f>+E1503/H1497</f>
        <v>5.2438229543165251</v>
      </c>
      <c r="J1503" s="446">
        <v>1.02</v>
      </c>
      <c r="K1503" s="40">
        <f>+I1503*2*J1503</f>
        <v>10.697398826805712</v>
      </c>
      <c r="L1503" s="676" t="s">
        <v>8</v>
      </c>
      <c r="M1503" s="173"/>
      <c r="O1503" s="203"/>
    </row>
    <row r="1504" spans="1:24" ht="30" customHeight="1" x14ac:dyDescent="0.35">
      <c r="A1504" s="241" t="s">
        <v>377</v>
      </c>
      <c r="B1504" s="1134" t="s">
        <v>970</v>
      </c>
      <c r="C1504" s="1134"/>
      <c r="D1504" s="1134"/>
      <c r="E1504" s="591">
        <f>(20.3+31.5)/2</f>
        <v>25.9</v>
      </c>
      <c r="F1504" s="446" t="s">
        <v>934</v>
      </c>
      <c r="G1504" s="579">
        <f>4*81</f>
        <v>324</v>
      </c>
      <c r="H1504" s="757" t="s">
        <v>966</v>
      </c>
      <c r="I1504" s="750">
        <f t="shared" ref="I1504:I1509" si="53">+E1504*G1504/33595</f>
        <v>0.24978717070992709</v>
      </c>
      <c r="J1504" s="446">
        <v>1.03</v>
      </c>
      <c r="K1504" s="40">
        <f t="shared" ref="K1504:K1509" si="54">+I1504*J1504</f>
        <v>0.25728078583122493</v>
      </c>
      <c r="L1504" s="676" t="s">
        <v>8</v>
      </c>
      <c r="M1504" s="173"/>
      <c r="O1504" s="203"/>
    </row>
    <row r="1505" spans="1:18" ht="30" customHeight="1" x14ac:dyDescent="0.35">
      <c r="A1505" s="241" t="s">
        <v>377</v>
      </c>
      <c r="B1505" s="1271" t="s">
        <v>964</v>
      </c>
      <c r="C1505" s="1271"/>
      <c r="D1505" s="1271"/>
      <c r="E1505" s="751">
        <f>(1710+2420)/2</f>
        <v>2065</v>
      </c>
      <c r="F1505" s="446" t="s">
        <v>10</v>
      </c>
      <c r="G1505" s="579">
        <v>4</v>
      </c>
      <c r="H1505" s="591" t="s">
        <v>937</v>
      </c>
      <c r="I1505" s="750">
        <f t="shared" si="53"/>
        <v>0.24586992111921416</v>
      </c>
      <c r="J1505" s="446">
        <v>1.03</v>
      </c>
      <c r="K1505" s="40">
        <f t="shared" si="54"/>
        <v>0.25324601875279057</v>
      </c>
      <c r="L1505" s="676" t="s">
        <v>8</v>
      </c>
      <c r="M1505" s="173"/>
      <c r="O1505" s="203"/>
    </row>
    <row r="1506" spans="1:18" ht="30" customHeight="1" x14ac:dyDescent="0.35">
      <c r="A1506" s="241" t="s">
        <v>380</v>
      </c>
      <c r="B1506" s="1082" t="s">
        <v>971</v>
      </c>
      <c r="C1506" s="1082"/>
      <c r="D1506" s="1082"/>
      <c r="E1506" s="453">
        <f>+(34.5+82)/2</f>
        <v>58.25</v>
      </c>
      <c r="F1506" s="639" t="s">
        <v>6</v>
      </c>
      <c r="G1506" s="700">
        <f>4*10</f>
        <v>40</v>
      </c>
      <c r="H1506" s="608" t="s">
        <v>966</v>
      </c>
      <c r="I1506" s="750">
        <f t="shared" si="53"/>
        <v>6.9355558862926034E-2</v>
      </c>
      <c r="J1506" s="446">
        <v>1.03</v>
      </c>
      <c r="K1506" s="40">
        <f t="shared" si="54"/>
        <v>7.1436225628813813E-2</v>
      </c>
      <c r="L1506" s="676" t="s">
        <v>8</v>
      </c>
      <c r="M1506" s="173"/>
      <c r="O1506" s="203"/>
    </row>
    <row r="1507" spans="1:18" ht="30" customHeight="1" x14ac:dyDescent="0.35">
      <c r="A1507" s="241" t="s">
        <v>380</v>
      </c>
      <c r="B1507" s="1082" t="s">
        <v>967</v>
      </c>
      <c r="C1507" s="1082"/>
      <c r="D1507" s="1082"/>
      <c r="E1507" s="453">
        <f>+(6450+12300)/2</f>
        <v>9375</v>
      </c>
      <c r="F1507" s="639" t="s">
        <v>10</v>
      </c>
      <c r="G1507" s="700">
        <v>4</v>
      </c>
      <c r="H1507" s="608" t="s">
        <v>932</v>
      </c>
      <c r="I1507" s="750">
        <f t="shared" si="53"/>
        <v>1.116237535347522</v>
      </c>
      <c r="J1507" s="446">
        <v>1.03</v>
      </c>
      <c r="K1507" s="40">
        <f t="shared" si="54"/>
        <v>1.1497246614079477</v>
      </c>
      <c r="L1507" s="676" t="s">
        <v>8</v>
      </c>
      <c r="M1507" s="173"/>
      <c r="O1507" s="203"/>
    </row>
    <row r="1508" spans="1:18" ht="30" customHeight="1" x14ac:dyDescent="0.35">
      <c r="A1508" s="241" t="s">
        <v>380</v>
      </c>
      <c r="B1508" s="1082" t="s">
        <v>968</v>
      </c>
      <c r="C1508" s="1082"/>
      <c r="D1508" s="1082"/>
      <c r="E1508" s="51">
        <f>+(660+1010)/2</f>
        <v>835</v>
      </c>
      <c r="F1508" s="639" t="s">
        <v>10</v>
      </c>
      <c r="G1508" s="700">
        <v>4</v>
      </c>
      <c r="H1508" s="608" t="s">
        <v>932</v>
      </c>
      <c r="I1508" s="750">
        <f t="shared" si="53"/>
        <v>9.9419556481619292E-2</v>
      </c>
      <c r="J1508" s="446">
        <v>1.03</v>
      </c>
      <c r="K1508" s="40">
        <f t="shared" si="54"/>
        <v>0.10240214317606787</v>
      </c>
      <c r="L1508" s="243" t="s">
        <v>8</v>
      </c>
      <c r="M1508" s="173"/>
      <c r="O1508" s="203"/>
    </row>
    <row r="1509" spans="1:18" ht="30" customHeight="1" x14ac:dyDescent="0.35">
      <c r="A1509" s="241" t="s">
        <v>380</v>
      </c>
      <c r="B1509" s="1082" t="s">
        <v>969</v>
      </c>
      <c r="C1509" s="1082"/>
      <c r="D1509" s="1082"/>
      <c r="E1509" s="453">
        <f>+(1160+3475)/2</f>
        <v>2317.5</v>
      </c>
      <c r="F1509" s="639" t="s">
        <v>10</v>
      </c>
      <c r="G1509" s="700">
        <v>4</v>
      </c>
      <c r="H1509" s="608" t="s">
        <v>932</v>
      </c>
      <c r="I1509" s="750">
        <f t="shared" si="53"/>
        <v>0.2759339187379074</v>
      </c>
      <c r="J1509" s="446">
        <v>1.03</v>
      </c>
      <c r="K1509" s="40">
        <f t="shared" si="54"/>
        <v>0.28421193630004465</v>
      </c>
      <c r="L1509" s="243" t="s">
        <v>8</v>
      </c>
      <c r="M1509" s="173"/>
      <c r="O1509" s="203"/>
    </row>
    <row r="1510" spans="1:18" ht="30" customHeight="1" x14ac:dyDescent="0.35">
      <c r="A1510" s="241"/>
      <c r="B1510" s="1059"/>
      <c r="C1510" s="1059"/>
      <c r="D1510" s="1059"/>
      <c r="E1510" s="453"/>
      <c r="F1510" s="519"/>
      <c r="G1510" s="508"/>
      <c r="H1510" s="508"/>
      <c r="I1510" s="446" t="s">
        <v>362</v>
      </c>
      <c r="J1510" s="453">
        <f>SUM(K1499:K1509)</f>
        <v>182.14371559790266</v>
      </c>
      <c r="K1510" s="446" t="s">
        <v>8</v>
      </c>
      <c r="L1510" s="758"/>
      <c r="M1510" s="173"/>
      <c r="O1510" s="203"/>
    </row>
    <row r="1511" spans="1:18" ht="30" customHeight="1" x14ac:dyDescent="0.35">
      <c r="A1511" s="241"/>
      <c r="B1511" s="506"/>
      <c r="C1511" s="506"/>
      <c r="D1511" s="506"/>
      <c r="E1511" s="506"/>
      <c r="F1511" s="1029" t="s">
        <v>302</v>
      </c>
      <c r="G1511" s="1058" t="s">
        <v>303</v>
      </c>
      <c r="H1511" s="1058"/>
      <c r="I1511" s="1058"/>
      <c r="J1511" s="1058"/>
      <c r="K1511" s="612">
        <v>1.08</v>
      </c>
      <c r="L1511" s="243"/>
      <c r="M1511" s="173"/>
      <c r="O1511" s="203"/>
    </row>
    <row r="1512" spans="1:18" ht="30" customHeight="1" x14ac:dyDescent="0.35">
      <c r="A1512" s="241"/>
      <c r="B1512" s="506"/>
      <c r="C1512" s="506"/>
      <c r="D1512" s="506"/>
      <c r="E1512" s="506"/>
      <c r="F1512" s="1029"/>
      <c r="G1512" s="1073" t="s">
        <v>2374</v>
      </c>
      <c r="H1512" s="1073"/>
      <c r="I1512" s="1073"/>
      <c r="J1512" s="1073"/>
      <c r="K1512" s="612">
        <v>1.08</v>
      </c>
      <c r="L1512" s="243"/>
      <c r="M1512" s="173"/>
      <c r="O1512" s="203"/>
    </row>
    <row r="1513" spans="1:18" ht="30" customHeight="1" x14ac:dyDescent="0.35">
      <c r="A1513" s="241"/>
      <c r="B1513" s="446"/>
      <c r="C1513" s="458"/>
      <c r="D1513" s="458"/>
      <c r="E1513" s="458"/>
      <c r="F1513" s="458"/>
      <c r="G1513" s="458"/>
      <c r="H1513" s="458"/>
      <c r="I1513" s="458"/>
      <c r="J1513" s="446" t="s">
        <v>2356</v>
      </c>
      <c r="K1513" s="591">
        <f>+J1510*K1511/K1512</f>
        <v>182.14371559790266</v>
      </c>
      <c r="L1513" s="243" t="s">
        <v>8</v>
      </c>
      <c r="M1513" s="173"/>
      <c r="N1513" s="419"/>
      <c r="O1513" s="171"/>
      <c r="P1513" s="216"/>
      <c r="Q1513" s="419"/>
      <c r="R1513" s="219"/>
    </row>
    <row r="1514" spans="1:18" ht="30" customHeight="1" x14ac:dyDescent="0.35">
      <c r="A1514" s="241"/>
      <c r="B1514" s="446"/>
      <c r="C1514" s="458"/>
      <c r="D1514" s="458"/>
      <c r="E1514" s="458"/>
      <c r="F1514" s="171"/>
      <c r="G1514" s="458"/>
      <c r="H1514" s="458"/>
      <c r="I1514" s="568" t="s">
        <v>2359</v>
      </c>
      <c r="J1514" s="583">
        <f>VLOOKUP(B1497,'Mil Cost Premiums for PUCs'!$A$4:$R$272,18,FALSE)</f>
        <v>1.1932356231980656</v>
      </c>
      <c r="K1514" s="591">
        <f>+K1513*J1514</f>
        <v>217.3403699930746</v>
      </c>
      <c r="L1514" s="243" t="s">
        <v>8</v>
      </c>
      <c r="M1514" s="173"/>
      <c r="N1514" s="419"/>
      <c r="O1514" s="171"/>
      <c r="P1514" s="216"/>
      <c r="Q1514" s="419"/>
      <c r="R1514" s="219"/>
    </row>
    <row r="1515" spans="1:18" ht="60" customHeight="1" x14ac:dyDescent="0.35">
      <c r="A1515" s="1064" t="s">
        <v>305</v>
      </c>
      <c r="B1515" s="1067"/>
      <c r="C1515" s="1067"/>
      <c r="D1515" s="1067"/>
      <c r="E1515" s="1067"/>
      <c r="F1515" s="1067"/>
      <c r="G1515" s="1067"/>
      <c r="H1515" s="1067"/>
      <c r="I1515" s="1067"/>
      <c r="J1515" s="1067"/>
      <c r="K1515" s="1067"/>
      <c r="L1515" s="1126"/>
      <c r="M1515" s="173"/>
      <c r="O1515" s="203"/>
    </row>
    <row r="1516" spans="1:18" ht="30" customHeight="1" x14ac:dyDescent="0.35">
      <c r="A1516" s="1273" t="s">
        <v>306</v>
      </c>
      <c r="B1516" s="1274"/>
      <c r="C1516" s="1274"/>
      <c r="D1516" s="1067" t="s">
        <v>972</v>
      </c>
      <c r="E1516" s="1067"/>
      <c r="F1516" s="1067"/>
      <c r="G1516" s="1067"/>
      <c r="H1516" s="1067"/>
      <c r="I1516" s="1067"/>
      <c r="J1516" s="1067"/>
      <c r="K1516" s="1067"/>
      <c r="L1516" s="1126"/>
      <c r="M1516" s="173"/>
      <c r="O1516" s="203"/>
    </row>
    <row r="1517" spans="1:18" ht="30" customHeight="1" x14ac:dyDescent="0.35">
      <c r="A1517" s="1124" t="s">
        <v>307</v>
      </c>
      <c r="B1517" s="1125"/>
      <c r="C1517" s="1125"/>
      <c r="D1517" s="1067" t="s">
        <v>973</v>
      </c>
      <c r="E1517" s="1067"/>
      <c r="F1517" s="1067"/>
      <c r="G1517" s="1067"/>
      <c r="H1517" s="1067"/>
      <c r="I1517" s="1067"/>
      <c r="J1517" s="1067"/>
      <c r="K1517" s="1067"/>
      <c r="L1517" s="1126"/>
      <c r="M1517" s="173"/>
      <c r="O1517" s="203"/>
    </row>
    <row r="1518" spans="1:18" ht="30" customHeight="1" x14ac:dyDescent="0.35">
      <c r="A1518" s="1124" t="s">
        <v>308</v>
      </c>
      <c r="B1518" s="1125"/>
      <c r="C1518" s="1125"/>
      <c r="D1518" s="1067" t="s">
        <v>3194</v>
      </c>
      <c r="E1518" s="1067"/>
      <c r="F1518" s="1067"/>
      <c r="G1518" s="1067"/>
      <c r="H1518" s="1067"/>
      <c r="I1518" s="1067"/>
      <c r="J1518" s="1067"/>
      <c r="K1518" s="1067"/>
      <c r="L1518" s="1126"/>
      <c r="M1518" s="173"/>
      <c r="O1518" s="203"/>
    </row>
    <row r="1519" spans="1:18" ht="30" customHeight="1" x14ac:dyDescent="0.35">
      <c r="A1519" s="1124" t="s">
        <v>309</v>
      </c>
      <c r="B1519" s="1125"/>
      <c r="C1519" s="1125"/>
      <c r="D1519" s="1067" t="s">
        <v>974</v>
      </c>
      <c r="E1519" s="1067"/>
      <c r="F1519" s="1067"/>
      <c r="G1519" s="1067"/>
      <c r="H1519" s="1067"/>
      <c r="I1519" s="1067"/>
      <c r="J1519" s="1067"/>
      <c r="K1519" s="1067"/>
      <c r="L1519" s="1126"/>
      <c r="M1519" s="173"/>
      <c r="O1519" s="203"/>
    </row>
    <row r="1520" spans="1:18" ht="90" customHeight="1" x14ac:dyDescent="0.35">
      <c r="A1520" s="1124" t="s">
        <v>311</v>
      </c>
      <c r="B1520" s="1125"/>
      <c r="C1520" s="1125"/>
      <c r="D1520" s="1067" t="s">
        <v>2198</v>
      </c>
      <c r="E1520" s="1067"/>
      <c r="F1520" s="1067"/>
      <c r="G1520" s="1067"/>
      <c r="H1520" s="1067"/>
      <c r="I1520" s="1067"/>
      <c r="J1520" s="1067"/>
      <c r="K1520" s="1067"/>
      <c r="L1520" s="1126"/>
      <c r="M1520" s="173"/>
      <c r="O1520" s="203"/>
    </row>
    <row r="1521" spans="1:24" ht="30" customHeight="1" x14ac:dyDescent="0.35">
      <c r="A1521" s="1124" t="s">
        <v>313</v>
      </c>
      <c r="B1521" s="1125"/>
      <c r="C1521" s="1125"/>
      <c r="D1521" s="1067" t="s">
        <v>2865</v>
      </c>
      <c r="E1521" s="1067"/>
      <c r="F1521" s="1067"/>
      <c r="G1521" s="1067"/>
      <c r="H1521" s="1067"/>
      <c r="I1521" s="1067"/>
      <c r="J1521" s="1067"/>
      <c r="K1521" s="1067"/>
      <c r="L1521" s="1126"/>
      <c r="M1521" s="173"/>
      <c r="O1521" s="203"/>
    </row>
    <row r="1522" spans="1:24" ht="30" customHeight="1" x14ac:dyDescent="0.35">
      <c r="A1522" s="1124" t="s">
        <v>315</v>
      </c>
      <c r="B1522" s="1125"/>
      <c r="C1522" s="1125"/>
      <c r="D1522" s="1067" t="s">
        <v>403</v>
      </c>
      <c r="E1522" s="1067"/>
      <c r="F1522" s="1067"/>
      <c r="G1522" s="1067"/>
      <c r="H1522" s="1067"/>
      <c r="I1522" s="1067"/>
      <c r="J1522" s="1067"/>
      <c r="K1522" s="1067"/>
      <c r="L1522" s="1126"/>
      <c r="M1522" s="363"/>
      <c r="O1522" s="203"/>
    </row>
    <row r="1523" spans="1:24" ht="75" customHeight="1" x14ac:dyDescent="0.35">
      <c r="A1523" s="1124" t="s">
        <v>467</v>
      </c>
      <c r="B1523" s="1125"/>
      <c r="C1523" s="1125"/>
      <c r="D1523" s="1118" t="s">
        <v>917</v>
      </c>
      <c r="E1523" s="1118"/>
      <c r="F1523" s="1118"/>
      <c r="G1523" s="1118"/>
      <c r="H1523" s="1118"/>
      <c r="I1523" s="1118"/>
      <c r="J1523" s="1118"/>
      <c r="K1523" s="1118"/>
      <c r="L1523" s="1119"/>
      <c r="M1523" s="173"/>
      <c r="O1523" s="203"/>
    </row>
    <row r="1524" spans="1:24" ht="75" customHeight="1" thickBot="1" x14ac:dyDescent="0.4">
      <c r="A1524" s="1132" t="s">
        <v>318</v>
      </c>
      <c r="B1524" s="1129"/>
      <c r="C1524" s="1129"/>
      <c r="D1524" s="1068" t="s">
        <v>2864</v>
      </c>
      <c r="E1524" s="1068"/>
      <c r="F1524" s="1068"/>
      <c r="G1524" s="1068"/>
      <c r="H1524" s="1068"/>
      <c r="I1524" s="1068"/>
      <c r="J1524" s="1068"/>
      <c r="K1524" s="1068"/>
      <c r="L1524" s="1120"/>
      <c r="M1524" s="173"/>
      <c r="O1524" s="203"/>
    </row>
    <row r="1525" spans="1:24" ht="30" customHeight="1" thickBot="1" x14ac:dyDescent="0.4">
      <c r="A1525" s="1086"/>
      <c r="B1525" s="1086"/>
      <c r="C1525" s="1086"/>
      <c r="D1525" s="1086"/>
      <c r="E1525" s="1086"/>
      <c r="F1525" s="1086"/>
      <c r="G1525" s="1086"/>
      <c r="H1525" s="1086"/>
      <c r="I1525" s="1086"/>
      <c r="J1525" s="1086"/>
      <c r="K1525" s="1086"/>
      <c r="L1525" s="1103"/>
      <c r="M1525" s="173"/>
      <c r="O1525" s="203"/>
    </row>
    <row r="1526" spans="1:24" ht="30" customHeight="1" x14ac:dyDescent="0.35">
      <c r="A1526" s="465" t="s">
        <v>278</v>
      </c>
      <c r="B1526" s="539">
        <v>2131</v>
      </c>
      <c r="C1526" s="1060" t="s">
        <v>2834</v>
      </c>
      <c r="D1526" s="1060"/>
      <c r="E1526" s="541" t="s">
        <v>280</v>
      </c>
      <c r="F1526" s="542" t="s">
        <v>8</v>
      </c>
      <c r="G1526" s="543" t="s">
        <v>285</v>
      </c>
      <c r="H1526" s="439">
        <v>82690</v>
      </c>
      <c r="I1526" s="541" t="s">
        <v>281</v>
      </c>
      <c r="J1526" s="1019" t="s">
        <v>81</v>
      </c>
      <c r="K1526" s="1019"/>
      <c r="L1526" s="1020"/>
      <c r="M1526" s="173"/>
      <c r="O1526" s="203"/>
    </row>
    <row r="1527" spans="1:24" ht="30" customHeight="1" x14ac:dyDescent="0.35">
      <c r="A1527" s="545"/>
      <c r="B1527" s="1051" t="s">
        <v>282</v>
      </c>
      <c r="C1527" s="1051"/>
      <c r="D1527" s="1051"/>
      <c r="E1527" s="509" t="s">
        <v>478</v>
      </c>
      <c r="F1527" s="509" t="s">
        <v>2</v>
      </c>
      <c r="G1527" s="646"/>
      <c r="H1527" s="509"/>
      <c r="I1527" s="1052" t="s">
        <v>405</v>
      </c>
      <c r="J1527" s="1052"/>
      <c r="K1527" s="1012" t="s">
        <v>292</v>
      </c>
      <c r="L1527" s="1023"/>
      <c r="M1527" s="173"/>
      <c r="O1527" s="203"/>
      <c r="T1527" s="208"/>
      <c r="U1527" s="208"/>
      <c r="V1527" s="208"/>
      <c r="W1527" s="208"/>
      <c r="X1527" s="208"/>
    </row>
    <row r="1528" spans="1:24" s="208" customFormat="1" ht="30" customHeight="1" x14ac:dyDescent="0.35">
      <c r="A1528" s="546"/>
      <c r="B1528" s="1057" t="s">
        <v>2857</v>
      </c>
      <c r="C1528" s="1057"/>
      <c r="D1528" s="1057"/>
      <c r="E1528" s="696">
        <v>1197.03</v>
      </c>
      <c r="F1528" s="436" t="s">
        <v>8</v>
      </c>
      <c r="G1528" s="171"/>
      <c r="H1528" s="697"/>
      <c r="I1528" s="1044">
        <f>+'2021 MILCON Inflation Table'!F7</f>
        <v>1.4146442218320767</v>
      </c>
      <c r="J1528" s="1044"/>
      <c r="K1528" s="696">
        <f>+E1528*I1528</f>
        <v>1693.3715728596508</v>
      </c>
      <c r="L1528" s="698" t="s">
        <v>8</v>
      </c>
      <c r="M1528" s="173"/>
      <c r="N1528" s="203"/>
      <c r="O1528" s="203"/>
      <c r="P1528" s="203"/>
      <c r="Q1528" s="203"/>
      <c r="R1528" s="203"/>
      <c r="S1528" s="203"/>
      <c r="T1528" s="203"/>
      <c r="U1528" s="203"/>
      <c r="V1528" s="203"/>
      <c r="W1528" s="203"/>
      <c r="X1528" s="203"/>
    </row>
    <row r="1529" spans="1:24" ht="30" customHeight="1" x14ac:dyDescent="0.35">
      <c r="A1529" s="241"/>
      <c r="B1529" s="1059"/>
      <c r="C1529" s="1059"/>
      <c r="D1529" s="1059"/>
      <c r="E1529" s="458"/>
      <c r="F1529" s="458"/>
      <c r="G1529" s="458"/>
      <c r="H1529" s="458"/>
      <c r="I1529" s="458"/>
      <c r="J1529" s="446" t="s">
        <v>2356</v>
      </c>
      <c r="K1529" s="459">
        <f>+K1528</f>
        <v>1693.3715728596508</v>
      </c>
      <c r="L1529" s="243" t="s">
        <v>8</v>
      </c>
      <c r="M1529" s="173"/>
      <c r="N1529" s="208"/>
      <c r="O1529" s="208"/>
      <c r="P1529" s="208"/>
      <c r="Q1529" s="208"/>
      <c r="R1529" s="208"/>
      <c r="S1529" s="208"/>
    </row>
    <row r="1530" spans="1:24" ht="30" customHeight="1" x14ac:dyDescent="0.35">
      <c r="A1530" s="241"/>
      <c r="B1530" s="1082" t="s">
        <v>2835</v>
      </c>
      <c r="C1530" s="1082"/>
      <c r="D1530" s="1082"/>
      <c r="E1530" s="605"/>
      <c r="F1530" s="605"/>
      <c r="G1530" s="1272" t="s">
        <v>2361</v>
      </c>
      <c r="H1530" s="1272"/>
      <c r="I1530" s="1272"/>
      <c r="J1530" s="583">
        <f>VLOOKUP(B1526,'Mil Cost Premiums for PUCs'!$A$4:$R$272,18,FALSE)</f>
        <v>1.1503866704650523</v>
      </c>
      <c r="K1530" s="693">
        <f>+K1529*J1530</f>
        <v>1948.0320855621824</v>
      </c>
      <c r="L1530" s="243" t="s">
        <v>8</v>
      </c>
      <c r="M1530" s="173"/>
      <c r="O1530" s="203"/>
    </row>
    <row r="1531" spans="1:24" ht="90" customHeight="1" thickBot="1" x14ac:dyDescent="0.4">
      <c r="A1531" s="1192" t="s">
        <v>2836</v>
      </c>
      <c r="B1531" s="1193"/>
      <c r="C1531" s="1193"/>
      <c r="D1531" s="1193"/>
      <c r="E1531" s="1193"/>
      <c r="F1531" s="1193"/>
      <c r="G1531" s="1193"/>
      <c r="H1531" s="1193"/>
      <c r="I1531" s="1193"/>
      <c r="J1531" s="1193"/>
      <c r="K1531" s="1193"/>
      <c r="L1531" s="1194"/>
      <c r="M1531" s="173"/>
      <c r="O1531" s="203"/>
    </row>
    <row r="1532" spans="1:24" ht="30" customHeight="1" thickBot="1" x14ac:dyDescent="0.4">
      <c r="A1532" s="1086"/>
      <c r="B1532" s="1086"/>
      <c r="C1532" s="1086"/>
      <c r="D1532" s="1086"/>
      <c r="E1532" s="1086"/>
      <c r="F1532" s="1086"/>
      <c r="G1532" s="1086"/>
      <c r="H1532" s="1086"/>
      <c r="I1532" s="1086"/>
      <c r="J1532" s="1086"/>
      <c r="K1532" s="1086"/>
      <c r="L1532" s="1103"/>
      <c r="M1532" s="173"/>
      <c r="O1532" s="203"/>
      <c r="T1532" s="51"/>
      <c r="U1532" s="171"/>
    </row>
    <row r="1533" spans="1:24" ht="30" customHeight="1" x14ac:dyDescent="0.35">
      <c r="A1533" s="465" t="s">
        <v>278</v>
      </c>
      <c r="B1533" s="539">
        <v>2132</v>
      </c>
      <c r="C1533" s="1060" t="s">
        <v>2866</v>
      </c>
      <c r="D1533" s="1060"/>
      <c r="E1533" s="541" t="s">
        <v>280</v>
      </c>
      <c r="F1533" s="542" t="s">
        <v>10</v>
      </c>
      <c r="G1533" s="543" t="s">
        <v>285</v>
      </c>
      <c r="H1533" s="569">
        <v>1</v>
      </c>
      <c r="I1533" s="541" t="s">
        <v>281</v>
      </c>
      <c r="J1533" s="1019" t="s">
        <v>2917</v>
      </c>
      <c r="K1533" s="1019"/>
      <c r="L1533" s="1020"/>
      <c r="M1533" s="173"/>
      <c r="P1533" s="171"/>
      <c r="Q1533" s="171"/>
      <c r="R1533" s="171"/>
      <c r="S1533" s="51"/>
      <c r="T1533" s="27"/>
      <c r="U1533" s="27"/>
      <c r="V1533" s="27"/>
      <c r="W1533" s="27"/>
      <c r="X1533" s="27"/>
    </row>
    <row r="1534" spans="1:24" s="27" customFormat="1" ht="30" customHeight="1" x14ac:dyDescent="0.35">
      <c r="A1534" s="545"/>
      <c r="B1534" s="1021" t="s">
        <v>2921</v>
      </c>
      <c r="C1534" s="1021"/>
      <c r="D1534" s="1021"/>
      <c r="E1534" s="509" t="s">
        <v>290</v>
      </c>
      <c r="F1534" s="509" t="s">
        <v>322</v>
      </c>
      <c r="G1534" s="1034" t="s">
        <v>323</v>
      </c>
      <c r="H1534" s="1034"/>
      <c r="I1534" s="509" t="s">
        <v>327</v>
      </c>
      <c r="J1534" s="509" t="s">
        <v>419</v>
      </c>
      <c r="K1534" s="1012" t="s">
        <v>2356</v>
      </c>
      <c r="L1534" s="1023"/>
      <c r="M1534" s="363"/>
      <c r="N1534" s="203"/>
      <c r="O1534" s="205"/>
      <c r="P1534" s="171"/>
      <c r="Q1534" s="171"/>
      <c r="R1534" s="171"/>
      <c r="S1534" s="51"/>
      <c r="T1534" s="208"/>
      <c r="U1534" s="208"/>
      <c r="V1534" s="208"/>
      <c r="W1534" s="208"/>
      <c r="X1534" s="208"/>
    </row>
    <row r="1535" spans="1:24" s="208" customFormat="1" ht="30" customHeight="1" thickBot="1" x14ac:dyDescent="0.4">
      <c r="A1535" s="546"/>
      <c r="B1535" s="1014">
        <v>15264.19</v>
      </c>
      <c r="C1535" s="1014"/>
      <c r="D1535" s="1014"/>
      <c r="E1535" s="547"/>
      <c r="F1535" s="548"/>
      <c r="G1535" s="1015"/>
      <c r="H1535" s="1015"/>
      <c r="I1535" s="549"/>
      <c r="J1535" s="550">
        <v>1.0202</v>
      </c>
      <c r="K1535" s="551">
        <f>B1535*J1535</f>
        <v>15572.526638000001</v>
      </c>
      <c r="L1535" s="552" t="s">
        <v>10</v>
      </c>
      <c r="M1535" s="363"/>
      <c r="N1535" s="214"/>
      <c r="O1535" s="207"/>
      <c r="P1535" s="27"/>
      <c r="Q1535" s="27"/>
      <c r="R1535" s="27"/>
      <c r="S1535" s="27"/>
      <c r="T1535" s="203"/>
      <c r="U1535" s="203"/>
      <c r="V1535" s="203"/>
      <c r="W1535" s="203"/>
      <c r="X1535" s="203"/>
    </row>
    <row r="1536" spans="1:24" ht="30" customHeight="1" thickBot="1" x14ac:dyDescent="0.4">
      <c r="A1536" s="1086"/>
      <c r="B1536" s="1086"/>
      <c r="C1536" s="1086"/>
      <c r="D1536" s="1086"/>
      <c r="E1536" s="1086"/>
      <c r="F1536" s="1086"/>
      <c r="G1536" s="1086"/>
      <c r="H1536" s="1086"/>
      <c r="I1536" s="1086"/>
      <c r="J1536" s="1086"/>
      <c r="K1536" s="1086"/>
      <c r="L1536" s="1103"/>
      <c r="M1536" s="173"/>
      <c r="N1536" s="208"/>
      <c r="P1536" s="208"/>
      <c r="Q1536" s="208"/>
      <c r="R1536" s="208"/>
      <c r="S1536" s="208"/>
    </row>
    <row r="1537" spans="1:24" ht="30" customHeight="1" x14ac:dyDescent="0.35">
      <c r="A1537" s="465" t="s">
        <v>278</v>
      </c>
      <c r="B1537" s="539">
        <v>2133</v>
      </c>
      <c r="C1537" s="1060" t="s">
        <v>976</v>
      </c>
      <c r="D1537" s="1060"/>
      <c r="E1537" s="541" t="s">
        <v>280</v>
      </c>
      <c r="F1537" s="542" t="s">
        <v>8</v>
      </c>
      <c r="G1537" s="543" t="s">
        <v>285</v>
      </c>
      <c r="H1537" s="437">
        <v>15620</v>
      </c>
      <c r="I1537" s="541" t="s">
        <v>281</v>
      </c>
      <c r="J1537" s="1019" t="s">
        <v>2637</v>
      </c>
      <c r="K1537" s="1019"/>
      <c r="L1537" s="1020"/>
      <c r="M1537" s="173"/>
      <c r="N1537" s="425"/>
    </row>
    <row r="1538" spans="1:24" ht="30" customHeight="1" x14ac:dyDescent="0.35">
      <c r="A1538" s="545" t="s">
        <v>288</v>
      </c>
      <c r="B1538" s="1051" t="s">
        <v>282</v>
      </c>
      <c r="C1538" s="1051"/>
      <c r="D1538" s="1051"/>
      <c r="E1538" s="530" t="s">
        <v>289</v>
      </c>
      <c r="F1538" s="561" t="s">
        <v>290</v>
      </c>
      <c r="G1538" s="509"/>
      <c r="H1538" s="509"/>
      <c r="I1538" s="1052" t="s">
        <v>405</v>
      </c>
      <c r="J1538" s="1052"/>
      <c r="K1538" s="1012" t="s">
        <v>292</v>
      </c>
      <c r="L1538" s="1023"/>
      <c r="M1538" s="173"/>
      <c r="N1538" s="419"/>
      <c r="O1538" s="203"/>
      <c r="P1538" s="218"/>
      <c r="Q1538" s="68"/>
      <c r="R1538" s="217"/>
    </row>
    <row r="1539" spans="1:24" ht="30" customHeight="1" x14ac:dyDescent="0.35">
      <c r="A1539" s="562" t="s">
        <v>293</v>
      </c>
      <c r="B1539" s="1057" t="s">
        <v>977</v>
      </c>
      <c r="C1539" s="1057"/>
      <c r="D1539" s="1057"/>
      <c r="E1539" s="563">
        <v>25000</v>
      </c>
      <c r="F1539" s="444">
        <v>259</v>
      </c>
      <c r="G1539" s="442"/>
      <c r="H1539" s="17"/>
      <c r="I1539" s="1044" t="s">
        <v>2638</v>
      </c>
      <c r="J1539" s="1044"/>
      <c r="K1539" s="444">
        <f>F1539</f>
        <v>259</v>
      </c>
      <c r="L1539" s="564" t="s">
        <v>8</v>
      </c>
      <c r="M1539" s="173"/>
      <c r="N1539" s="419"/>
      <c r="O1539" s="203"/>
      <c r="P1539" s="218"/>
      <c r="Q1539" s="68"/>
      <c r="R1539" s="217"/>
      <c r="T1539" s="208"/>
      <c r="U1539" s="208"/>
      <c r="V1539" s="208"/>
      <c r="W1539" s="208"/>
      <c r="X1539" s="208"/>
    </row>
    <row r="1540" spans="1:24" s="208" customFormat="1" ht="30" customHeight="1" thickBot="1" x14ac:dyDescent="0.4">
      <c r="A1540" s="241"/>
      <c r="B1540" s="1059"/>
      <c r="C1540" s="1059"/>
      <c r="D1540" s="1059"/>
      <c r="E1540" s="565"/>
      <c r="F1540" s="566"/>
      <c r="G1540" s="566"/>
      <c r="H1540" s="567"/>
      <c r="I1540" s="458"/>
      <c r="J1540" s="510" t="s">
        <v>2356</v>
      </c>
      <c r="K1540" s="585">
        <f>+K1539</f>
        <v>259</v>
      </c>
      <c r="L1540" s="243" t="s">
        <v>8</v>
      </c>
      <c r="M1540" s="173"/>
      <c r="N1540" s="203"/>
      <c r="O1540" s="218"/>
      <c r="P1540" s="68"/>
      <c r="Q1540" s="217"/>
      <c r="R1540" s="203"/>
      <c r="S1540" s="203"/>
      <c r="T1540" s="203"/>
      <c r="U1540" s="203"/>
      <c r="V1540" s="203"/>
      <c r="W1540" s="203"/>
      <c r="X1540" s="203"/>
    </row>
    <row r="1541" spans="1:24" ht="30" customHeight="1" thickBot="1" x14ac:dyDescent="0.4">
      <c r="A1541" s="1086"/>
      <c r="B1541" s="1086"/>
      <c r="C1541" s="1086"/>
      <c r="D1541" s="1086"/>
      <c r="E1541" s="1086"/>
      <c r="F1541" s="1086"/>
      <c r="G1541" s="1086"/>
      <c r="H1541" s="1086"/>
      <c r="I1541" s="1086"/>
      <c r="J1541" s="1086"/>
      <c r="K1541" s="1086"/>
      <c r="L1541" s="1103"/>
      <c r="M1541" s="173"/>
      <c r="N1541" s="51"/>
      <c r="O1541" s="203"/>
      <c r="P1541" s="218"/>
      <c r="Q1541" s="68"/>
      <c r="R1541" s="217"/>
    </row>
    <row r="1542" spans="1:24" ht="30" customHeight="1" x14ac:dyDescent="0.35">
      <c r="A1542" s="467" t="s">
        <v>278</v>
      </c>
      <c r="B1542" s="502">
        <v>2134</v>
      </c>
      <c r="C1542" s="1232" t="s">
        <v>978</v>
      </c>
      <c r="D1542" s="1232"/>
      <c r="E1542" s="396" t="s">
        <v>280</v>
      </c>
      <c r="F1542" s="67" t="s">
        <v>8</v>
      </c>
      <c r="G1542" s="397" t="s">
        <v>285</v>
      </c>
      <c r="H1542" s="204">
        <v>14807</v>
      </c>
      <c r="I1542" s="152" t="s">
        <v>281</v>
      </c>
      <c r="J1542" s="1019" t="s">
        <v>2371</v>
      </c>
      <c r="K1542" s="1019"/>
      <c r="L1542" s="1020"/>
      <c r="M1542" s="173"/>
      <c r="N1542" s="419"/>
      <c r="O1542" s="171"/>
      <c r="P1542" s="216"/>
      <c r="Q1542" s="419"/>
      <c r="R1542" s="219"/>
    </row>
    <row r="1543" spans="1:24" ht="30" customHeight="1" x14ac:dyDescent="0.35">
      <c r="A1543" s="588" t="s">
        <v>298</v>
      </c>
      <c r="B1543" s="634" t="s">
        <v>321</v>
      </c>
      <c r="C1543" s="635"/>
      <c r="D1543" s="636"/>
      <c r="E1543" s="23" t="s">
        <v>290</v>
      </c>
      <c r="F1543" s="23" t="s">
        <v>322</v>
      </c>
      <c r="G1543" s="1012" t="s">
        <v>323</v>
      </c>
      <c r="H1543" s="1012"/>
      <c r="I1543" s="509" t="s">
        <v>928</v>
      </c>
      <c r="J1543" s="509" t="s">
        <v>299</v>
      </c>
      <c r="K1543" s="1012" t="s">
        <v>292</v>
      </c>
      <c r="L1543" s="1023"/>
      <c r="M1543" s="173"/>
      <c r="N1543" s="208"/>
      <c r="O1543" s="218"/>
      <c r="P1543" s="68"/>
      <c r="Q1543" s="217"/>
      <c r="R1543" s="208"/>
      <c r="S1543" s="208"/>
    </row>
    <row r="1544" spans="1:24" ht="30" customHeight="1" x14ac:dyDescent="0.35">
      <c r="A1544" s="241" t="s">
        <v>435</v>
      </c>
      <c r="B1544" s="1082" t="s">
        <v>979</v>
      </c>
      <c r="C1544" s="1082"/>
      <c r="D1544" s="1082"/>
      <c r="E1544" s="759">
        <v>155</v>
      </c>
      <c r="F1544" s="446" t="s">
        <v>8</v>
      </c>
      <c r="G1544" s="454"/>
      <c r="H1544" s="446"/>
      <c r="I1544" s="453">
        <f>+E1544</f>
        <v>155</v>
      </c>
      <c r="J1544" s="446">
        <v>1.05</v>
      </c>
      <c r="K1544" s="641">
        <f>+I1544*J1544</f>
        <v>162.75</v>
      </c>
      <c r="L1544" s="642" t="s">
        <v>8</v>
      </c>
      <c r="M1544" s="364"/>
      <c r="O1544" s="218"/>
      <c r="P1544" s="68"/>
      <c r="Q1544" s="217"/>
    </row>
    <row r="1545" spans="1:24" ht="30" customHeight="1" x14ac:dyDescent="0.35">
      <c r="A1545" s="241" t="s">
        <v>360</v>
      </c>
      <c r="B1545" s="1082" t="s">
        <v>980</v>
      </c>
      <c r="C1545" s="1082"/>
      <c r="D1545" s="1082"/>
      <c r="E1545" s="55">
        <v>4.08</v>
      </c>
      <c r="F1545" s="446" t="s">
        <v>8</v>
      </c>
      <c r="G1545" s="519"/>
      <c r="H1545" s="508"/>
      <c r="I1545" s="453">
        <f>+E1545</f>
        <v>4.08</v>
      </c>
      <c r="J1545" s="446">
        <v>1.05</v>
      </c>
      <c r="K1545" s="641">
        <f>+I1545*J1545</f>
        <v>4.2840000000000007</v>
      </c>
      <c r="L1545" s="642" t="s">
        <v>8</v>
      </c>
      <c r="M1545" s="173"/>
      <c r="O1545" s="218"/>
      <c r="P1545" s="68"/>
      <c r="Q1545" s="217"/>
    </row>
    <row r="1546" spans="1:24" ht="30" customHeight="1" x14ac:dyDescent="0.35">
      <c r="A1546" s="241" t="s">
        <v>436</v>
      </c>
      <c r="B1546" s="1082" t="s">
        <v>981</v>
      </c>
      <c r="C1546" s="1082"/>
      <c r="D1546" s="1082"/>
      <c r="E1546" s="759">
        <v>177000</v>
      </c>
      <c r="F1546" s="639" t="s">
        <v>10</v>
      </c>
      <c r="G1546" s="745">
        <f>+H1542</f>
        <v>14807</v>
      </c>
      <c r="H1546" s="508" t="s">
        <v>932</v>
      </c>
      <c r="I1546" s="453">
        <f>+E1546/G1546</f>
        <v>11.953805632471129</v>
      </c>
      <c r="J1546" s="665">
        <v>1.02</v>
      </c>
      <c r="K1546" s="641">
        <f>+I1546*J1546</f>
        <v>12.192881745120552</v>
      </c>
      <c r="L1546" s="642" t="s">
        <v>8</v>
      </c>
      <c r="M1546" s="173"/>
      <c r="O1546" s="218"/>
      <c r="P1546" s="68"/>
      <c r="Q1546" s="217"/>
    </row>
    <row r="1547" spans="1:24" ht="30" customHeight="1" x14ac:dyDescent="0.35">
      <c r="A1547" s="241" t="s">
        <v>982</v>
      </c>
      <c r="B1547" s="1082" t="s">
        <v>2382</v>
      </c>
      <c r="C1547" s="1082"/>
      <c r="D1547" s="1082"/>
      <c r="E1547" s="638">
        <v>42.25</v>
      </c>
      <c r="F1547" s="639" t="s">
        <v>8</v>
      </c>
      <c r="G1547" s="519">
        <v>288</v>
      </c>
      <c r="H1547" s="508" t="s">
        <v>448</v>
      </c>
      <c r="I1547" s="453">
        <f>+E1547*G1547/H1542</f>
        <v>0.8217734855136084</v>
      </c>
      <c r="J1547" s="446">
        <v>1.05</v>
      </c>
      <c r="K1547" s="641">
        <f>+I1547*J1547</f>
        <v>0.86286215978928882</v>
      </c>
      <c r="L1547" s="642" t="s">
        <v>8</v>
      </c>
      <c r="M1547" s="173"/>
      <c r="O1547" s="218"/>
      <c r="P1547" s="68"/>
      <c r="Q1547" s="217"/>
    </row>
    <row r="1548" spans="1:24" ht="30" customHeight="1" x14ac:dyDescent="0.35">
      <c r="A1548" s="241"/>
      <c r="B1548" s="485"/>
      <c r="C1548" s="610"/>
      <c r="D1548" s="608"/>
      <c r="E1548" s="453"/>
      <c r="F1548" s="519"/>
      <c r="G1548" s="508"/>
      <c r="H1548" s="446"/>
      <c r="I1548" s="446"/>
      <c r="J1548" s="453" t="s">
        <v>362</v>
      </c>
      <c r="K1548" s="641">
        <f>SUM(K1544:K1547)</f>
        <v>180.08974390490985</v>
      </c>
      <c r="L1548" s="642" t="s">
        <v>8</v>
      </c>
      <c r="M1548" s="173"/>
      <c r="O1548" s="218"/>
      <c r="P1548" s="68"/>
      <c r="Q1548" s="217"/>
    </row>
    <row r="1549" spans="1:24" ht="30" customHeight="1" x14ac:dyDescent="0.35">
      <c r="A1549" s="241"/>
      <c r="B1549" s="506"/>
      <c r="C1549" s="506"/>
      <c r="D1549" s="506"/>
      <c r="E1549" s="506"/>
      <c r="F1549" s="1029" t="s">
        <v>302</v>
      </c>
      <c r="G1549" s="1058" t="s">
        <v>303</v>
      </c>
      <c r="H1549" s="1058"/>
      <c r="I1549" s="1058"/>
      <c r="J1549" s="1058"/>
      <c r="K1549" s="612">
        <v>1.1000000000000001</v>
      </c>
      <c r="L1549" s="243"/>
      <c r="M1549" s="173"/>
      <c r="N1549" s="419"/>
      <c r="O1549" s="171"/>
      <c r="P1549" s="216"/>
      <c r="Q1549" s="419"/>
      <c r="R1549" s="219"/>
    </row>
    <row r="1550" spans="1:24" ht="30" customHeight="1" x14ac:dyDescent="0.35">
      <c r="A1550" s="241"/>
      <c r="B1550" s="506"/>
      <c r="C1550" s="506"/>
      <c r="D1550" s="506"/>
      <c r="E1550" s="506"/>
      <c r="F1550" s="1029"/>
      <c r="G1550" s="1073" t="s">
        <v>2374</v>
      </c>
      <c r="H1550" s="1073"/>
      <c r="I1550" s="1073"/>
      <c r="J1550" s="1073"/>
      <c r="K1550" s="612">
        <v>1.08</v>
      </c>
      <c r="L1550" s="243"/>
      <c r="M1550" s="173"/>
      <c r="N1550" s="419"/>
      <c r="O1550" s="171"/>
      <c r="P1550" s="216"/>
      <c r="Q1550" s="419"/>
      <c r="R1550" s="219"/>
    </row>
    <row r="1551" spans="1:24" ht="30" customHeight="1" x14ac:dyDescent="0.35">
      <c r="A1551" s="241"/>
      <c r="B1551" s="1171"/>
      <c r="C1551" s="1171"/>
      <c r="D1551" s="1171"/>
      <c r="E1551" s="458"/>
      <c r="F1551" s="458"/>
      <c r="G1551" s="458"/>
      <c r="H1551" s="458"/>
      <c r="I1551" s="458"/>
      <c r="J1551" s="591" t="s">
        <v>2356</v>
      </c>
      <c r="K1551" s="641">
        <f>+K1548*K1549/K1550</f>
        <v>183.4247391624082</v>
      </c>
      <c r="L1551" s="642" t="s">
        <v>8</v>
      </c>
      <c r="M1551" s="173"/>
      <c r="O1551" s="218"/>
      <c r="P1551" s="68"/>
      <c r="Q1551" s="217"/>
    </row>
    <row r="1552" spans="1:24" ht="30" customHeight="1" x14ac:dyDescent="0.35">
      <c r="A1552" s="760"/>
      <c r="B1552" s="658"/>
      <c r="C1552" s="761"/>
      <c r="D1552" s="761"/>
      <c r="E1552" s="761"/>
      <c r="F1552" s="458"/>
      <c r="G1552" s="762"/>
      <c r="H1552" s="762"/>
      <c r="I1552" s="752" t="s">
        <v>2359</v>
      </c>
      <c r="J1552" s="583">
        <f>VLOOKUP(B1542,'Mil Cost Premiums for PUCs'!$A$4:$R$272,18,FALSE)</f>
        <v>1.12897214704308</v>
      </c>
      <c r="K1552" s="629">
        <f>+K1551*J1552</f>
        <v>207.0814215930009</v>
      </c>
      <c r="L1552" s="642" t="s">
        <v>8</v>
      </c>
      <c r="M1552" s="173"/>
      <c r="O1552" s="218"/>
      <c r="P1552" s="68"/>
      <c r="Q1552" s="217"/>
    </row>
    <row r="1553" spans="1:24" ht="60" customHeight="1" x14ac:dyDescent="0.35">
      <c r="A1553" s="1064" t="s">
        <v>305</v>
      </c>
      <c r="B1553" s="1067"/>
      <c r="C1553" s="1067"/>
      <c r="D1553" s="1067"/>
      <c r="E1553" s="1067"/>
      <c r="F1553" s="1067"/>
      <c r="G1553" s="1067"/>
      <c r="H1553" s="1067"/>
      <c r="I1553" s="1067"/>
      <c r="J1553" s="1067"/>
      <c r="K1553" s="1067"/>
      <c r="L1553" s="1126"/>
      <c r="M1553" s="173"/>
      <c r="N1553" s="68"/>
      <c r="O1553" s="203"/>
      <c r="P1553" s="218"/>
      <c r="Q1553" s="68"/>
      <c r="R1553" s="217"/>
    </row>
    <row r="1554" spans="1:24" ht="30" customHeight="1" x14ac:dyDescent="0.35">
      <c r="A1554" s="1136" t="s">
        <v>306</v>
      </c>
      <c r="B1554" s="1137"/>
      <c r="C1554" s="1137"/>
      <c r="D1554" s="1067" t="s">
        <v>983</v>
      </c>
      <c r="E1554" s="1067"/>
      <c r="F1554" s="1067"/>
      <c r="G1554" s="1067"/>
      <c r="H1554" s="1067"/>
      <c r="I1554" s="1067"/>
      <c r="J1554" s="1067"/>
      <c r="K1554" s="1067"/>
      <c r="L1554" s="1126"/>
      <c r="M1554" s="173"/>
      <c r="N1554" s="68"/>
      <c r="O1554" s="203"/>
      <c r="P1554" s="218"/>
      <c r="Q1554" s="68"/>
      <c r="R1554" s="217"/>
    </row>
    <row r="1555" spans="1:24" ht="30" customHeight="1" x14ac:dyDescent="0.35">
      <c r="A1555" s="1136" t="s">
        <v>307</v>
      </c>
      <c r="B1555" s="1137"/>
      <c r="C1555" s="1137"/>
      <c r="D1555" s="1067" t="s">
        <v>984</v>
      </c>
      <c r="E1555" s="1067"/>
      <c r="F1555" s="1067"/>
      <c r="G1555" s="1067"/>
      <c r="H1555" s="1067"/>
      <c r="I1555" s="1067"/>
      <c r="J1555" s="1067"/>
      <c r="K1555" s="1067"/>
      <c r="L1555" s="1126"/>
      <c r="M1555" s="173"/>
      <c r="N1555" s="68"/>
      <c r="O1555" s="203"/>
      <c r="P1555" s="218"/>
      <c r="Q1555" s="68"/>
      <c r="R1555" s="217"/>
    </row>
    <row r="1556" spans="1:24" ht="30" customHeight="1" x14ac:dyDescent="0.35">
      <c r="A1556" s="1136" t="s">
        <v>308</v>
      </c>
      <c r="B1556" s="1137"/>
      <c r="C1556" s="1137"/>
      <c r="D1556" s="1067" t="s">
        <v>2951</v>
      </c>
      <c r="E1556" s="1067"/>
      <c r="F1556" s="1067"/>
      <c r="G1556" s="1067"/>
      <c r="H1556" s="1067"/>
      <c r="I1556" s="1067"/>
      <c r="J1556" s="1067"/>
      <c r="K1556" s="1067"/>
      <c r="L1556" s="1126"/>
      <c r="M1556" s="173"/>
      <c r="N1556" s="68"/>
      <c r="O1556" s="203"/>
      <c r="P1556" s="218"/>
      <c r="Q1556" s="68"/>
      <c r="R1556" s="217"/>
    </row>
    <row r="1557" spans="1:24" ht="30" customHeight="1" x14ac:dyDescent="0.35">
      <c r="A1557" s="1136" t="s">
        <v>309</v>
      </c>
      <c r="B1557" s="1137"/>
      <c r="C1557" s="1137"/>
      <c r="D1557" s="1067" t="s">
        <v>985</v>
      </c>
      <c r="E1557" s="1067"/>
      <c r="F1557" s="1067"/>
      <c r="G1557" s="1067"/>
      <c r="H1557" s="1067"/>
      <c r="I1557" s="1067"/>
      <c r="J1557" s="1067"/>
      <c r="K1557" s="1067"/>
      <c r="L1557" s="1126"/>
      <c r="M1557" s="173"/>
      <c r="N1557" s="56"/>
      <c r="O1557" s="203"/>
      <c r="P1557" s="218"/>
      <c r="Q1557" s="68"/>
      <c r="R1557" s="217"/>
    </row>
    <row r="1558" spans="1:24" ht="90" customHeight="1" x14ac:dyDescent="0.35">
      <c r="A1558" s="1136" t="s">
        <v>311</v>
      </c>
      <c r="B1558" s="1137"/>
      <c r="C1558" s="1137"/>
      <c r="D1558" s="1067" t="s">
        <v>2199</v>
      </c>
      <c r="E1558" s="1067"/>
      <c r="F1558" s="1067"/>
      <c r="G1558" s="1067"/>
      <c r="H1558" s="1067"/>
      <c r="I1558" s="1067"/>
      <c r="J1558" s="1067"/>
      <c r="K1558" s="1067"/>
      <c r="L1558" s="1126"/>
      <c r="M1558" s="363"/>
      <c r="N1558" s="68"/>
      <c r="O1558" s="203"/>
      <c r="P1558" s="218"/>
      <c r="Q1558" s="68"/>
      <c r="R1558" s="217"/>
    </row>
    <row r="1559" spans="1:24" ht="30" customHeight="1" x14ac:dyDescent="0.35">
      <c r="A1559" s="1275" t="s">
        <v>313</v>
      </c>
      <c r="B1559" s="1276"/>
      <c r="C1559" s="1276"/>
      <c r="D1559" s="1129" t="s">
        <v>975</v>
      </c>
      <c r="E1559" s="1129"/>
      <c r="F1559" s="1129"/>
      <c r="G1559" s="1129"/>
      <c r="H1559" s="1129"/>
      <c r="I1559" s="1129"/>
      <c r="J1559" s="1129"/>
      <c r="K1559" s="1129"/>
      <c r="L1559" s="1130"/>
      <c r="M1559" s="173"/>
      <c r="N1559" s="68"/>
      <c r="O1559" s="203"/>
      <c r="P1559" s="218"/>
      <c r="Q1559" s="68"/>
      <c r="R1559" s="217"/>
    </row>
    <row r="1560" spans="1:24" ht="30" customHeight="1" x14ac:dyDescent="0.35">
      <c r="A1560" s="1275" t="s">
        <v>315</v>
      </c>
      <c r="B1560" s="1276"/>
      <c r="C1560" s="1276"/>
      <c r="D1560" s="1129" t="s">
        <v>852</v>
      </c>
      <c r="E1560" s="1129"/>
      <c r="F1560" s="1129"/>
      <c r="G1560" s="1129"/>
      <c r="H1560" s="1129"/>
      <c r="I1560" s="1129"/>
      <c r="J1560" s="1129"/>
      <c r="K1560" s="1129"/>
      <c r="L1560" s="1130"/>
      <c r="M1560" s="173"/>
      <c r="N1560" s="68"/>
      <c r="O1560" s="203"/>
      <c r="P1560" s="218"/>
      <c r="Q1560" s="68"/>
      <c r="R1560" s="217"/>
      <c r="T1560" s="51"/>
      <c r="U1560" s="171"/>
    </row>
    <row r="1561" spans="1:24" ht="75" customHeight="1" x14ac:dyDescent="0.35">
      <c r="A1561" s="1077" t="s">
        <v>316</v>
      </c>
      <c r="B1561" s="1116"/>
      <c r="C1561" s="1116"/>
      <c r="D1561" s="1118" t="s">
        <v>986</v>
      </c>
      <c r="E1561" s="1118"/>
      <c r="F1561" s="1118"/>
      <c r="G1561" s="1118"/>
      <c r="H1561" s="1118"/>
      <c r="I1561" s="1118"/>
      <c r="J1561" s="1118"/>
      <c r="K1561" s="1118"/>
      <c r="L1561" s="1119"/>
      <c r="M1561" s="173"/>
      <c r="N1561" s="68"/>
      <c r="O1561" s="203"/>
      <c r="P1561" s="218"/>
      <c r="Q1561" s="68"/>
      <c r="R1561" s="217"/>
      <c r="T1561" s="51"/>
      <c r="U1561" s="171"/>
    </row>
    <row r="1562" spans="1:24" ht="60" customHeight="1" thickBot="1" x14ac:dyDescent="0.4">
      <c r="A1562" s="1078" t="s">
        <v>318</v>
      </c>
      <c r="B1562" s="1131"/>
      <c r="C1562" s="1131"/>
      <c r="D1562" s="1068" t="s">
        <v>2867</v>
      </c>
      <c r="E1562" s="1068"/>
      <c r="F1562" s="1068"/>
      <c r="G1562" s="1068"/>
      <c r="H1562" s="1068"/>
      <c r="I1562" s="1068"/>
      <c r="J1562" s="1068"/>
      <c r="K1562" s="1068"/>
      <c r="L1562" s="1120"/>
      <c r="M1562" s="173"/>
      <c r="P1562" s="171"/>
      <c r="Q1562" s="171"/>
      <c r="R1562" s="171"/>
      <c r="S1562" s="51"/>
      <c r="T1562" s="27"/>
      <c r="U1562" s="27"/>
      <c r="V1562" s="27"/>
      <c r="W1562" s="27"/>
      <c r="X1562" s="27"/>
    </row>
    <row r="1563" spans="1:24" s="27" customFormat="1" ht="30" customHeight="1" thickBot="1" x14ac:dyDescent="0.4">
      <c r="A1563" s="1086"/>
      <c r="B1563" s="1086"/>
      <c r="C1563" s="1086"/>
      <c r="D1563" s="1086"/>
      <c r="E1563" s="1086"/>
      <c r="F1563" s="1086"/>
      <c r="G1563" s="1086"/>
      <c r="H1563" s="1086"/>
      <c r="I1563" s="1086"/>
      <c r="J1563" s="1086"/>
      <c r="K1563" s="1086"/>
      <c r="L1563" s="1103"/>
      <c r="M1563" s="173"/>
      <c r="N1563" s="203"/>
      <c r="O1563" s="205"/>
      <c r="P1563" s="171"/>
      <c r="Q1563" s="171"/>
      <c r="R1563" s="171"/>
      <c r="S1563" s="51"/>
      <c r="T1563" s="208"/>
      <c r="U1563" s="208"/>
      <c r="V1563" s="208"/>
      <c r="W1563" s="208"/>
      <c r="X1563" s="208"/>
    </row>
    <row r="1564" spans="1:24" s="208" customFormat="1" ht="30" customHeight="1" x14ac:dyDescent="0.35">
      <c r="A1564" s="465" t="s">
        <v>278</v>
      </c>
      <c r="B1564" s="539">
        <v>2135</v>
      </c>
      <c r="C1564" s="1060" t="s">
        <v>987</v>
      </c>
      <c r="D1564" s="1060"/>
      <c r="E1564" s="541" t="s">
        <v>280</v>
      </c>
      <c r="F1564" s="542" t="s">
        <v>10</v>
      </c>
      <c r="G1564" s="560" t="s">
        <v>285</v>
      </c>
      <c r="H1564" s="632">
        <v>4907</v>
      </c>
      <c r="I1564" s="541" t="s">
        <v>281</v>
      </c>
      <c r="J1564" s="1019" t="s">
        <v>296</v>
      </c>
      <c r="K1564" s="1019"/>
      <c r="L1564" s="1020"/>
      <c r="M1564" s="173"/>
      <c r="N1564" s="214"/>
      <c r="O1564" s="207"/>
      <c r="P1564" s="27"/>
      <c r="Q1564" s="27"/>
      <c r="R1564" s="27"/>
      <c r="S1564" s="27"/>
      <c r="T1564" s="203"/>
      <c r="U1564" s="203"/>
      <c r="V1564" s="203"/>
      <c r="W1564" s="203"/>
      <c r="X1564" s="203"/>
    </row>
    <row r="1565" spans="1:24" ht="30" customHeight="1" x14ac:dyDescent="0.35">
      <c r="A1565" s="545" t="s">
        <v>288</v>
      </c>
      <c r="B1565" s="1051" t="s">
        <v>282</v>
      </c>
      <c r="C1565" s="1051"/>
      <c r="D1565" s="1051"/>
      <c r="E1565" s="530" t="s">
        <v>289</v>
      </c>
      <c r="F1565" s="561" t="s">
        <v>290</v>
      </c>
      <c r="G1565" s="1052" t="s">
        <v>323</v>
      </c>
      <c r="H1565" s="1052"/>
      <c r="I1565" s="1052" t="s">
        <v>405</v>
      </c>
      <c r="J1565" s="1052"/>
      <c r="K1565" s="1012" t="s">
        <v>292</v>
      </c>
      <c r="L1565" s="1023"/>
      <c r="M1565" s="173"/>
      <c r="N1565" s="208"/>
      <c r="P1565" s="208"/>
      <c r="Q1565" s="208"/>
      <c r="R1565" s="208"/>
      <c r="S1565" s="208"/>
      <c r="T1565" s="51"/>
      <c r="U1565" s="171"/>
    </row>
    <row r="1566" spans="1:24" ht="30" customHeight="1" x14ac:dyDescent="0.35">
      <c r="A1566" s="241">
        <v>14962</v>
      </c>
      <c r="B1566" s="1031" t="s">
        <v>468</v>
      </c>
      <c r="C1566" s="1031"/>
      <c r="D1566" s="1031"/>
      <c r="E1566" s="763">
        <v>1</v>
      </c>
      <c r="F1566" s="441">
        <v>6777000</v>
      </c>
      <c r="G1566" s="764"/>
      <c r="H1566" s="17"/>
      <c r="I1566" s="1044">
        <f>+'2021 MILCON Inflation Table'!F15</f>
        <v>1.0621074668527564</v>
      </c>
      <c r="J1566" s="1044"/>
      <c r="K1566" s="444">
        <f>+(F1566*I1566)</f>
        <v>7197902.3028611299</v>
      </c>
      <c r="L1566" s="564" t="s">
        <v>10</v>
      </c>
      <c r="M1566" s="173"/>
      <c r="T1566" s="51"/>
      <c r="U1566" s="171"/>
    </row>
    <row r="1567" spans="1:24" ht="30" customHeight="1" thickBot="1" x14ac:dyDescent="0.4">
      <c r="A1567" s="241"/>
      <c r="B1567" s="1059" t="s">
        <v>2868</v>
      </c>
      <c r="C1567" s="1059"/>
      <c r="D1567" s="1059"/>
      <c r="E1567" s="624"/>
      <c r="F1567" s="625"/>
      <c r="G1567" s="625"/>
      <c r="H1567" s="626"/>
      <c r="I1567" s="458"/>
      <c r="J1567" s="510" t="s">
        <v>2356</v>
      </c>
      <c r="K1567" s="585">
        <f>+K1566</f>
        <v>7197902.3028611299</v>
      </c>
      <c r="L1567" s="243" t="s">
        <v>10</v>
      </c>
      <c r="M1567" s="173"/>
      <c r="P1567" s="171"/>
      <c r="Q1567" s="171"/>
      <c r="R1567" s="171"/>
      <c r="S1567" s="51"/>
      <c r="T1567" s="27"/>
      <c r="U1567" s="27"/>
      <c r="V1567" s="27"/>
      <c r="W1567" s="27"/>
      <c r="X1567" s="27"/>
    </row>
    <row r="1568" spans="1:24" s="27" customFormat="1" ht="30" customHeight="1" thickBot="1" x14ac:dyDescent="0.4">
      <c r="A1568" s="1086"/>
      <c r="B1568" s="1086"/>
      <c r="C1568" s="1086"/>
      <c r="D1568" s="1086"/>
      <c r="E1568" s="1086"/>
      <c r="F1568" s="1086"/>
      <c r="G1568" s="1086"/>
      <c r="H1568" s="1086"/>
      <c r="I1568" s="1086"/>
      <c r="J1568" s="1086"/>
      <c r="K1568" s="1086"/>
      <c r="L1568" s="1103"/>
      <c r="M1568" s="173"/>
      <c r="N1568" s="203"/>
      <c r="O1568" s="205"/>
      <c r="P1568" s="171"/>
      <c r="Q1568" s="171"/>
      <c r="R1568" s="171"/>
      <c r="S1568" s="51"/>
      <c r="T1568" s="208"/>
      <c r="U1568" s="208"/>
      <c r="V1568" s="208"/>
      <c r="W1568" s="208"/>
      <c r="X1568" s="208"/>
    </row>
    <row r="1569" spans="1:24" s="208" customFormat="1" ht="30" customHeight="1" x14ac:dyDescent="0.35">
      <c r="A1569" s="465" t="s">
        <v>278</v>
      </c>
      <c r="B1569" s="539">
        <v>2136</v>
      </c>
      <c r="C1569" s="1060" t="s">
        <v>2645</v>
      </c>
      <c r="D1569" s="1060"/>
      <c r="E1569" s="541" t="s">
        <v>280</v>
      </c>
      <c r="F1569" s="542" t="s">
        <v>8</v>
      </c>
      <c r="G1569" s="560" t="s">
        <v>285</v>
      </c>
      <c r="H1569" s="632">
        <v>20692</v>
      </c>
      <c r="I1569" s="541" t="s">
        <v>281</v>
      </c>
      <c r="J1569" s="1019" t="s">
        <v>2919</v>
      </c>
      <c r="K1569" s="1019"/>
      <c r="L1569" s="1020"/>
      <c r="M1569" s="173"/>
      <c r="N1569" s="214"/>
      <c r="O1569" s="207"/>
      <c r="P1569" s="27"/>
      <c r="Q1569" s="27"/>
      <c r="R1569" s="27"/>
      <c r="S1569" s="27"/>
      <c r="T1569" s="203"/>
      <c r="U1569" s="203"/>
      <c r="V1569" s="203"/>
      <c r="W1569" s="203"/>
      <c r="X1569" s="203"/>
    </row>
    <row r="1570" spans="1:24" ht="30" customHeight="1" x14ac:dyDescent="0.35">
      <c r="A1570" s="545" t="s">
        <v>288</v>
      </c>
      <c r="B1570" s="1051" t="s">
        <v>282</v>
      </c>
      <c r="C1570" s="1051"/>
      <c r="D1570" s="1051"/>
      <c r="E1570" s="530" t="s">
        <v>2920</v>
      </c>
      <c r="F1570" s="561"/>
      <c r="G1570" s="1052"/>
      <c r="H1570" s="1052"/>
      <c r="I1570" s="1052"/>
      <c r="J1570" s="1052"/>
      <c r="K1570" s="1012" t="s">
        <v>2922</v>
      </c>
      <c r="L1570" s="1023"/>
      <c r="M1570" s="173"/>
      <c r="N1570" s="208"/>
      <c r="P1570" s="208"/>
      <c r="Q1570" s="208"/>
      <c r="R1570" s="208"/>
      <c r="S1570" s="208"/>
      <c r="T1570" s="51"/>
      <c r="U1570" s="171"/>
    </row>
    <row r="1571" spans="1:24" ht="30" customHeight="1" x14ac:dyDescent="0.35">
      <c r="A1571" s="241">
        <v>21365</v>
      </c>
      <c r="B1571" s="1031" t="s">
        <v>2918</v>
      </c>
      <c r="C1571" s="1031"/>
      <c r="D1571" s="1031"/>
      <c r="E1571" s="765">
        <f>K1425</f>
        <v>225.77064278248042</v>
      </c>
      <c r="F1571" s="441"/>
      <c r="G1571" s="764"/>
      <c r="H1571" s="17"/>
      <c r="I1571" s="1044"/>
      <c r="J1571" s="1044"/>
      <c r="K1571" s="444">
        <f>E1571</f>
        <v>225.77064278248042</v>
      </c>
      <c r="L1571" s="564" t="s">
        <v>10</v>
      </c>
      <c r="M1571" s="173"/>
      <c r="T1571" s="51"/>
      <c r="U1571" s="171"/>
    </row>
    <row r="1572" spans="1:24" ht="30" customHeight="1" thickBot="1" x14ac:dyDescent="0.4">
      <c r="A1572" s="241"/>
      <c r="B1572" s="1059"/>
      <c r="C1572" s="1059"/>
      <c r="D1572" s="1059"/>
      <c r="E1572" s="624"/>
      <c r="F1572" s="625"/>
      <c r="G1572" s="625"/>
      <c r="H1572" s="626"/>
      <c r="I1572" s="458"/>
      <c r="J1572" s="510" t="s">
        <v>2356</v>
      </c>
      <c r="K1572" s="585">
        <f>+K1571</f>
        <v>225.77064278248042</v>
      </c>
      <c r="L1572" s="243" t="s">
        <v>10</v>
      </c>
      <c r="M1572" s="173"/>
      <c r="P1572" s="171"/>
      <c r="Q1572" s="171"/>
      <c r="R1572" s="171"/>
      <c r="S1572" s="51"/>
      <c r="T1572" s="27"/>
      <c r="U1572" s="27"/>
      <c r="V1572" s="27"/>
      <c r="W1572" s="27"/>
      <c r="X1572" s="27"/>
    </row>
    <row r="1573" spans="1:24" s="27" customFormat="1" ht="30" customHeight="1" thickBot="1" x14ac:dyDescent="0.4">
      <c r="A1573" s="1086"/>
      <c r="B1573" s="1086"/>
      <c r="C1573" s="1086"/>
      <c r="D1573" s="1086"/>
      <c r="E1573" s="1086"/>
      <c r="F1573" s="1086"/>
      <c r="G1573" s="1086"/>
      <c r="H1573" s="1086"/>
      <c r="I1573" s="1086"/>
      <c r="J1573" s="1086"/>
      <c r="K1573" s="1086"/>
      <c r="L1573" s="1103"/>
      <c r="M1573" s="173"/>
      <c r="N1573" s="203"/>
      <c r="O1573" s="205"/>
      <c r="P1573" s="171"/>
      <c r="Q1573" s="171"/>
      <c r="R1573" s="171"/>
      <c r="S1573" s="51"/>
      <c r="T1573" s="208"/>
      <c r="U1573" s="208"/>
      <c r="V1573" s="208"/>
      <c r="W1573" s="208"/>
      <c r="X1573" s="208"/>
    </row>
    <row r="1574" spans="1:24" s="208" customFormat="1" ht="30" customHeight="1" x14ac:dyDescent="0.35">
      <c r="A1574" s="465" t="s">
        <v>278</v>
      </c>
      <c r="B1574" s="539">
        <v>2137</v>
      </c>
      <c r="C1574" s="1060" t="s">
        <v>2869</v>
      </c>
      <c r="D1574" s="1060"/>
      <c r="E1574" s="541" t="s">
        <v>280</v>
      </c>
      <c r="F1574" s="542" t="s">
        <v>10</v>
      </c>
      <c r="G1574" s="543" t="s">
        <v>279</v>
      </c>
      <c r="H1574" s="569">
        <v>1</v>
      </c>
      <c r="I1574" s="541" t="s">
        <v>281</v>
      </c>
      <c r="J1574" s="1019" t="s">
        <v>2923</v>
      </c>
      <c r="K1574" s="1019"/>
      <c r="L1574" s="1020"/>
      <c r="M1574" s="173"/>
      <c r="N1574" s="214"/>
      <c r="O1574" s="207"/>
      <c r="P1574" s="27"/>
      <c r="Q1574" s="27"/>
      <c r="R1574" s="27"/>
      <c r="S1574" s="27"/>
      <c r="T1574" s="203"/>
      <c r="U1574" s="203"/>
      <c r="V1574" s="203"/>
      <c r="W1574" s="203"/>
      <c r="X1574" s="203"/>
    </row>
    <row r="1575" spans="1:24" ht="30" customHeight="1" x14ac:dyDescent="0.35">
      <c r="A1575" s="545" t="s">
        <v>288</v>
      </c>
      <c r="B1575" s="1051" t="s">
        <v>282</v>
      </c>
      <c r="C1575" s="1051"/>
      <c r="D1575" s="1051"/>
      <c r="E1575" s="530" t="s">
        <v>289</v>
      </c>
      <c r="F1575" s="561" t="s">
        <v>2871</v>
      </c>
      <c r="G1575" s="1052"/>
      <c r="H1575" s="1052"/>
      <c r="I1575" s="1052" t="s">
        <v>405</v>
      </c>
      <c r="J1575" s="1052"/>
      <c r="K1575" s="1012" t="s">
        <v>292</v>
      </c>
      <c r="L1575" s="1023"/>
      <c r="M1575" s="173"/>
      <c r="N1575" s="208"/>
      <c r="P1575" s="208"/>
      <c r="Q1575" s="208"/>
      <c r="R1575" s="208"/>
      <c r="S1575" s="208"/>
      <c r="T1575" s="51"/>
      <c r="U1575" s="171"/>
    </row>
    <row r="1576" spans="1:24" ht="30" customHeight="1" x14ac:dyDescent="0.35">
      <c r="A1576" s="241">
        <v>21340</v>
      </c>
      <c r="B1576" s="1031" t="s">
        <v>2869</v>
      </c>
      <c r="C1576" s="1031"/>
      <c r="D1576" s="1031"/>
      <c r="E1576" s="763">
        <v>1</v>
      </c>
      <c r="F1576" s="441">
        <v>6321831.4800000004</v>
      </c>
      <c r="G1576" s="764"/>
      <c r="H1576" s="17"/>
      <c r="I1576" s="1044">
        <v>1.0202</v>
      </c>
      <c r="J1576" s="1044"/>
      <c r="K1576" s="444">
        <f>F1576*I1576</f>
        <v>6449532.4758960009</v>
      </c>
      <c r="L1576" s="564" t="s">
        <v>10</v>
      </c>
      <c r="M1576" s="173"/>
      <c r="N1576" s="425"/>
      <c r="T1576" s="51"/>
      <c r="U1576" s="171"/>
    </row>
    <row r="1577" spans="1:24" ht="30" customHeight="1" thickBot="1" x14ac:dyDescent="0.4">
      <c r="A1577" s="241"/>
      <c r="B1577" s="1059"/>
      <c r="C1577" s="1059"/>
      <c r="D1577" s="1059"/>
      <c r="E1577" s="624"/>
      <c r="F1577" s="625"/>
      <c r="G1577" s="625"/>
      <c r="H1577" s="626"/>
      <c r="I1577" s="458"/>
      <c r="J1577" s="510" t="s">
        <v>2356</v>
      </c>
      <c r="K1577" s="585">
        <f>+K1576</f>
        <v>6449532.4758960009</v>
      </c>
      <c r="L1577" s="243" t="s">
        <v>10</v>
      </c>
      <c r="M1577" s="173"/>
      <c r="P1577" s="171"/>
      <c r="Q1577" s="171"/>
      <c r="R1577" s="171"/>
      <c r="S1577" s="51"/>
      <c r="T1577" s="27"/>
      <c r="U1577" s="27"/>
      <c r="V1577" s="27"/>
      <c r="W1577" s="27"/>
      <c r="X1577" s="27"/>
    </row>
    <row r="1578" spans="1:24" s="27" customFormat="1" ht="30" customHeight="1" thickBot="1" x14ac:dyDescent="0.4">
      <c r="A1578" s="1086"/>
      <c r="B1578" s="1086"/>
      <c r="C1578" s="1086"/>
      <c r="D1578" s="1086"/>
      <c r="E1578" s="1086"/>
      <c r="F1578" s="1086"/>
      <c r="G1578" s="1086"/>
      <c r="H1578" s="1086"/>
      <c r="I1578" s="1086"/>
      <c r="J1578" s="1086"/>
      <c r="K1578" s="1086"/>
      <c r="L1578" s="1103"/>
      <c r="M1578" s="173"/>
      <c r="N1578" s="203"/>
      <c r="O1578" s="205"/>
      <c r="P1578" s="171"/>
      <c r="Q1578" s="171"/>
      <c r="R1578" s="171"/>
      <c r="S1578" s="51"/>
      <c r="T1578" s="208"/>
      <c r="U1578" s="208"/>
      <c r="V1578" s="208"/>
      <c r="W1578" s="208"/>
      <c r="X1578" s="208"/>
    </row>
    <row r="1579" spans="1:24" s="208" customFormat="1" ht="30" customHeight="1" x14ac:dyDescent="0.35">
      <c r="A1579" s="465" t="s">
        <v>278</v>
      </c>
      <c r="B1579" s="539">
        <v>2141</v>
      </c>
      <c r="C1579" s="1060" t="s">
        <v>988</v>
      </c>
      <c r="D1579" s="1060"/>
      <c r="E1579" s="541" t="s">
        <v>280</v>
      </c>
      <c r="F1579" s="542" t="s">
        <v>8</v>
      </c>
      <c r="G1579" s="543" t="s">
        <v>285</v>
      </c>
      <c r="H1579" s="437">
        <v>8699</v>
      </c>
      <c r="I1579" s="541" t="s">
        <v>281</v>
      </c>
      <c r="J1579" s="1019" t="s">
        <v>2637</v>
      </c>
      <c r="K1579" s="1019"/>
      <c r="L1579" s="1020"/>
      <c r="M1579" s="173"/>
      <c r="N1579" s="214"/>
      <c r="O1579" s="207"/>
      <c r="P1579" s="27"/>
      <c r="Q1579" s="27"/>
      <c r="R1579" s="27"/>
      <c r="S1579" s="27"/>
      <c r="T1579" s="203"/>
      <c r="U1579" s="203"/>
      <c r="V1579" s="203"/>
      <c r="W1579" s="203"/>
      <c r="X1579" s="203"/>
    </row>
    <row r="1580" spans="1:24" ht="30" customHeight="1" x14ac:dyDescent="0.35">
      <c r="A1580" s="545" t="s">
        <v>288</v>
      </c>
      <c r="B1580" s="1117" t="s">
        <v>282</v>
      </c>
      <c r="C1580" s="1117"/>
      <c r="D1580" s="1117"/>
      <c r="E1580" s="530" t="s">
        <v>289</v>
      </c>
      <c r="F1580" s="561" t="s">
        <v>290</v>
      </c>
      <c r="G1580" s="171"/>
      <c r="H1580" s="766"/>
      <c r="I1580" s="1052" t="s">
        <v>405</v>
      </c>
      <c r="J1580" s="1052"/>
      <c r="K1580" s="1012" t="s">
        <v>292</v>
      </c>
      <c r="L1580" s="1023"/>
      <c r="M1580" s="173"/>
      <c r="N1580" s="51"/>
      <c r="O1580" s="203"/>
      <c r="P1580" s="218"/>
      <c r="Q1580" s="68"/>
      <c r="R1580" s="217"/>
    </row>
    <row r="1581" spans="1:24" ht="30" customHeight="1" x14ac:dyDescent="0.35">
      <c r="A1581" s="562" t="s">
        <v>293</v>
      </c>
      <c r="B1581" s="1116" t="s">
        <v>2652</v>
      </c>
      <c r="C1581" s="1116"/>
      <c r="D1581" s="1116"/>
      <c r="E1581" s="563">
        <v>8000</v>
      </c>
      <c r="F1581" s="444">
        <v>372</v>
      </c>
      <c r="G1581" s="442"/>
      <c r="H1581" s="17"/>
      <c r="I1581" s="1044" t="s">
        <v>2638</v>
      </c>
      <c r="J1581" s="1044"/>
      <c r="K1581" s="444">
        <f>+F1581</f>
        <v>372</v>
      </c>
      <c r="L1581" s="564" t="s">
        <v>8</v>
      </c>
      <c r="M1581" s="173"/>
      <c r="N1581" s="419"/>
      <c r="O1581" s="171"/>
      <c r="P1581" s="216"/>
      <c r="Q1581" s="419"/>
      <c r="R1581" s="219"/>
    </row>
    <row r="1582" spans="1:24" ht="30" customHeight="1" thickBot="1" x14ac:dyDescent="0.4">
      <c r="A1582" s="241"/>
      <c r="B1582" s="1082"/>
      <c r="C1582" s="1082"/>
      <c r="D1582" s="1082"/>
      <c r="E1582" s="565"/>
      <c r="F1582" s="566"/>
      <c r="G1582" s="566"/>
      <c r="H1582" s="567"/>
      <c r="I1582" s="458"/>
      <c r="J1582" s="510" t="s">
        <v>2356</v>
      </c>
      <c r="K1582" s="585">
        <f>+K1581</f>
        <v>372</v>
      </c>
      <c r="L1582" s="243" t="s">
        <v>8</v>
      </c>
      <c r="M1582" s="173"/>
      <c r="N1582" s="208"/>
      <c r="P1582" s="208"/>
      <c r="Q1582" s="208"/>
      <c r="R1582" s="208"/>
      <c r="S1582" s="208"/>
      <c r="T1582" s="51"/>
      <c r="U1582" s="171"/>
    </row>
    <row r="1583" spans="1:24" ht="30" customHeight="1" thickBot="1" x14ac:dyDescent="0.4">
      <c r="A1583" s="1086"/>
      <c r="B1583" s="1086"/>
      <c r="C1583" s="1086"/>
      <c r="D1583" s="1086"/>
      <c r="E1583" s="1086"/>
      <c r="F1583" s="1086"/>
      <c r="G1583" s="1086"/>
      <c r="H1583" s="1086"/>
      <c r="I1583" s="1086"/>
      <c r="J1583" s="1086"/>
      <c r="K1583" s="1086"/>
      <c r="L1583" s="1103"/>
      <c r="M1583" s="173"/>
      <c r="T1583" s="51"/>
      <c r="U1583" s="171"/>
    </row>
    <row r="1584" spans="1:24" ht="30" customHeight="1" x14ac:dyDescent="0.35">
      <c r="A1584" s="465" t="s">
        <v>278</v>
      </c>
      <c r="B1584" s="539">
        <v>2142</v>
      </c>
      <c r="C1584" s="1135" t="s">
        <v>989</v>
      </c>
      <c r="D1584" s="1135"/>
      <c r="E1584" s="541" t="s">
        <v>280</v>
      </c>
      <c r="F1584" s="542" t="s">
        <v>8</v>
      </c>
      <c r="G1584" s="543" t="s">
        <v>285</v>
      </c>
      <c r="H1584" s="437">
        <v>29687</v>
      </c>
      <c r="I1584" s="541" t="s">
        <v>281</v>
      </c>
      <c r="J1584" s="1019" t="s">
        <v>2637</v>
      </c>
      <c r="K1584" s="1019"/>
      <c r="L1584" s="1020"/>
      <c r="M1584" s="173"/>
      <c r="P1584" s="171"/>
      <c r="Q1584" s="171"/>
      <c r="R1584" s="171"/>
      <c r="S1584" s="51"/>
      <c r="T1584" s="27"/>
      <c r="U1584" s="27"/>
      <c r="V1584" s="27"/>
      <c r="W1584" s="27"/>
      <c r="X1584" s="27"/>
    </row>
    <row r="1585" spans="1:24" s="27" customFormat="1" ht="30" customHeight="1" x14ac:dyDescent="0.35">
      <c r="A1585" s="545" t="s">
        <v>288</v>
      </c>
      <c r="B1585" s="1117" t="s">
        <v>282</v>
      </c>
      <c r="C1585" s="1117"/>
      <c r="D1585" s="1117"/>
      <c r="E1585" s="530" t="s">
        <v>289</v>
      </c>
      <c r="F1585" s="561" t="s">
        <v>290</v>
      </c>
      <c r="G1585" s="509"/>
      <c r="H1585" s="509"/>
      <c r="I1585" s="1052" t="s">
        <v>405</v>
      </c>
      <c r="J1585" s="1052"/>
      <c r="K1585" s="1012" t="s">
        <v>292</v>
      </c>
      <c r="L1585" s="1023"/>
      <c r="M1585" s="406"/>
      <c r="N1585" s="203"/>
      <c r="O1585" s="205"/>
      <c r="P1585" s="171"/>
      <c r="Q1585" s="171"/>
      <c r="R1585" s="171"/>
      <c r="S1585" s="51"/>
      <c r="T1585" s="208"/>
      <c r="U1585" s="208"/>
      <c r="V1585" s="208"/>
      <c r="W1585" s="208"/>
      <c r="X1585" s="208"/>
    </row>
    <row r="1586" spans="1:24" s="208" customFormat="1" ht="30" customHeight="1" x14ac:dyDescent="0.35">
      <c r="A1586" s="562" t="s">
        <v>293</v>
      </c>
      <c r="B1586" s="1116" t="s">
        <v>2653</v>
      </c>
      <c r="C1586" s="1116"/>
      <c r="D1586" s="1116"/>
      <c r="E1586" s="563">
        <v>45000</v>
      </c>
      <c r="F1586" s="444">
        <v>305</v>
      </c>
      <c r="G1586" s="442"/>
      <c r="H1586" s="17"/>
      <c r="I1586" s="1044" t="s">
        <v>2638</v>
      </c>
      <c r="J1586" s="1044"/>
      <c r="K1586" s="444">
        <f>+F1586</f>
        <v>305</v>
      </c>
      <c r="L1586" s="564" t="s">
        <v>8</v>
      </c>
      <c r="M1586" s="173"/>
      <c r="N1586" s="214"/>
      <c r="O1586" s="207"/>
      <c r="P1586" s="27"/>
      <c r="Q1586" s="27"/>
      <c r="R1586" s="27"/>
      <c r="S1586" s="27"/>
      <c r="T1586" s="203"/>
      <c r="U1586" s="203"/>
      <c r="V1586" s="203"/>
      <c r="W1586" s="203"/>
      <c r="X1586" s="203"/>
    </row>
    <row r="1587" spans="1:24" ht="30" customHeight="1" thickBot="1" x14ac:dyDescent="0.4">
      <c r="A1587" s="241"/>
      <c r="B1587" s="1082"/>
      <c r="C1587" s="1082"/>
      <c r="D1587" s="1082"/>
      <c r="E1587" s="565"/>
      <c r="F1587" s="566"/>
      <c r="G1587" s="566"/>
      <c r="H1587" s="567"/>
      <c r="I1587" s="458"/>
      <c r="J1587" s="510" t="s">
        <v>2356</v>
      </c>
      <c r="K1587" s="585">
        <f>+K1586</f>
        <v>305</v>
      </c>
      <c r="L1587" s="243" t="s">
        <v>8</v>
      </c>
      <c r="M1587" s="173"/>
      <c r="N1587" s="208"/>
      <c r="P1587" s="208"/>
      <c r="Q1587" s="208"/>
      <c r="R1587" s="208"/>
      <c r="S1587" s="208"/>
      <c r="T1587" s="27"/>
      <c r="U1587" s="171"/>
    </row>
    <row r="1588" spans="1:24" ht="30" customHeight="1" thickBot="1" x14ac:dyDescent="0.4">
      <c r="A1588" s="1086"/>
      <c r="B1588" s="1086"/>
      <c r="C1588" s="1086"/>
      <c r="D1588" s="1086"/>
      <c r="E1588" s="1086"/>
      <c r="F1588" s="1086"/>
      <c r="G1588" s="1086"/>
      <c r="H1588" s="1086"/>
      <c r="I1588" s="1086"/>
      <c r="J1588" s="1086"/>
      <c r="K1588" s="1086"/>
      <c r="L1588" s="1103"/>
      <c r="M1588" s="173"/>
      <c r="T1588" s="27"/>
      <c r="U1588" s="171"/>
    </row>
    <row r="1589" spans="1:24" ht="30" customHeight="1" x14ac:dyDescent="0.35">
      <c r="A1589" s="465" t="s">
        <v>278</v>
      </c>
      <c r="B1589" s="539">
        <v>2143</v>
      </c>
      <c r="C1589" s="1060" t="s">
        <v>990</v>
      </c>
      <c r="D1589" s="1060"/>
      <c r="E1589" s="541" t="s">
        <v>280</v>
      </c>
      <c r="F1589" s="542" t="s">
        <v>8</v>
      </c>
      <c r="G1589" s="543" t="s">
        <v>285</v>
      </c>
      <c r="H1589" s="437">
        <v>15743</v>
      </c>
      <c r="I1589" s="541" t="s">
        <v>281</v>
      </c>
      <c r="J1589" s="1019" t="s">
        <v>2637</v>
      </c>
      <c r="K1589" s="1019"/>
      <c r="L1589" s="1020"/>
      <c r="M1589" s="173"/>
      <c r="N1589" s="214"/>
      <c r="O1589" s="207"/>
      <c r="P1589" s="27"/>
      <c r="Q1589" s="27"/>
      <c r="R1589" s="27"/>
      <c r="S1589" s="27"/>
      <c r="U1589" s="27"/>
      <c r="V1589" s="27"/>
      <c r="W1589" s="27"/>
      <c r="X1589" s="27"/>
    </row>
    <row r="1590" spans="1:24" s="27" customFormat="1" ht="30" customHeight="1" x14ac:dyDescent="0.35">
      <c r="A1590" s="545" t="s">
        <v>288</v>
      </c>
      <c r="B1590" s="1117" t="s">
        <v>282</v>
      </c>
      <c r="C1590" s="1117"/>
      <c r="D1590" s="1117"/>
      <c r="E1590" s="530" t="s">
        <v>289</v>
      </c>
      <c r="F1590" s="561" t="s">
        <v>290</v>
      </c>
      <c r="G1590" s="509"/>
      <c r="H1590" s="509"/>
      <c r="I1590" s="1052" t="s">
        <v>405</v>
      </c>
      <c r="J1590" s="1052"/>
      <c r="K1590" s="1012" t="s">
        <v>292</v>
      </c>
      <c r="L1590" s="1023"/>
      <c r="M1590" s="173"/>
      <c r="N1590" s="214"/>
      <c r="O1590" s="207"/>
      <c r="T1590" s="208"/>
      <c r="U1590" s="208"/>
      <c r="V1590" s="208"/>
      <c r="W1590" s="208"/>
      <c r="X1590" s="208"/>
    </row>
    <row r="1591" spans="1:24" s="208" customFormat="1" ht="30" customHeight="1" x14ac:dyDescent="0.35">
      <c r="A1591" s="562" t="s">
        <v>293</v>
      </c>
      <c r="B1591" s="1116" t="s">
        <v>2652</v>
      </c>
      <c r="C1591" s="1116"/>
      <c r="D1591" s="1116"/>
      <c r="E1591" s="563">
        <v>8000</v>
      </c>
      <c r="F1591" s="444">
        <v>372</v>
      </c>
      <c r="G1591" s="442"/>
      <c r="H1591" s="17"/>
      <c r="I1591" s="1044" t="s">
        <v>2638</v>
      </c>
      <c r="J1591" s="1044"/>
      <c r="K1591" s="444">
        <f>+F1591</f>
        <v>372</v>
      </c>
      <c r="L1591" s="564" t="s">
        <v>8</v>
      </c>
      <c r="M1591" s="363"/>
      <c r="N1591" s="203"/>
      <c r="O1591" s="205"/>
      <c r="P1591" s="203"/>
      <c r="Q1591" s="203"/>
      <c r="R1591" s="203"/>
      <c r="S1591" s="203"/>
      <c r="T1591" s="51"/>
      <c r="U1591" s="203"/>
      <c r="V1591" s="203"/>
      <c r="W1591" s="203"/>
      <c r="X1591" s="203"/>
    </row>
    <row r="1592" spans="1:24" ht="30" customHeight="1" thickBot="1" x14ac:dyDescent="0.4">
      <c r="A1592" s="241"/>
      <c r="B1592" s="1082"/>
      <c r="C1592" s="1082"/>
      <c r="D1592" s="1082"/>
      <c r="E1592" s="565"/>
      <c r="F1592" s="566"/>
      <c r="G1592" s="566"/>
      <c r="H1592" s="567"/>
      <c r="I1592" s="458"/>
      <c r="J1592" s="510" t="s">
        <v>2356</v>
      </c>
      <c r="K1592" s="585">
        <f>+K1591</f>
        <v>372</v>
      </c>
      <c r="L1592" s="243" t="s">
        <v>8</v>
      </c>
      <c r="M1592" s="173"/>
      <c r="N1592" s="208"/>
      <c r="P1592" s="208"/>
      <c r="Q1592" s="208"/>
      <c r="R1592" s="208"/>
      <c r="S1592" s="208"/>
      <c r="T1592" s="27"/>
      <c r="U1592" s="171"/>
    </row>
    <row r="1593" spans="1:24" ht="30" customHeight="1" thickBot="1" x14ac:dyDescent="0.4">
      <c r="A1593" s="1086"/>
      <c r="B1593" s="1086"/>
      <c r="C1593" s="1086"/>
      <c r="D1593" s="1086"/>
      <c r="E1593" s="1086"/>
      <c r="F1593" s="1086"/>
      <c r="G1593" s="1086"/>
      <c r="H1593" s="1086"/>
      <c r="I1593" s="1086"/>
      <c r="J1593" s="1086"/>
      <c r="K1593" s="1086"/>
      <c r="L1593" s="1103"/>
      <c r="M1593" s="173"/>
      <c r="P1593" s="171"/>
      <c r="Q1593" s="171"/>
      <c r="R1593" s="171"/>
      <c r="S1593" s="51"/>
      <c r="T1593" s="27"/>
      <c r="U1593" s="171"/>
    </row>
    <row r="1594" spans="1:24" ht="30" customHeight="1" x14ac:dyDescent="0.35">
      <c r="A1594" s="465" t="s">
        <v>278</v>
      </c>
      <c r="B1594" s="539">
        <v>2144</v>
      </c>
      <c r="C1594" s="1060" t="s">
        <v>991</v>
      </c>
      <c r="D1594" s="1060"/>
      <c r="E1594" s="541" t="s">
        <v>280</v>
      </c>
      <c r="F1594" s="542" t="s">
        <v>8</v>
      </c>
      <c r="G1594" s="543" t="s">
        <v>285</v>
      </c>
      <c r="H1594" s="437">
        <v>7601</v>
      </c>
      <c r="I1594" s="541" t="s">
        <v>281</v>
      </c>
      <c r="J1594" s="1019" t="s">
        <v>2637</v>
      </c>
      <c r="K1594" s="1019"/>
      <c r="L1594" s="1020"/>
      <c r="M1594" s="173"/>
      <c r="N1594" s="214"/>
      <c r="O1594" s="207"/>
      <c r="P1594" s="27"/>
      <c r="Q1594" s="27"/>
      <c r="R1594" s="27"/>
      <c r="S1594" s="27"/>
      <c r="U1594" s="27"/>
      <c r="V1594" s="27"/>
      <c r="W1594" s="27"/>
      <c r="X1594" s="27"/>
    </row>
    <row r="1595" spans="1:24" s="27" customFormat="1" ht="30" customHeight="1" x14ac:dyDescent="0.35">
      <c r="A1595" s="545" t="s">
        <v>288</v>
      </c>
      <c r="B1595" s="1117" t="s">
        <v>282</v>
      </c>
      <c r="C1595" s="1117"/>
      <c r="D1595" s="1117"/>
      <c r="E1595" s="530" t="s">
        <v>289</v>
      </c>
      <c r="F1595" s="561" t="s">
        <v>290</v>
      </c>
      <c r="G1595" s="509"/>
      <c r="H1595" s="509"/>
      <c r="I1595" s="1052" t="s">
        <v>405</v>
      </c>
      <c r="J1595" s="1052"/>
      <c r="K1595" s="1012" t="s">
        <v>292</v>
      </c>
      <c r="L1595" s="1023"/>
      <c r="M1595" s="173"/>
      <c r="N1595" s="214"/>
      <c r="O1595" s="207"/>
      <c r="T1595" s="208"/>
      <c r="U1595" s="208"/>
      <c r="V1595" s="208"/>
      <c r="W1595" s="208"/>
      <c r="X1595" s="208"/>
    </row>
    <row r="1596" spans="1:24" s="208" customFormat="1" ht="30" customHeight="1" x14ac:dyDescent="0.35">
      <c r="A1596" s="562" t="s">
        <v>293</v>
      </c>
      <c r="B1596" s="1116" t="s">
        <v>2652</v>
      </c>
      <c r="C1596" s="1116"/>
      <c r="D1596" s="1116"/>
      <c r="E1596" s="563">
        <v>8000</v>
      </c>
      <c r="F1596" s="444">
        <v>372</v>
      </c>
      <c r="G1596" s="442"/>
      <c r="H1596" s="17"/>
      <c r="I1596" s="1044" t="s">
        <v>2638</v>
      </c>
      <c r="J1596" s="1044"/>
      <c r="K1596" s="444">
        <f>+F1596</f>
        <v>372</v>
      </c>
      <c r="L1596" s="564" t="s">
        <v>8</v>
      </c>
      <c r="M1596" s="173"/>
      <c r="N1596" s="203"/>
      <c r="O1596" s="205"/>
      <c r="P1596" s="203"/>
      <c r="Q1596" s="203"/>
      <c r="R1596" s="203"/>
      <c r="S1596" s="203"/>
      <c r="T1596" s="51"/>
      <c r="U1596" s="203"/>
      <c r="V1596" s="203"/>
      <c r="W1596" s="203"/>
      <c r="X1596" s="203"/>
    </row>
    <row r="1597" spans="1:24" ht="30" customHeight="1" thickBot="1" x14ac:dyDescent="0.4">
      <c r="A1597" s="241"/>
      <c r="B1597" s="1082"/>
      <c r="C1597" s="1082"/>
      <c r="D1597" s="1082"/>
      <c r="E1597" s="565"/>
      <c r="F1597" s="566"/>
      <c r="G1597" s="566"/>
      <c r="H1597" s="567"/>
      <c r="I1597" s="458"/>
      <c r="J1597" s="510" t="s">
        <v>2356</v>
      </c>
      <c r="K1597" s="585">
        <f>+K1596</f>
        <v>372</v>
      </c>
      <c r="L1597" s="243" t="s">
        <v>8</v>
      </c>
      <c r="M1597" s="173"/>
      <c r="N1597" s="208"/>
      <c r="P1597" s="208"/>
      <c r="Q1597" s="208"/>
      <c r="R1597" s="208"/>
      <c r="S1597" s="208"/>
      <c r="T1597" s="51"/>
    </row>
    <row r="1598" spans="1:24" ht="30" customHeight="1" x14ac:dyDescent="0.35">
      <c r="A1598" s="1112"/>
      <c r="B1598" s="1112"/>
      <c r="C1598" s="1112"/>
      <c r="D1598" s="1112"/>
      <c r="E1598" s="1112"/>
      <c r="F1598" s="1112"/>
      <c r="G1598" s="1112"/>
      <c r="H1598" s="1112"/>
      <c r="I1598" s="1112"/>
      <c r="J1598" s="1112"/>
      <c r="K1598" s="1112"/>
      <c r="L1598" s="1113"/>
      <c r="M1598" s="173"/>
      <c r="P1598" s="171"/>
      <c r="Q1598" s="171"/>
      <c r="R1598" s="171"/>
      <c r="S1598" s="51"/>
      <c r="T1598" s="51"/>
      <c r="U1598" s="171"/>
    </row>
    <row r="1599" spans="1:24" ht="30" customHeight="1" x14ac:dyDescent="0.35">
      <c r="A1599" s="593" t="s">
        <v>278</v>
      </c>
      <c r="B1599" s="433">
        <v>2145</v>
      </c>
      <c r="C1599" s="1277" t="s">
        <v>992</v>
      </c>
      <c r="D1599" s="1277"/>
      <c r="E1599" s="434" t="s">
        <v>280</v>
      </c>
      <c r="F1599" s="435" t="s">
        <v>10</v>
      </c>
      <c r="G1599" s="436" t="s">
        <v>285</v>
      </c>
      <c r="H1599" s="439">
        <v>427</v>
      </c>
      <c r="I1599" s="434" t="s">
        <v>281</v>
      </c>
      <c r="J1599" s="1027" t="s">
        <v>2925</v>
      </c>
      <c r="K1599" s="1027"/>
      <c r="L1599" s="1028"/>
      <c r="M1599" s="173"/>
      <c r="P1599" s="171"/>
      <c r="Q1599" s="171"/>
      <c r="R1599" s="171"/>
      <c r="S1599" s="51"/>
      <c r="T1599" s="51"/>
      <c r="U1599" s="171"/>
    </row>
    <row r="1600" spans="1:24" ht="30" customHeight="1" x14ac:dyDescent="0.35">
      <c r="A1600" s="545" t="s">
        <v>288</v>
      </c>
      <c r="B1600" s="1051" t="s">
        <v>282</v>
      </c>
      <c r="C1600" s="1051"/>
      <c r="D1600" s="1051"/>
      <c r="E1600" s="509" t="s">
        <v>290</v>
      </c>
      <c r="F1600" s="509" t="s">
        <v>289</v>
      </c>
      <c r="G1600" s="509" t="s">
        <v>2</v>
      </c>
      <c r="H1600" s="509" t="s">
        <v>323</v>
      </c>
      <c r="I1600" s="1021" t="s">
        <v>405</v>
      </c>
      <c r="J1600" s="1021"/>
      <c r="K1600" s="1022" t="s">
        <v>292</v>
      </c>
      <c r="L1600" s="1023"/>
      <c r="M1600" s="173"/>
      <c r="P1600" s="171"/>
      <c r="Q1600" s="171"/>
      <c r="R1600" s="171"/>
      <c r="S1600" s="51"/>
      <c r="T1600" s="27"/>
      <c r="U1600" s="27"/>
      <c r="V1600" s="27"/>
      <c r="W1600" s="27"/>
      <c r="X1600" s="27"/>
    </row>
    <row r="1601" spans="1:24" s="27" customFormat="1" ht="30" customHeight="1" x14ac:dyDescent="0.35">
      <c r="A1601" s="241">
        <v>14955</v>
      </c>
      <c r="B1601" s="1059" t="s">
        <v>2924</v>
      </c>
      <c r="C1601" s="1059"/>
      <c r="D1601" s="1059"/>
      <c r="E1601" s="460">
        <v>139</v>
      </c>
      <c r="F1601" s="439">
        <v>1428</v>
      </c>
      <c r="G1601" s="461" t="s">
        <v>8</v>
      </c>
      <c r="H1601" s="461">
        <v>427</v>
      </c>
      <c r="I1601" s="1245">
        <f>+'2021 MILCON Inflation Table'!F20</f>
        <v>0.9432470865927236</v>
      </c>
      <c r="J1601" s="1245"/>
      <c r="K1601" s="444">
        <f>E1601*H1601*I1601</f>
        <v>55984.544330537923</v>
      </c>
      <c r="L1601" s="564" t="s">
        <v>10</v>
      </c>
      <c r="M1601" s="173"/>
      <c r="N1601" s="203"/>
      <c r="O1601" s="205"/>
      <c r="P1601" s="171"/>
      <c r="Q1601" s="171"/>
      <c r="R1601" s="171"/>
      <c r="S1601" s="51"/>
      <c r="T1601" s="208"/>
      <c r="U1601" s="208"/>
      <c r="V1601" s="208"/>
      <c r="W1601" s="208"/>
      <c r="X1601" s="208"/>
    </row>
    <row r="1602" spans="1:24" s="208" customFormat="1" ht="30" customHeight="1" x14ac:dyDescent="0.35">
      <c r="A1602" s="241">
        <v>14960</v>
      </c>
      <c r="B1602" s="1102" t="s">
        <v>2383</v>
      </c>
      <c r="C1602" s="1102"/>
      <c r="D1602" s="1102"/>
      <c r="E1602" s="460">
        <v>62680</v>
      </c>
      <c r="F1602" s="439">
        <v>1</v>
      </c>
      <c r="G1602" s="462" t="s">
        <v>10</v>
      </c>
      <c r="H1602" s="462"/>
      <c r="I1602" s="1245">
        <f>+'2021 MILCON Inflation Table'!F10</f>
        <v>1.3093098833874974</v>
      </c>
      <c r="J1602" s="1245"/>
      <c r="K1602" s="463">
        <f>+E1602*I1602</f>
        <v>82067.543490728334</v>
      </c>
      <c r="L1602" s="564" t="s">
        <v>10</v>
      </c>
      <c r="M1602" s="173"/>
      <c r="N1602" s="214"/>
      <c r="O1602" s="207"/>
      <c r="P1602" s="27"/>
      <c r="Q1602" s="27"/>
      <c r="R1602" s="27"/>
      <c r="S1602" s="27"/>
      <c r="T1602" s="203"/>
      <c r="U1602" s="203"/>
      <c r="V1602" s="203"/>
      <c r="W1602" s="203"/>
      <c r="X1602" s="203"/>
    </row>
    <row r="1603" spans="1:24" ht="30" customHeight="1" x14ac:dyDescent="0.35">
      <c r="A1603" s="241"/>
      <c r="B1603" s="1059"/>
      <c r="C1603" s="1059"/>
      <c r="D1603" s="1059"/>
      <c r="E1603" s="457"/>
      <c r="F1603" s="464"/>
      <c r="G1603" s="457"/>
      <c r="H1603" s="457" t="s">
        <v>304</v>
      </c>
      <c r="I1603" s="458"/>
      <c r="J1603" s="510" t="s">
        <v>2356</v>
      </c>
      <c r="K1603" s="459">
        <f>AVERAGE(K1601:K1602)</f>
        <v>69026.043910633132</v>
      </c>
      <c r="L1603" s="564" t="s">
        <v>10</v>
      </c>
      <c r="M1603" s="173"/>
      <c r="N1603" s="208"/>
      <c r="P1603" s="208"/>
      <c r="Q1603" s="208"/>
      <c r="R1603" s="208"/>
      <c r="S1603" s="208"/>
    </row>
    <row r="1604" spans="1:24" ht="30" customHeight="1" thickBot="1" x14ac:dyDescent="0.4">
      <c r="A1604" s="1114"/>
      <c r="B1604" s="1114"/>
      <c r="C1604" s="1114"/>
      <c r="D1604" s="1114"/>
      <c r="E1604" s="1114"/>
      <c r="F1604" s="1114"/>
      <c r="G1604" s="1114"/>
      <c r="H1604" s="1114"/>
      <c r="I1604" s="1114"/>
      <c r="J1604" s="1114"/>
      <c r="K1604" s="1114"/>
      <c r="L1604" s="1115"/>
      <c r="M1604" s="173"/>
      <c r="N1604" s="425"/>
      <c r="T1604" s="217"/>
    </row>
    <row r="1605" spans="1:24" ht="30" customHeight="1" x14ac:dyDescent="0.35">
      <c r="A1605" s="465" t="s">
        <v>278</v>
      </c>
      <c r="B1605" s="539">
        <v>2146</v>
      </c>
      <c r="C1605" s="1060" t="s">
        <v>2927</v>
      </c>
      <c r="D1605" s="1060"/>
      <c r="E1605" s="541" t="s">
        <v>280</v>
      </c>
      <c r="F1605" s="542" t="s">
        <v>10</v>
      </c>
      <c r="G1605" s="543" t="s">
        <v>285</v>
      </c>
      <c r="H1605" s="569">
        <v>1</v>
      </c>
      <c r="I1605" s="541" t="s">
        <v>281</v>
      </c>
      <c r="J1605" s="1019" t="s">
        <v>2928</v>
      </c>
      <c r="K1605" s="1019"/>
      <c r="L1605" s="1020"/>
      <c r="M1605" s="173"/>
      <c r="N1605" s="68"/>
      <c r="O1605" s="203"/>
      <c r="P1605" s="218"/>
      <c r="Q1605" s="68"/>
      <c r="R1605" s="217"/>
      <c r="T1605" s="261"/>
      <c r="U1605" s="27"/>
      <c r="V1605" s="27"/>
      <c r="W1605" s="27"/>
      <c r="X1605" s="27"/>
    </row>
    <row r="1606" spans="1:24" s="27" customFormat="1" ht="30" customHeight="1" x14ac:dyDescent="0.35">
      <c r="A1606" s="545"/>
      <c r="B1606" s="1021" t="s">
        <v>2921</v>
      </c>
      <c r="C1606" s="1021"/>
      <c r="D1606" s="1021"/>
      <c r="E1606" s="509" t="s">
        <v>290</v>
      </c>
      <c r="F1606" s="509" t="s">
        <v>322</v>
      </c>
      <c r="G1606" s="1034" t="s">
        <v>323</v>
      </c>
      <c r="H1606" s="1034"/>
      <c r="I1606" s="509" t="s">
        <v>327</v>
      </c>
      <c r="J1606" s="509" t="s">
        <v>419</v>
      </c>
      <c r="K1606" s="1012" t="s">
        <v>2356</v>
      </c>
      <c r="L1606" s="1023"/>
      <c r="M1606" s="173"/>
      <c r="N1606" s="203"/>
      <c r="O1606" s="260"/>
      <c r="P1606" s="68"/>
      <c r="Q1606" s="203"/>
      <c r="R1606" s="203"/>
      <c r="S1606" s="203"/>
      <c r="T1606" s="217"/>
      <c r="U1606" s="208"/>
      <c r="V1606" s="208"/>
      <c r="W1606" s="208"/>
      <c r="X1606" s="208"/>
    </row>
    <row r="1607" spans="1:24" s="208" customFormat="1" ht="30" customHeight="1" thickBot="1" x14ac:dyDescent="0.4">
      <c r="A1607" s="546"/>
      <c r="B1607" s="1014">
        <v>21480464.030000001</v>
      </c>
      <c r="C1607" s="1014"/>
      <c r="D1607" s="1014"/>
      <c r="E1607" s="547"/>
      <c r="F1607" s="548"/>
      <c r="G1607" s="1015"/>
      <c r="H1607" s="1015"/>
      <c r="I1607" s="549"/>
      <c r="J1607" s="550">
        <v>1.0202</v>
      </c>
      <c r="K1607" s="551">
        <f>B1607*J1607</f>
        <v>21914369.403406002</v>
      </c>
      <c r="L1607" s="552" t="s">
        <v>10</v>
      </c>
      <c r="M1607" s="173"/>
      <c r="N1607" s="27"/>
      <c r="O1607" s="262"/>
      <c r="P1607" s="426"/>
      <c r="Q1607" s="27"/>
      <c r="R1607" s="27"/>
      <c r="S1607" s="27"/>
      <c r="T1607" s="217"/>
      <c r="U1607" s="203"/>
      <c r="V1607" s="203"/>
      <c r="W1607" s="203"/>
      <c r="X1607" s="203"/>
    </row>
    <row r="1608" spans="1:24" ht="30" customHeight="1" thickBot="1" x14ac:dyDescent="0.4">
      <c r="A1608" s="1086"/>
      <c r="B1608" s="1086"/>
      <c r="C1608" s="1086"/>
      <c r="D1608" s="1086"/>
      <c r="E1608" s="1086"/>
      <c r="F1608" s="1086"/>
      <c r="G1608" s="1086"/>
      <c r="H1608" s="1086"/>
      <c r="I1608" s="1086"/>
      <c r="J1608" s="1086"/>
      <c r="K1608" s="1086"/>
      <c r="L1608" s="1103"/>
      <c r="M1608" s="173"/>
      <c r="N1608" s="208"/>
      <c r="O1608" s="263"/>
      <c r="P1608" s="68"/>
      <c r="Q1608" s="208"/>
      <c r="R1608" s="208"/>
      <c r="S1608" s="208"/>
      <c r="T1608" s="217"/>
    </row>
    <row r="1609" spans="1:24" ht="30" customHeight="1" x14ac:dyDescent="0.35">
      <c r="A1609" s="465" t="s">
        <v>278</v>
      </c>
      <c r="B1609" s="539">
        <v>2147</v>
      </c>
      <c r="C1609" s="1060" t="s">
        <v>993</v>
      </c>
      <c r="D1609" s="1060"/>
      <c r="E1609" s="541" t="s">
        <v>280</v>
      </c>
      <c r="F1609" s="542" t="s">
        <v>8</v>
      </c>
      <c r="G1609" s="543" t="s">
        <v>285</v>
      </c>
      <c r="H1609" s="569">
        <v>13588</v>
      </c>
      <c r="I1609" s="541" t="s">
        <v>281</v>
      </c>
      <c r="J1609" s="1019" t="s">
        <v>2749</v>
      </c>
      <c r="K1609" s="1019"/>
      <c r="L1609" s="1020"/>
      <c r="M1609" s="173"/>
      <c r="O1609" s="260"/>
      <c r="P1609" s="68"/>
      <c r="T1609" s="217"/>
    </row>
    <row r="1610" spans="1:24" ht="30" customHeight="1" x14ac:dyDescent="0.35">
      <c r="A1610" s="545" t="s">
        <v>288</v>
      </c>
      <c r="B1610" s="1117" t="s">
        <v>282</v>
      </c>
      <c r="C1610" s="1117"/>
      <c r="D1610" s="1117"/>
      <c r="E1610" s="561" t="s">
        <v>290</v>
      </c>
      <c r="F1610" s="509" t="s">
        <v>289</v>
      </c>
      <c r="G1610" s="1052" t="s">
        <v>2</v>
      </c>
      <c r="H1610" s="1052"/>
      <c r="I1610" s="1052" t="s">
        <v>405</v>
      </c>
      <c r="J1610" s="1052"/>
      <c r="K1610" s="1012" t="s">
        <v>292</v>
      </c>
      <c r="L1610" s="1023"/>
      <c r="M1610" s="363"/>
      <c r="O1610" s="260"/>
      <c r="P1610" s="68"/>
      <c r="T1610" s="217"/>
    </row>
    <row r="1611" spans="1:24" ht="30" customHeight="1" x14ac:dyDescent="0.35">
      <c r="A1611" s="241">
        <v>21470</v>
      </c>
      <c r="B1611" s="1082" t="s">
        <v>994</v>
      </c>
      <c r="C1611" s="1082"/>
      <c r="D1611" s="1082"/>
      <c r="E1611" s="453">
        <v>408</v>
      </c>
      <c r="F1611" s="694">
        <v>512</v>
      </c>
      <c r="G1611" s="462" t="s">
        <v>8</v>
      </c>
      <c r="H1611" s="462"/>
      <c r="I1611" s="1044">
        <f>+'2021 MILCON Inflation Table'!F20</f>
        <v>0.9432470865927236</v>
      </c>
      <c r="J1611" s="1044"/>
      <c r="K1611" s="463">
        <f>+E1611*I1611</f>
        <v>384.84481132983126</v>
      </c>
      <c r="L1611" s="564" t="s">
        <v>8</v>
      </c>
      <c r="M1611" s="173"/>
      <c r="O1611" s="260"/>
      <c r="P1611" s="68"/>
      <c r="T1611" s="217"/>
    </row>
    <row r="1612" spans="1:24" ht="30" customHeight="1" x14ac:dyDescent="0.35">
      <c r="A1612" s="241">
        <v>21470</v>
      </c>
      <c r="B1612" s="1082" t="s">
        <v>2926</v>
      </c>
      <c r="C1612" s="1082"/>
      <c r="D1612" s="1082"/>
      <c r="E1612" s="453">
        <v>491</v>
      </c>
      <c r="F1612" s="694">
        <v>570</v>
      </c>
      <c r="G1612" s="462" t="s">
        <v>8</v>
      </c>
      <c r="H1612" s="462"/>
      <c r="I1612" s="1044">
        <f>+'2021 MILCON Inflation Table'!F20</f>
        <v>0.9432470865927236</v>
      </c>
      <c r="J1612" s="1044"/>
      <c r="K1612" s="463">
        <f>+E1612*I1612</f>
        <v>463.13431951702728</v>
      </c>
      <c r="L1612" s="564" t="s">
        <v>8</v>
      </c>
      <c r="M1612" s="173"/>
      <c r="O1612" s="260"/>
      <c r="P1612" s="68"/>
      <c r="T1612" s="217"/>
    </row>
    <row r="1613" spans="1:24" ht="30" customHeight="1" thickBot="1" x14ac:dyDescent="0.4">
      <c r="A1613" s="241"/>
      <c r="B1613" s="1278"/>
      <c r="C1613" s="1278"/>
      <c r="D1613" s="1278"/>
      <c r="E1613" s="553"/>
      <c r="F1613" s="706"/>
      <c r="G1613" s="554"/>
      <c r="H1613" s="707" t="s">
        <v>304</v>
      </c>
      <c r="I1613" s="458"/>
      <c r="J1613" s="510" t="s">
        <v>2356</v>
      </c>
      <c r="K1613" s="459">
        <f>AVERAGE(K1611:K1612)</f>
        <v>423.98956542342927</v>
      </c>
      <c r="L1613" s="564" t="s">
        <v>8</v>
      </c>
      <c r="M1613" s="173"/>
      <c r="O1613" s="260"/>
      <c r="P1613" s="68"/>
      <c r="T1613" s="217"/>
    </row>
    <row r="1614" spans="1:24" ht="30" customHeight="1" thickBot="1" x14ac:dyDescent="0.4">
      <c r="A1614" s="1086"/>
      <c r="B1614" s="1086"/>
      <c r="C1614" s="1086"/>
      <c r="D1614" s="1086"/>
      <c r="E1614" s="1086"/>
      <c r="F1614" s="1086"/>
      <c r="G1614" s="1086"/>
      <c r="H1614" s="1086"/>
      <c r="I1614" s="1086"/>
      <c r="J1614" s="1086"/>
      <c r="K1614" s="1086"/>
      <c r="L1614" s="1103"/>
      <c r="M1614" s="173"/>
      <c r="O1614" s="260"/>
      <c r="P1614" s="68"/>
      <c r="T1614" s="217"/>
    </row>
    <row r="1615" spans="1:24" ht="30" customHeight="1" x14ac:dyDescent="0.35">
      <c r="A1615" s="465" t="s">
        <v>278</v>
      </c>
      <c r="B1615" s="539">
        <v>2151</v>
      </c>
      <c r="C1615" s="1060" t="s">
        <v>995</v>
      </c>
      <c r="D1615" s="1060"/>
      <c r="E1615" s="541" t="s">
        <v>280</v>
      </c>
      <c r="F1615" s="542" t="s">
        <v>8</v>
      </c>
      <c r="G1615" s="543" t="s">
        <v>285</v>
      </c>
      <c r="H1615" s="558">
        <v>10843</v>
      </c>
      <c r="I1615" s="541" t="s">
        <v>281</v>
      </c>
      <c r="J1615" s="1019" t="s">
        <v>2637</v>
      </c>
      <c r="K1615" s="1019"/>
      <c r="L1615" s="1020"/>
      <c r="M1615" s="173"/>
      <c r="O1615" s="260"/>
      <c r="P1615" s="68"/>
      <c r="T1615" s="217"/>
    </row>
    <row r="1616" spans="1:24" ht="30" customHeight="1" x14ac:dyDescent="0.35">
      <c r="A1616" s="545" t="s">
        <v>288</v>
      </c>
      <c r="B1616" s="1051" t="s">
        <v>282</v>
      </c>
      <c r="C1616" s="1051"/>
      <c r="D1616" s="1051"/>
      <c r="E1616" s="530" t="s">
        <v>289</v>
      </c>
      <c r="F1616" s="561" t="s">
        <v>290</v>
      </c>
      <c r="G1616" s="509"/>
      <c r="H1616" s="509"/>
      <c r="I1616" s="1052" t="s">
        <v>405</v>
      </c>
      <c r="J1616" s="1052"/>
      <c r="K1616" s="1012" t="s">
        <v>292</v>
      </c>
      <c r="L1616" s="1023"/>
      <c r="M1616" s="364"/>
      <c r="O1616" s="260"/>
      <c r="P1616" s="68"/>
      <c r="T1616" s="217"/>
    </row>
    <row r="1617" spans="1:20" ht="30" customHeight="1" x14ac:dyDescent="0.35">
      <c r="A1617" s="562" t="s">
        <v>293</v>
      </c>
      <c r="B1617" s="1057" t="s">
        <v>977</v>
      </c>
      <c r="C1617" s="1057"/>
      <c r="D1617" s="1057"/>
      <c r="E1617" s="563">
        <v>25000</v>
      </c>
      <c r="F1617" s="444">
        <v>259</v>
      </c>
      <c r="G1617" s="442"/>
      <c r="H1617" s="17"/>
      <c r="I1617" s="1044" t="s">
        <v>2638</v>
      </c>
      <c r="J1617" s="1044"/>
      <c r="K1617" s="444">
        <f>F1617</f>
        <v>259</v>
      </c>
      <c r="L1617" s="564" t="s">
        <v>8</v>
      </c>
      <c r="M1617" s="173"/>
      <c r="O1617" s="260"/>
      <c r="P1617" s="68"/>
      <c r="T1617" s="217"/>
    </row>
    <row r="1618" spans="1:20" ht="30" customHeight="1" thickBot="1" x14ac:dyDescent="0.4">
      <c r="A1618" s="241"/>
      <c r="B1618" s="1059"/>
      <c r="C1618" s="1059"/>
      <c r="D1618" s="1059"/>
      <c r="E1618" s="565"/>
      <c r="F1618" s="566"/>
      <c r="G1618" s="566"/>
      <c r="H1618" s="567"/>
      <c r="I1618" s="458"/>
      <c r="J1618" s="510" t="s">
        <v>2356</v>
      </c>
      <c r="K1618" s="585">
        <f>+K1617</f>
        <v>259</v>
      </c>
      <c r="L1618" s="243" t="s">
        <v>8</v>
      </c>
      <c r="M1618" s="173"/>
      <c r="O1618" s="260"/>
      <c r="P1618" s="68"/>
    </row>
    <row r="1619" spans="1:20" ht="30" customHeight="1" thickBot="1" x14ac:dyDescent="0.4">
      <c r="A1619" s="1086"/>
      <c r="B1619" s="1086"/>
      <c r="C1619" s="1086"/>
      <c r="D1619" s="1086"/>
      <c r="E1619" s="1086"/>
      <c r="F1619" s="1086"/>
      <c r="G1619" s="1086"/>
      <c r="H1619" s="1086"/>
      <c r="I1619" s="1086"/>
      <c r="J1619" s="1086"/>
      <c r="K1619" s="1086"/>
      <c r="L1619" s="1103"/>
      <c r="M1619" s="173"/>
      <c r="O1619" s="260"/>
      <c r="P1619" s="68"/>
    </row>
    <row r="1620" spans="1:20" ht="30" customHeight="1" x14ac:dyDescent="0.35">
      <c r="A1620" s="465" t="s">
        <v>278</v>
      </c>
      <c r="B1620" s="539">
        <v>2152</v>
      </c>
      <c r="C1620" s="1060" t="s">
        <v>996</v>
      </c>
      <c r="D1620" s="1060"/>
      <c r="E1620" s="541" t="s">
        <v>280</v>
      </c>
      <c r="F1620" s="542" t="s">
        <v>8</v>
      </c>
      <c r="G1620" s="543" t="s">
        <v>285</v>
      </c>
      <c r="H1620" s="767">
        <v>12260</v>
      </c>
      <c r="I1620" s="541" t="s">
        <v>281</v>
      </c>
      <c r="J1620" s="1019" t="s">
        <v>2371</v>
      </c>
      <c r="K1620" s="1019"/>
      <c r="L1620" s="1020"/>
      <c r="M1620" s="363"/>
      <c r="N1620" s="419"/>
      <c r="O1620" s="171"/>
      <c r="P1620" s="216"/>
      <c r="Q1620" s="419"/>
      <c r="R1620" s="219"/>
    </row>
    <row r="1621" spans="1:20" ht="30" customHeight="1" x14ac:dyDescent="0.35">
      <c r="A1621" s="545" t="s">
        <v>997</v>
      </c>
      <c r="B1621" s="1117" t="s">
        <v>998</v>
      </c>
      <c r="C1621" s="1117"/>
      <c r="D1621" s="1117"/>
      <c r="E1621" s="509" t="s">
        <v>999</v>
      </c>
      <c r="F1621" s="509" t="s">
        <v>322</v>
      </c>
      <c r="G1621" s="509" t="s">
        <v>1000</v>
      </c>
      <c r="H1621" s="509" t="s">
        <v>1001</v>
      </c>
      <c r="I1621" s="509" t="s">
        <v>299</v>
      </c>
      <c r="J1621" s="509"/>
      <c r="K1621" s="1012" t="s">
        <v>292</v>
      </c>
      <c r="L1621" s="1023"/>
      <c r="M1621" s="173"/>
      <c r="N1621" s="419"/>
      <c r="O1621" s="171"/>
      <c r="P1621" s="216"/>
      <c r="Q1621" s="419"/>
      <c r="R1621" s="219"/>
    </row>
    <row r="1622" spans="1:20" ht="45" customHeight="1" x14ac:dyDescent="0.35">
      <c r="A1622" s="241" t="s">
        <v>435</v>
      </c>
      <c r="B1622" s="1116" t="s">
        <v>2944</v>
      </c>
      <c r="C1622" s="1116"/>
      <c r="D1622" s="1116"/>
      <c r="E1622" s="591">
        <f>164-2.51</f>
        <v>161.49</v>
      </c>
      <c r="F1622" s="446" t="s">
        <v>8</v>
      </c>
      <c r="G1622" s="579"/>
      <c r="H1622" s="591">
        <f>+E1622</f>
        <v>161.49</v>
      </c>
      <c r="I1622" s="458">
        <v>1.01</v>
      </c>
      <c r="J1622" s="458"/>
      <c r="K1622" s="591">
        <f>+H1622*I1622</f>
        <v>163.10490000000001</v>
      </c>
      <c r="L1622" s="642" t="s">
        <v>8</v>
      </c>
      <c r="M1622" s="173"/>
      <c r="N1622" s="68"/>
      <c r="O1622" s="203"/>
      <c r="P1622" s="218"/>
      <c r="Q1622" s="68"/>
      <c r="R1622" s="217"/>
    </row>
    <row r="1623" spans="1:20" ht="30" customHeight="1" x14ac:dyDescent="0.35">
      <c r="A1623" s="241" t="s">
        <v>436</v>
      </c>
      <c r="B1623" s="1082" t="s">
        <v>1002</v>
      </c>
      <c r="C1623" s="1082"/>
      <c r="D1623" s="1082"/>
      <c r="E1623" s="585">
        <v>177000</v>
      </c>
      <c r="F1623" s="446" t="s">
        <v>10</v>
      </c>
      <c r="G1623" s="579"/>
      <c r="H1623" s="591">
        <f>+E1623/H1620</f>
        <v>14.437194127243067</v>
      </c>
      <c r="I1623" s="458">
        <v>1.02</v>
      </c>
      <c r="J1623" s="458"/>
      <c r="K1623" s="591">
        <f t="shared" ref="K1623:K1631" si="55">+H1623*I1623</f>
        <v>14.72593800978793</v>
      </c>
      <c r="L1623" s="642" t="s">
        <v>8</v>
      </c>
      <c r="M1623" s="173"/>
      <c r="N1623" s="68"/>
      <c r="O1623" s="203"/>
      <c r="P1623" s="218"/>
      <c r="Q1623" s="68"/>
      <c r="R1623" s="217"/>
    </row>
    <row r="1624" spans="1:20" ht="30" customHeight="1" x14ac:dyDescent="0.35">
      <c r="A1624" s="241" t="s">
        <v>377</v>
      </c>
      <c r="B1624" s="1082" t="s">
        <v>1003</v>
      </c>
      <c r="C1624" s="1082"/>
      <c r="D1624" s="1082"/>
      <c r="E1624" s="591">
        <f>(20.3+31.5)/2</f>
        <v>25.9</v>
      </c>
      <c r="F1624" s="446" t="s">
        <v>944</v>
      </c>
      <c r="G1624" s="579">
        <v>162</v>
      </c>
      <c r="H1624" s="591">
        <f>+E1624*G1624/H1620</f>
        <v>0.34223491027732467</v>
      </c>
      <c r="I1624" s="458">
        <v>1.03</v>
      </c>
      <c r="J1624" s="458"/>
      <c r="K1624" s="591">
        <f t="shared" si="55"/>
        <v>0.3525019575856444</v>
      </c>
      <c r="L1624" s="642" t="s">
        <v>8</v>
      </c>
      <c r="M1624" s="173"/>
      <c r="N1624" s="68"/>
      <c r="O1624" s="203"/>
      <c r="P1624" s="218"/>
      <c r="Q1624" s="68"/>
      <c r="R1624" s="217"/>
    </row>
    <row r="1625" spans="1:20" ht="30" customHeight="1" x14ac:dyDescent="0.35">
      <c r="A1625" s="241" t="s">
        <v>377</v>
      </c>
      <c r="B1625" s="1082" t="s">
        <v>1004</v>
      </c>
      <c r="C1625" s="1082"/>
      <c r="D1625" s="1082"/>
      <c r="E1625" s="751">
        <f>(1710+2420)/2</f>
        <v>2065</v>
      </c>
      <c r="F1625" s="446" t="s">
        <v>10</v>
      </c>
      <c r="G1625" s="579">
        <v>2</v>
      </c>
      <c r="H1625" s="591">
        <f>+E1625*G1625/H1620</f>
        <v>0.33686786296900489</v>
      </c>
      <c r="I1625" s="458">
        <v>1.03</v>
      </c>
      <c r="J1625" s="458"/>
      <c r="K1625" s="591">
        <f t="shared" si="55"/>
        <v>0.34697389885807506</v>
      </c>
      <c r="L1625" s="642" t="s">
        <v>8</v>
      </c>
      <c r="M1625" s="173"/>
      <c r="N1625" s="68"/>
      <c r="O1625" s="203"/>
      <c r="P1625" s="218"/>
      <c r="Q1625" s="68"/>
      <c r="R1625" s="217"/>
    </row>
    <row r="1626" spans="1:20" ht="30" customHeight="1" x14ac:dyDescent="0.35">
      <c r="A1626" s="241" t="s">
        <v>380</v>
      </c>
      <c r="B1626" s="1082" t="s">
        <v>1005</v>
      </c>
      <c r="C1626" s="1082"/>
      <c r="D1626" s="1082"/>
      <c r="E1626" s="591">
        <f>+(34.5+82)/2</f>
        <v>58.25</v>
      </c>
      <c r="F1626" s="446" t="s">
        <v>6</v>
      </c>
      <c r="G1626" s="579">
        <v>20</v>
      </c>
      <c r="H1626" s="591">
        <f>+E1626*G1626/H1620</f>
        <v>9.5024469820554652E-2</v>
      </c>
      <c r="I1626" s="458">
        <v>1.03</v>
      </c>
      <c r="J1626" s="458"/>
      <c r="K1626" s="591">
        <f t="shared" si="55"/>
        <v>9.7875203915171294E-2</v>
      </c>
      <c r="L1626" s="642" t="s">
        <v>8</v>
      </c>
      <c r="M1626" s="173"/>
      <c r="N1626" s="68"/>
      <c r="O1626" s="203"/>
      <c r="P1626" s="218"/>
      <c r="Q1626" s="68"/>
      <c r="R1626" s="217"/>
    </row>
    <row r="1627" spans="1:20" ht="30" customHeight="1" x14ac:dyDescent="0.35">
      <c r="A1627" s="241" t="s">
        <v>380</v>
      </c>
      <c r="B1627" s="1082" t="s">
        <v>947</v>
      </c>
      <c r="C1627" s="1082"/>
      <c r="D1627" s="1082"/>
      <c r="E1627" s="591">
        <f>(6450+12300)/2</f>
        <v>9375</v>
      </c>
      <c r="F1627" s="446" t="s">
        <v>10</v>
      </c>
      <c r="G1627" s="579">
        <v>2</v>
      </c>
      <c r="H1627" s="591">
        <f>+E1627*G1627/H1620</f>
        <v>1.5293637846655792</v>
      </c>
      <c r="I1627" s="458">
        <v>1.03</v>
      </c>
      <c r="J1627" s="458"/>
      <c r="K1627" s="591">
        <f t="shared" si="55"/>
        <v>1.5752446982055466</v>
      </c>
      <c r="L1627" s="642" t="s">
        <v>8</v>
      </c>
      <c r="M1627" s="173"/>
      <c r="N1627" s="419"/>
      <c r="O1627" s="171"/>
      <c r="P1627" s="216"/>
      <c r="Q1627" s="419"/>
      <c r="R1627" s="219"/>
    </row>
    <row r="1628" spans="1:20" ht="30" customHeight="1" x14ac:dyDescent="0.35">
      <c r="A1628" s="241" t="s">
        <v>380</v>
      </c>
      <c r="B1628" s="1082" t="s">
        <v>1006</v>
      </c>
      <c r="C1628" s="1082"/>
      <c r="D1628" s="1082"/>
      <c r="E1628" s="591">
        <f>(660+1010)/2</f>
        <v>835</v>
      </c>
      <c r="F1628" s="446" t="s">
        <v>10</v>
      </c>
      <c r="G1628" s="579">
        <v>2</v>
      </c>
      <c r="H1628" s="591">
        <f>+E1628*G1628/H1620</f>
        <v>0.13621533442088091</v>
      </c>
      <c r="I1628" s="458">
        <v>1.03</v>
      </c>
      <c r="J1628" s="458"/>
      <c r="K1628" s="591">
        <f t="shared" si="55"/>
        <v>0.14030179445350735</v>
      </c>
      <c r="L1628" s="642" t="s">
        <v>8</v>
      </c>
      <c r="M1628" s="173"/>
      <c r="N1628" s="68"/>
      <c r="O1628" s="203"/>
      <c r="P1628" s="218"/>
      <c r="Q1628" s="68"/>
      <c r="R1628" s="217"/>
    </row>
    <row r="1629" spans="1:20" ht="30" customHeight="1" x14ac:dyDescent="0.35">
      <c r="A1629" s="241" t="s">
        <v>380</v>
      </c>
      <c r="B1629" s="1082" t="s">
        <v>949</v>
      </c>
      <c r="C1629" s="1082"/>
      <c r="D1629" s="1082"/>
      <c r="E1629" s="591">
        <f>(1160+3475)/2</f>
        <v>2317.5</v>
      </c>
      <c r="F1629" s="446" t="s">
        <v>10</v>
      </c>
      <c r="G1629" s="579">
        <v>2</v>
      </c>
      <c r="H1629" s="591">
        <f>+E1629*G1629/H1620</f>
        <v>0.37805872756933118</v>
      </c>
      <c r="I1629" s="458">
        <v>1.03</v>
      </c>
      <c r="J1629" s="458"/>
      <c r="K1629" s="591">
        <f t="shared" si="55"/>
        <v>0.38940048939641114</v>
      </c>
      <c r="L1629" s="642" t="s">
        <v>8</v>
      </c>
      <c r="M1629" s="173"/>
      <c r="N1629" s="68"/>
      <c r="O1629" s="203"/>
      <c r="P1629" s="218"/>
      <c r="Q1629" s="68"/>
      <c r="R1629" s="217"/>
    </row>
    <row r="1630" spans="1:20" ht="30" customHeight="1" x14ac:dyDescent="0.35">
      <c r="A1630" s="241" t="s">
        <v>360</v>
      </c>
      <c r="B1630" s="1082" t="s">
        <v>398</v>
      </c>
      <c r="C1630" s="1082"/>
      <c r="D1630" s="1082"/>
      <c r="E1630" s="591">
        <v>3.12</v>
      </c>
      <c r="F1630" s="446" t="s">
        <v>8</v>
      </c>
      <c r="G1630" s="579"/>
      <c r="H1630" s="591">
        <f>+E1630</f>
        <v>3.12</v>
      </c>
      <c r="I1630" s="458">
        <v>1.01</v>
      </c>
      <c r="J1630" s="458"/>
      <c r="K1630" s="591">
        <f t="shared" si="55"/>
        <v>3.1512000000000002</v>
      </c>
      <c r="L1630" s="642" t="s">
        <v>8</v>
      </c>
      <c r="M1630" s="173"/>
      <c r="N1630" s="68"/>
      <c r="O1630" s="203"/>
      <c r="P1630" s="218"/>
      <c r="Q1630" s="68"/>
      <c r="R1630" s="217"/>
    </row>
    <row r="1631" spans="1:20" ht="30" customHeight="1" x14ac:dyDescent="0.35">
      <c r="A1631" s="241" t="s">
        <v>360</v>
      </c>
      <c r="B1631" s="1082" t="s">
        <v>910</v>
      </c>
      <c r="C1631" s="1082"/>
      <c r="D1631" s="1082"/>
      <c r="E1631" s="591">
        <f xml:space="preserve"> 0.58+((1.15+1.71)/2)</f>
        <v>2.0099999999999998</v>
      </c>
      <c r="F1631" s="446" t="s">
        <v>8</v>
      </c>
      <c r="G1631" s="579"/>
      <c r="H1631" s="591">
        <f>+E1631</f>
        <v>2.0099999999999998</v>
      </c>
      <c r="I1631" s="458">
        <v>1.01</v>
      </c>
      <c r="J1631" s="458"/>
      <c r="K1631" s="591">
        <f t="shared" si="55"/>
        <v>2.0301</v>
      </c>
      <c r="L1631" s="642" t="s">
        <v>8</v>
      </c>
      <c r="M1631" s="173"/>
      <c r="N1631" s="68"/>
      <c r="O1631" s="203"/>
      <c r="P1631" s="218"/>
      <c r="Q1631" s="68"/>
      <c r="R1631" s="217"/>
    </row>
    <row r="1632" spans="1:20" ht="30" customHeight="1" x14ac:dyDescent="0.35">
      <c r="A1632" s="241"/>
      <c r="B1632" s="480"/>
      <c r="C1632" s="768"/>
      <c r="D1632" s="769"/>
      <c r="E1632" s="591"/>
      <c r="F1632" s="446"/>
      <c r="G1632" s="579"/>
      <c r="H1632" s="748"/>
      <c r="I1632" s="761"/>
      <c r="J1632" s="659" t="s">
        <v>335</v>
      </c>
      <c r="K1632" s="591">
        <f>SUM(K1622:K1631)</f>
        <v>185.91443605220232</v>
      </c>
      <c r="L1632" s="642" t="s">
        <v>8</v>
      </c>
      <c r="M1632" s="173"/>
      <c r="N1632" s="68"/>
      <c r="O1632" s="203"/>
      <c r="P1632" s="218"/>
      <c r="Q1632" s="68"/>
      <c r="R1632" s="217"/>
    </row>
    <row r="1633" spans="1:24" ht="30" customHeight="1" x14ac:dyDescent="0.35">
      <c r="A1633" s="241"/>
      <c r="B1633" s="506"/>
      <c r="C1633" s="506"/>
      <c r="D1633" s="506"/>
      <c r="E1633" s="453"/>
      <c r="F1633" s="1029" t="s">
        <v>302</v>
      </c>
      <c r="G1633" s="1058" t="s">
        <v>303</v>
      </c>
      <c r="H1633" s="1058"/>
      <c r="I1633" s="1058"/>
      <c r="J1633" s="1058"/>
      <c r="K1633" s="612">
        <v>1.08</v>
      </c>
      <c r="L1633" s="243"/>
      <c r="M1633" s="173"/>
      <c r="N1633" s="68"/>
      <c r="O1633" s="203"/>
      <c r="P1633" s="218"/>
      <c r="Q1633" s="68"/>
      <c r="R1633" s="217"/>
    </row>
    <row r="1634" spans="1:24" ht="30" customHeight="1" x14ac:dyDescent="0.35">
      <c r="A1634" s="241"/>
      <c r="B1634" s="506"/>
      <c r="C1634" s="506"/>
      <c r="D1634" s="506"/>
      <c r="E1634" s="453"/>
      <c r="F1634" s="1029"/>
      <c r="G1634" s="1073" t="s">
        <v>2374</v>
      </c>
      <c r="H1634" s="1073"/>
      <c r="I1634" s="1073"/>
      <c r="J1634" s="1073"/>
      <c r="K1634" s="612">
        <v>1.08</v>
      </c>
      <c r="L1634" s="243"/>
      <c r="M1634" s="173"/>
      <c r="N1634" s="68"/>
      <c r="O1634" s="203"/>
      <c r="P1634" s="218"/>
      <c r="Q1634" s="68"/>
      <c r="R1634" s="217"/>
    </row>
    <row r="1635" spans="1:24" ht="30" customHeight="1" x14ac:dyDescent="0.35">
      <c r="A1635" s="241"/>
      <c r="B1635" s="458"/>
      <c r="C1635" s="458"/>
      <c r="D1635" s="458"/>
      <c r="E1635" s="458"/>
      <c r="F1635" s="458"/>
      <c r="G1635" s="1279" t="s">
        <v>2359</v>
      </c>
      <c r="H1635" s="1279"/>
      <c r="I1635" s="1279"/>
      <c r="J1635" s="583">
        <f>VLOOKUP(B1620,'Mil Cost Premiums for PUCs'!$A$4:$R$272,18,FALSE)</f>
        <v>1.1932356231980656</v>
      </c>
      <c r="K1635" s="453">
        <f>+K1632*K1633/K1634*J1635</f>
        <v>221.83972796426656</v>
      </c>
      <c r="L1635" s="642" t="s">
        <v>8</v>
      </c>
      <c r="M1635" s="173"/>
      <c r="N1635" s="68"/>
      <c r="O1635" s="203"/>
      <c r="P1635" s="216"/>
      <c r="Q1635" s="68"/>
      <c r="R1635" s="217"/>
      <c r="T1635" s="208"/>
      <c r="U1635" s="208"/>
      <c r="V1635" s="208"/>
      <c r="W1635" s="208"/>
      <c r="X1635" s="208"/>
    </row>
    <row r="1636" spans="1:24" s="208" customFormat="1" ht="60" customHeight="1" x14ac:dyDescent="0.35">
      <c r="A1636" s="1064" t="s">
        <v>305</v>
      </c>
      <c r="B1636" s="1067"/>
      <c r="C1636" s="1067"/>
      <c r="D1636" s="1067"/>
      <c r="E1636" s="1067"/>
      <c r="F1636" s="1067"/>
      <c r="G1636" s="1067"/>
      <c r="H1636" s="1067"/>
      <c r="I1636" s="1067"/>
      <c r="J1636" s="1067"/>
      <c r="K1636" s="1067"/>
      <c r="L1636" s="1126"/>
      <c r="M1636" s="173"/>
      <c r="N1636" s="68"/>
      <c r="O1636" s="203"/>
      <c r="P1636" s="216"/>
      <c r="Q1636" s="68"/>
      <c r="R1636" s="217"/>
      <c r="S1636" s="203"/>
      <c r="T1636" s="203"/>
      <c r="U1636" s="203"/>
      <c r="V1636" s="203"/>
      <c r="W1636" s="203"/>
      <c r="X1636" s="203"/>
    </row>
    <row r="1637" spans="1:24" ht="60" customHeight="1" x14ac:dyDescent="0.35">
      <c r="A1637" s="1077" t="s">
        <v>306</v>
      </c>
      <c r="B1637" s="1116"/>
      <c r="C1637" s="1116"/>
      <c r="D1637" s="1067" t="s">
        <v>1007</v>
      </c>
      <c r="E1637" s="1067"/>
      <c r="F1637" s="1067"/>
      <c r="G1637" s="1067"/>
      <c r="H1637" s="1067"/>
      <c r="I1637" s="1067"/>
      <c r="J1637" s="1067"/>
      <c r="K1637" s="1067"/>
      <c r="L1637" s="1126"/>
      <c r="M1637" s="173"/>
      <c r="N1637" s="68"/>
      <c r="O1637" s="208"/>
      <c r="P1637" s="216"/>
      <c r="Q1637" s="68"/>
      <c r="R1637" s="217"/>
      <c r="S1637" s="208"/>
    </row>
    <row r="1638" spans="1:24" ht="120" customHeight="1" x14ac:dyDescent="0.35">
      <c r="A1638" s="1077" t="s">
        <v>307</v>
      </c>
      <c r="B1638" s="1116"/>
      <c r="C1638" s="1116"/>
      <c r="D1638" s="1067" t="s">
        <v>1008</v>
      </c>
      <c r="E1638" s="1067"/>
      <c r="F1638" s="1067"/>
      <c r="G1638" s="1067"/>
      <c r="H1638" s="1067"/>
      <c r="I1638" s="1067"/>
      <c r="J1638" s="1067"/>
      <c r="K1638" s="1067"/>
      <c r="L1638" s="1126"/>
      <c r="M1638" s="173"/>
      <c r="N1638" s="264"/>
      <c r="O1638" s="203"/>
      <c r="P1638" s="216"/>
      <c r="Q1638" s="68"/>
      <c r="R1638" s="217"/>
    </row>
    <row r="1639" spans="1:24" ht="30" customHeight="1" x14ac:dyDescent="0.35">
      <c r="A1639" s="1077" t="s">
        <v>308</v>
      </c>
      <c r="B1639" s="1116"/>
      <c r="C1639" s="1116"/>
      <c r="D1639" s="1067" t="s">
        <v>2943</v>
      </c>
      <c r="E1639" s="1067"/>
      <c r="F1639" s="1067"/>
      <c r="G1639" s="1067"/>
      <c r="H1639" s="1067"/>
      <c r="I1639" s="1067"/>
      <c r="J1639" s="1067"/>
      <c r="K1639" s="1067"/>
      <c r="L1639" s="1126"/>
      <c r="M1639" s="173"/>
      <c r="N1639" s="264"/>
      <c r="O1639" s="203"/>
      <c r="P1639" s="216"/>
      <c r="Q1639" s="68"/>
      <c r="R1639" s="217"/>
    </row>
    <row r="1640" spans="1:24" ht="45" customHeight="1" x14ac:dyDescent="0.35">
      <c r="A1640" s="1077" t="s">
        <v>309</v>
      </c>
      <c r="B1640" s="1116"/>
      <c r="C1640" s="1116"/>
      <c r="D1640" s="1067" t="s">
        <v>1009</v>
      </c>
      <c r="E1640" s="1067"/>
      <c r="F1640" s="1067"/>
      <c r="G1640" s="1067"/>
      <c r="H1640" s="1067"/>
      <c r="I1640" s="1067"/>
      <c r="J1640" s="1067"/>
      <c r="K1640" s="1067"/>
      <c r="L1640" s="1126"/>
      <c r="M1640" s="173"/>
      <c r="N1640" s="68"/>
      <c r="O1640" s="203"/>
      <c r="P1640" s="216"/>
      <c r="Q1640" s="68"/>
      <c r="R1640" s="217"/>
    </row>
    <row r="1641" spans="1:24" ht="60" customHeight="1" x14ac:dyDescent="0.35">
      <c r="A1641" s="1077" t="s">
        <v>311</v>
      </c>
      <c r="B1641" s="1116"/>
      <c r="C1641" s="1116"/>
      <c r="D1641" s="1067" t="s">
        <v>1010</v>
      </c>
      <c r="E1641" s="1067"/>
      <c r="F1641" s="1067"/>
      <c r="G1641" s="1067"/>
      <c r="H1641" s="1067"/>
      <c r="I1641" s="1067"/>
      <c r="J1641" s="1067"/>
      <c r="K1641" s="1067"/>
      <c r="L1641" s="1126"/>
      <c r="M1641" s="173"/>
      <c r="N1641" s="68"/>
      <c r="O1641" s="203"/>
      <c r="P1641" s="216"/>
      <c r="Q1641" s="68"/>
      <c r="R1641" s="217"/>
    </row>
    <row r="1642" spans="1:24" ht="30" customHeight="1" x14ac:dyDescent="0.35">
      <c r="A1642" s="1077" t="s">
        <v>313</v>
      </c>
      <c r="B1642" s="1116"/>
      <c r="C1642" s="1116"/>
      <c r="D1642" s="1067" t="s">
        <v>1011</v>
      </c>
      <c r="E1642" s="1067"/>
      <c r="F1642" s="1067"/>
      <c r="G1642" s="1067"/>
      <c r="H1642" s="1067"/>
      <c r="I1642" s="1067"/>
      <c r="J1642" s="1067"/>
      <c r="K1642" s="1067"/>
      <c r="L1642" s="1126"/>
      <c r="M1642" s="173"/>
      <c r="N1642" s="419"/>
      <c r="O1642" s="171"/>
      <c r="P1642" s="216"/>
      <c r="Q1642" s="419"/>
      <c r="R1642" s="219"/>
    </row>
    <row r="1643" spans="1:24" ht="30" customHeight="1" x14ac:dyDescent="0.35">
      <c r="A1643" s="1077" t="s">
        <v>315</v>
      </c>
      <c r="B1643" s="1116"/>
      <c r="C1643" s="1116"/>
      <c r="D1643" s="1067" t="s">
        <v>642</v>
      </c>
      <c r="E1643" s="1067"/>
      <c r="F1643" s="1067"/>
      <c r="G1643" s="1067"/>
      <c r="H1643" s="1067"/>
      <c r="I1643" s="1067"/>
      <c r="J1643" s="1067"/>
      <c r="K1643" s="1067"/>
      <c r="L1643" s="1126"/>
      <c r="M1643" s="173"/>
      <c r="N1643" s="419"/>
      <c r="O1643" s="171"/>
      <c r="P1643" s="216"/>
      <c r="Q1643" s="419"/>
      <c r="R1643" s="219"/>
    </row>
    <row r="1644" spans="1:24" ht="60" customHeight="1" x14ac:dyDescent="0.35">
      <c r="A1644" s="1077" t="s">
        <v>316</v>
      </c>
      <c r="B1644" s="1116"/>
      <c r="C1644" s="1116"/>
      <c r="D1644" s="1118" t="s">
        <v>1012</v>
      </c>
      <c r="E1644" s="1118"/>
      <c r="F1644" s="1118"/>
      <c r="G1644" s="1118"/>
      <c r="H1644" s="1118"/>
      <c r="I1644" s="1118"/>
      <c r="J1644" s="1118"/>
      <c r="K1644" s="1118"/>
      <c r="L1644" s="1119"/>
      <c r="M1644" s="173"/>
      <c r="N1644" s="68"/>
      <c r="O1644" s="203"/>
      <c r="P1644" s="216"/>
      <c r="Q1644" s="68"/>
      <c r="R1644" s="217"/>
    </row>
    <row r="1645" spans="1:24" ht="30" customHeight="1" thickBot="1" x14ac:dyDescent="0.4">
      <c r="A1645" s="1077" t="s">
        <v>318</v>
      </c>
      <c r="B1645" s="1116"/>
      <c r="C1645" s="1116"/>
      <c r="D1645" s="1068" t="s">
        <v>2954</v>
      </c>
      <c r="E1645" s="1068"/>
      <c r="F1645" s="1068"/>
      <c r="G1645" s="1068"/>
      <c r="H1645" s="1068"/>
      <c r="I1645" s="1068"/>
      <c r="J1645" s="1068"/>
      <c r="K1645" s="1068"/>
      <c r="L1645" s="1120"/>
      <c r="M1645" s="173"/>
      <c r="N1645" s="68"/>
      <c r="O1645" s="203"/>
      <c r="P1645" s="216"/>
      <c r="Q1645" s="68"/>
      <c r="R1645" s="217"/>
    </row>
    <row r="1646" spans="1:24" ht="30" customHeight="1" thickBot="1" x14ac:dyDescent="0.4">
      <c r="A1646" s="1086"/>
      <c r="B1646" s="1086"/>
      <c r="C1646" s="1086"/>
      <c r="D1646" s="1086"/>
      <c r="E1646" s="1086"/>
      <c r="F1646" s="1086"/>
      <c r="G1646" s="1086"/>
      <c r="H1646" s="1086"/>
      <c r="I1646" s="1086"/>
      <c r="J1646" s="1086"/>
      <c r="K1646" s="1086"/>
      <c r="L1646" s="1103"/>
      <c r="M1646" s="173"/>
      <c r="N1646" s="68"/>
      <c r="O1646" s="203"/>
      <c r="P1646" s="216"/>
      <c r="Q1646" s="68"/>
      <c r="R1646" s="217"/>
      <c r="T1646" s="208"/>
      <c r="U1646" s="208"/>
      <c r="V1646" s="208"/>
      <c r="W1646" s="208"/>
      <c r="X1646" s="208"/>
    </row>
    <row r="1647" spans="1:24" s="208" customFormat="1" ht="30" customHeight="1" x14ac:dyDescent="0.35">
      <c r="A1647" s="465" t="s">
        <v>278</v>
      </c>
      <c r="B1647" s="539">
        <v>2153</v>
      </c>
      <c r="C1647" s="1060" t="s">
        <v>2947</v>
      </c>
      <c r="D1647" s="1060"/>
      <c r="E1647" s="541" t="s">
        <v>280</v>
      </c>
      <c r="F1647" s="542" t="s">
        <v>8</v>
      </c>
      <c r="G1647" s="543" t="s">
        <v>285</v>
      </c>
      <c r="H1647" s="569">
        <v>7187</v>
      </c>
      <c r="I1647" s="541" t="s">
        <v>281</v>
      </c>
      <c r="J1647" s="1019" t="s">
        <v>2948</v>
      </c>
      <c r="K1647" s="1019"/>
      <c r="L1647" s="1020"/>
      <c r="M1647" s="173"/>
      <c r="N1647" s="68"/>
      <c r="O1647" s="203"/>
      <c r="P1647" s="216"/>
      <c r="Q1647" s="68"/>
      <c r="R1647" s="217"/>
      <c r="S1647" s="203"/>
      <c r="T1647" s="203"/>
      <c r="U1647" s="203"/>
      <c r="V1647" s="203"/>
      <c r="W1647" s="203"/>
      <c r="X1647" s="203"/>
    </row>
    <row r="1648" spans="1:24" ht="30" customHeight="1" x14ac:dyDescent="0.35">
      <c r="A1648" s="545"/>
      <c r="B1648" s="1021" t="s">
        <v>2921</v>
      </c>
      <c r="C1648" s="1021"/>
      <c r="D1648" s="1021"/>
      <c r="E1648" s="509" t="s">
        <v>290</v>
      </c>
      <c r="F1648" s="509" t="s">
        <v>322</v>
      </c>
      <c r="G1648" s="1034" t="s">
        <v>323</v>
      </c>
      <c r="H1648" s="1034"/>
      <c r="I1648" s="509" t="s">
        <v>327</v>
      </c>
      <c r="J1648" s="509" t="s">
        <v>419</v>
      </c>
      <c r="K1648" s="1012" t="s">
        <v>2356</v>
      </c>
      <c r="L1648" s="1023"/>
      <c r="M1648" s="173"/>
      <c r="N1648" s="68"/>
      <c r="O1648" s="208"/>
      <c r="P1648" s="216"/>
      <c r="Q1648" s="68"/>
      <c r="R1648" s="217"/>
      <c r="S1648" s="208"/>
    </row>
    <row r="1649" spans="1:24" ht="30" customHeight="1" thickBot="1" x14ac:dyDescent="0.4">
      <c r="A1649" s="546"/>
      <c r="B1649" s="1014" t="s">
        <v>4</v>
      </c>
      <c r="C1649" s="1014"/>
      <c r="D1649" s="1014"/>
      <c r="E1649" s="547"/>
      <c r="F1649" s="548"/>
      <c r="G1649" s="1015"/>
      <c r="H1649" s="1015"/>
      <c r="I1649" s="549"/>
      <c r="J1649" s="550" t="s">
        <v>4</v>
      </c>
      <c r="K1649" s="551">
        <f>K1425</f>
        <v>225.77064278248042</v>
      </c>
      <c r="L1649" s="552" t="s">
        <v>8</v>
      </c>
      <c r="M1649" s="173"/>
      <c r="N1649" s="68"/>
      <c r="O1649" s="203"/>
      <c r="P1649" s="216"/>
      <c r="Q1649" s="68"/>
      <c r="R1649" s="217"/>
    </row>
    <row r="1650" spans="1:24" ht="30" customHeight="1" thickBot="1" x14ac:dyDescent="0.4">
      <c r="A1650" s="1086"/>
      <c r="B1650" s="1086"/>
      <c r="C1650" s="1086"/>
      <c r="D1650" s="1086"/>
      <c r="E1650" s="1086"/>
      <c r="F1650" s="1086"/>
      <c r="G1650" s="1086"/>
      <c r="H1650" s="1086"/>
      <c r="I1650" s="1086"/>
      <c r="J1650" s="1086"/>
      <c r="K1650" s="1086"/>
      <c r="L1650" s="1103"/>
      <c r="M1650" s="173"/>
      <c r="N1650" s="68"/>
      <c r="O1650" s="203"/>
      <c r="P1650" s="216"/>
      <c r="Q1650" s="68"/>
      <c r="R1650" s="217"/>
    </row>
    <row r="1651" spans="1:24" ht="30" customHeight="1" x14ac:dyDescent="0.35">
      <c r="A1651" s="465" t="s">
        <v>278</v>
      </c>
      <c r="B1651" s="539">
        <v>2154</v>
      </c>
      <c r="C1651" s="1026" t="s">
        <v>1013</v>
      </c>
      <c r="D1651" s="1026"/>
      <c r="E1651" s="541" t="s">
        <v>280</v>
      </c>
      <c r="F1651" s="542" t="s">
        <v>8</v>
      </c>
      <c r="G1651" s="543" t="s">
        <v>285</v>
      </c>
      <c r="H1651" s="756">
        <v>11273</v>
      </c>
      <c r="I1651" s="541" t="s">
        <v>281</v>
      </c>
      <c r="J1651" s="1019" t="s">
        <v>2371</v>
      </c>
      <c r="K1651" s="1019"/>
      <c r="L1651" s="1020"/>
      <c r="M1651" s="173"/>
      <c r="N1651" s="68"/>
      <c r="O1651" s="203"/>
      <c r="P1651" s="216"/>
      <c r="Q1651" s="68"/>
      <c r="R1651" s="217"/>
    </row>
    <row r="1652" spans="1:24" ht="30" customHeight="1" x14ac:dyDescent="0.35">
      <c r="A1652" s="588" t="s">
        <v>298</v>
      </c>
      <c r="B1652" s="1280" t="s">
        <v>321</v>
      </c>
      <c r="C1652" s="1280"/>
      <c r="D1652" s="1280"/>
      <c r="E1652" s="510" t="s">
        <v>290</v>
      </c>
      <c r="F1652" s="510" t="s">
        <v>322</v>
      </c>
      <c r="G1652" s="1022" t="s">
        <v>323</v>
      </c>
      <c r="H1652" s="1022"/>
      <c r="I1652" s="509" t="s">
        <v>299</v>
      </c>
      <c r="J1652" s="509"/>
      <c r="K1652" s="1012" t="s">
        <v>292</v>
      </c>
      <c r="L1652" s="1023"/>
      <c r="M1652" s="173"/>
      <c r="N1652" s="68"/>
      <c r="O1652" s="203"/>
      <c r="P1652" s="216"/>
      <c r="Q1652" s="68"/>
      <c r="R1652" s="217"/>
    </row>
    <row r="1653" spans="1:24" ht="45" customHeight="1" x14ac:dyDescent="0.35">
      <c r="A1653" s="241" t="s">
        <v>435</v>
      </c>
      <c r="B1653" s="1116" t="s">
        <v>2876</v>
      </c>
      <c r="C1653" s="1116"/>
      <c r="D1653" s="1116"/>
      <c r="E1653" s="453">
        <f>164-2.51</f>
        <v>161.49</v>
      </c>
      <c r="F1653" s="446" t="s">
        <v>8</v>
      </c>
      <c r="G1653" s="454"/>
      <c r="H1653" s="446"/>
      <c r="I1653" s="446">
        <v>1.01</v>
      </c>
      <c r="J1653" s="446"/>
      <c r="K1653" s="453">
        <f>+E1653*I1653</f>
        <v>163.10490000000001</v>
      </c>
      <c r="L1653" s="243" t="s">
        <v>8</v>
      </c>
      <c r="M1653" s="173"/>
      <c r="N1653" s="68"/>
      <c r="O1653" s="203"/>
      <c r="P1653" s="216"/>
      <c r="Q1653" s="68"/>
      <c r="R1653" s="217"/>
    </row>
    <row r="1654" spans="1:24" ht="30" customHeight="1" x14ac:dyDescent="0.35">
      <c r="A1654" s="241" t="s">
        <v>436</v>
      </c>
      <c r="B1654" s="1059" t="s">
        <v>1014</v>
      </c>
      <c r="C1654" s="1059"/>
      <c r="D1654" s="1059"/>
      <c r="E1654" s="591">
        <v>141000</v>
      </c>
      <c r="F1654" s="446" t="s">
        <v>10</v>
      </c>
      <c r="G1654" s="770">
        <f>+H1651</f>
        <v>11273</v>
      </c>
      <c r="H1654" s="508" t="s">
        <v>1015</v>
      </c>
      <c r="I1654" s="446">
        <v>1.02</v>
      </c>
      <c r="J1654" s="446"/>
      <c r="K1654" s="453">
        <f>+(E1654/G1654)*I1654</f>
        <v>12.757917147165795</v>
      </c>
      <c r="L1654" s="243" t="s">
        <v>8</v>
      </c>
      <c r="M1654" s="173"/>
      <c r="N1654" s="68"/>
      <c r="O1654" s="203"/>
      <c r="P1654" s="216"/>
      <c r="Q1654" s="68"/>
      <c r="R1654" s="217"/>
    </row>
    <row r="1655" spans="1:24" ht="30" customHeight="1" x14ac:dyDescent="0.35">
      <c r="A1655" s="241" t="s">
        <v>360</v>
      </c>
      <c r="B1655" s="1059" t="s">
        <v>1016</v>
      </c>
      <c r="C1655" s="1059"/>
      <c r="D1655" s="1059"/>
      <c r="E1655" s="453">
        <v>4</v>
      </c>
      <c r="F1655" s="446" t="s">
        <v>8</v>
      </c>
      <c r="G1655" s="519"/>
      <c r="H1655" s="508"/>
      <c r="I1655" s="446">
        <v>1.01</v>
      </c>
      <c r="J1655" s="446"/>
      <c r="K1655" s="453">
        <f>+E1655*I1655</f>
        <v>4.04</v>
      </c>
      <c r="L1655" s="243" t="s">
        <v>8</v>
      </c>
      <c r="M1655" s="173"/>
      <c r="N1655" s="68"/>
      <c r="O1655" s="203"/>
      <c r="P1655" s="216"/>
      <c r="Q1655" s="68"/>
      <c r="R1655" s="217"/>
    </row>
    <row r="1656" spans="1:24" ht="30" customHeight="1" x14ac:dyDescent="0.35">
      <c r="A1656" s="241"/>
      <c r="B1656" s="1059" t="s">
        <v>2201</v>
      </c>
      <c r="C1656" s="1059"/>
      <c r="D1656" s="1059"/>
      <c r="E1656" s="453"/>
      <c r="F1656" s="446"/>
      <c r="G1656" s="519"/>
      <c r="H1656" s="508"/>
      <c r="I1656" s="446"/>
      <c r="J1656" s="446" t="s">
        <v>335</v>
      </c>
      <c r="K1656" s="453">
        <f>SUM(K1653:K1655)</f>
        <v>179.90281714716579</v>
      </c>
      <c r="L1656" s="243" t="s">
        <v>8</v>
      </c>
      <c r="M1656" s="173"/>
      <c r="N1656" s="419"/>
      <c r="O1656" s="171"/>
      <c r="P1656" s="216"/>
      <c r="Q1656" s="419"/>
      <c r="R1656" s="219"/>
    </row>
    <row r="1657" spans="1:24" ht="30" customHeight="1" x14ac:dyDescent="0.35">
      <c r="A1657" s="241"/>
      <c r="B1657" s="1031"/>
      <c r="C1657" s="1031"/>
      <c r="D1657" s="1031"/>
      <c r="E1657" s="453"/>
      <c r="F1657" s="1029" t="s">
        <v>302</v>
      </c>
      <c r="G1657" s="1058" t="s">
        <v>303</v>
      </c>
      <c r="H1657" s="1058"/>
      <c r="I1657" s="1058"/>
      <c r="J1657" s="1058"/>
      <c r="K1657" s="612">
        <v>1.08</v>
      </c>
      <c r="L1657" s="243"/>
      <c r="M1657" s="173"/>
      <c r="N1657" s="419"/>
      <c r="O1657" s="171"/>
      <c r="P1657" s="216"/>
      <c r="Q1657" s="419"/>
      <c r="R1657" s="219"/>
    </row>
    <row r="1658" spans="1:24" ht="30" customHeight="1" x14ac:dyDescent="0.35">
      <c r="A1658" s="241"/>
      <c r="B1658" s="506"/>
      <c r="C1658" s="506"/>
      <c r="D1658" s="506"/>
      <c r="E1658" s="453"/>
      <c r="F1658" s="1029"/>
      <c r="G1658" s="1073" t="s">
        <v>2374</v>
      </c>
      <c r="H1658" s="1073"/>
      <c r="I1658" s="1073"/>
      <c r="J1658" s="1073"/>
      <c r="K1658" s="612">
        <v>1.08</v>
      </c>
      <c r="L1658" s="243"/>
      <c r="M1658" s="364"/>
      <c r="O1658" s="218"/>
      <c r="P1658" s="68"/>
      <c r="Q1658" s="217"/>
    </row>
    <row r="1659" spans="1:24" ht="30" customHeight="1" x14ac:dyDescent="0.35">
      <c r="A1659" s="241"/>
      <c r="B1659" s="446"/>
      <c r="C1659" s="458"/>
      <c r="D1659" s="458"/>
      <c r="E1659" s="458"/>
      <c r="F1659" s="458"/>
      <c r="G1659" s="458"/>
      <c r="H1659" s="458"/>
      <c r="I1659" s="458"/>
      <c r="J1659" s="458" t="s">
        <v>2356</v>
      </c>
      <c r="K1659" s="591">
        <f>+K1656*K1657/K1658</f>
        <v>179.90281714716579</v>
      </c>
      <c r="L1659" s="243" t="s">
        <v>8</v>
      </c>
      <c r="M1659" s="173"/>
      <c r="O1659" s="218"/>
      <c r="P1659" s="68"/>
      <c r="Q1659" s="217"/>
    </row>
    <row r="1660" spans="1:24" ht="30" customHeight="1" thickBot="1" x14ac:dyDescent="0.4">
      <c r="A1660" s="241"/>
      <c r="B1660" s="446"/>
      <c r="C1660" s="458"/>
      <c r="D1660" s="458"/>
      <c r="E1660" s="458"/>
      <c r="F1660" s="458"/>
      <c r="G1660" s="592" t="s">
        <v>2358</v>
      </c>
      <c r="H1660" s="458"/>
      <c r="I1660" s="458"/>
      <c r="J1660" s="583">
        <f>VLOOKUP(B1651,'Mil Cost Premiums for PUCs'!$A$4:$R$272,18,FALSE)</f>
        <v>1.1561386038173773</v>
      </c>
      <c r="K1660" s="591">
        <f>+K1659*J1660</f>
        <v>207.99259183933719</v>
      </c>
      <c r="L1660" s="243" t="s">
        <v>8</v>
      </c>
      <c r="M1660" s="173"/>
      <c r="O1660" s="218"/>
      <c r="P1660" s="68"/>
      <c r="Q1660" s="217"/>
    </row>
    <row r="1661" spans="1:24" ht="30" customHeight="1" thickBot="1" x14ac:dyDescent="0.4">
      <c r="A1661" s="1086"/>
      <c r="B1661" s="1086"/>
      <c r="C1661" s="1086"/>
      <c r="D1661" s="1086"/>
      <c r="E1661" s="1086"/>
      <c r="F1661" s="1086"/>
      <c r="G1661" s="1086"/>
      <c r="H1661" s="1086"/>
      <c r="I1661" s="1086"/>
      <c r="J1661" s="1086"/>
      <c r="K1661" s="1086"/>
      <c r="L1661" s="1103"/>
      <c r="M1661" s="173"/>
      <c r="N1661" s="419"/>
      <c r="O1661" s="171"/>
      <c r="P1661" s="216"/>
      <c r="Q1661" s="419"/>
      <c r="R1661" s="219"/>
    </row>
    <row r="1662" spans="1:24" ht="30" customHeight="1" x14ac:dyDescent="0.35">
      <c r="A1662" s="465" t="s">
        <v>278</v>
      </c>
      <c r="B1662" s="539">
        <v>2161</v>
      </c>
      <c r="C1662" s="1096" t="s">
        <v>1017</v>
      </c>
      <c r="D1662" s="1096"/>
      <c r="E1662" s="541" t="s">
        <v>280</v>
      </c>
      <c r="F1662" s="542" t="s">
        <v>8</v>
      </c>
      <c r="G1662" s="543" t="s">
        <v>285</v>
      </c>
      <c r="H1662" s="632">
        <v>8169</v>
      </c>
      <c r="I1662" s="541" t="s">
        <v>281</v>
      </c>
      <c r="J1662" s="1019" t="s">
        <v>2371</v>
      </c>
      <c r="K1662" s="1019"/>
      <c r="L1662" s="1020"/>
      <c r="M1662" s="173"/>
      <c r="N1662" s="68"/>
      <c r="O1662" s="203"/>
      <c r="P1662" s="216"/>
      <c r="Q1662" s="68"/>
      <c r="R1662" s="217"/>
    </row>
    <row r="1663" spans="1:24" ht="30" customHeight="1" x14ac:dyDescent="0.35">
      <c r="A1663" s="588" t="s">
        <v>298</v>
      </c>
      <c r="B1663" s="1038" t="s">
        <v>321</v>
      </c>
      <c r="C1663" s="1038"/>
      <c r="D1663" s="1038"/>
      <c r="E1663" s="23" t="s">
        <v>290</v>
      </c>
      <c r="F1663" s="23" t="s">
        <v>322</v>
      </c>
      <c r="G1663" s="1034" t="s">
        <v>323</v>
      </c>
      <c r="H1663" s="1034"/>
      <c r="I1663" s="509" t="s">
        <v>299</v>
      </c>
      <c r="J1663" s="509"/>
      <c r="K1663" s="1012" t="s">
        <v>292</v>
      </c>
      <c r="L1663" s="1023"/>
      <c r="M1663" s="173"/>
      <c r="N1663" s="68"/>
      <c r="O1663" s="203"/>
      <c r="P1663" s="216"/>
      <c r="Q1663" s="68"/>
      <c r="R1663" s="217"/>
    </row>
    <row r="1664" spans="1:24" ht="45" customHeight="1" x14ac:dyDescent="0.35">
      <c r="A1664" s="241" t="s">
        <v>435</v>
      </c>
      <c r="B1664" s="1116" t="s">
        <v>2876</v>
      </c>
      <c r="C1664" s="1116"/>
      <c r="D1664" s="1116"/>
      <c r="E1664" s="453">
        <f>164-2.51</f>
        <v>161.49</v>
      </c>
      <c r="F1664" s="446" t="s">
        <v>8</v>
      </c>
      <c r="G1664" s="454"/>
      <c r="H1664" s="446"/>
      <c r="I1664" s="446">
        <v>1.01</v>
      </c>
      <c r="J1664" s="446"/>
      <c r="K1664" s="453">
        <f>+E1664*I1664</f>
        <v>163.10490000000001</v>
      </c>
      <c r="L1664" s="243" t="s">
        <v>8</v>
      </c>
      <c r="M1664" s="173"/>
      <c r="N1664" s="68"/>
      <c r="O1664" s="203"/>
      <c r="P1664" s="216"/>
      <c r="Q1664" s="68"/>
      <c r="R1664" s="217"/>
      <c r="T1664" s="208"/>
      <c r="U1664" s="208"/>
      <c r="V1664" s="208"/>
      <c r="W1664" s="208"/>
      <c r="X1664" s="208"/>
    </row>
    <row r="1665" spans="1:24" s="208" customFormat="1" ht="30" customHeight="1" x14ac:dyDescent="0.35">
      <c r="A1665" s="241" t="s">
        <v>436</v>
      </c>
      <c r="B1665" s="1082" t="s">
        <v>1018</v>
      </c>
      <c r="C1665" s="1082"/>
      <c r="D1665" s="1082"/>
      <c r="E1665" s="51">
        <v>126000</v>
      </c>
      <c r="F1665" s="703" t="s">
        <v>1067</v>
      </c>
      <c r="G1665" s="265">
        <f>+H1662</f>
        <v>8169</v>
      </c>
      <c r="H1665" s="508" t="s">
        <v>1015</v>
      </c>
      <c r="I1665" s="446">
        <v>1.02</v>
      </c>
      <c r="J1665" s="446"/>
      <c r="K1665" s="453">
        <f>+(E1665)/H1662*I1665</f>
        <v>15.732647814910026</v>
      </c>
      <c r="L1665" s="243" t="s">
        <v>8</v>
      </c>
      <c r="M1665" s="173"/>
      <c r="N1665" s="68"/>
      <c r="O1665" s="203"/>
      <c r="P1665" s="216"/>
      <c r="Q1665" s="68"/>
      <c r="R1665" s="217"/>
      <c r="S1665" s="203"/>
      <c r="T1665" s="203"/>
      <c r="U1665" s="203"/>
      <c r="V1665" s="203"/>
      <c r="W1665" s="203"/>
      <c r="X1665" s="203"/>
    </row>
    <row r="1666" spans="1:24" ht="30" customHeight="1" x14ac:dyDescent="0.35">
      <c r="A1666" s="241" t="s">
        <v>982</v>
      </c>
      <c r="B1666" s="1082" t="s">
        <v>2946</v>
      </c>
      <c r="C1666" s="1082"/>
      <c r="D1666" s="1082"/>
      <c r="E1666" s="591">
        <v>42.25</v>
      </c>
      <c r="F1666" s="446" t="s">
        <v>1020</v>
      </c>
      <c r="G1666" s="646">
        <f>144/H1662</f>
        <v>1.7627616599338966E-2</v>
      </c>
      <c r="H1666" s="508" t="s">
        <v>1021</v>
      </c>
      <c r="I1666" s="446">
        <v>1.01</v>
      </c>
      <c r="J1666" s="446"/>
      <c r="K1666" s="453">
        <f>+E1666*G1666*I1666</f>
        <v>0.75221446933529201</v>
      </c>
      <c r="L1666" s="243" t="s">
        <v>8</v>
      </c>
      <c r="M1666" s="173"/>
      <c r="N1666" s="68"/>
      <c r="O1666" s="208"/>
      <c r="P1666" s="216"/>
      <c r="Q1666" s="68"/>
      <c r="R1666" s="217"/>
      <c r="S1666" s="208"/>
    </row>
    <row r="1667" spans="1:24" ht="30" customHeight="1" x14ac:dyDescent="0.35">
      <c r="A1667" s="241" t="s">
        <v>360</v>
      </c>
      <c r="B1667" s="1082" t="s">
        <v>2945</v>
      </c>
      <c r="C1667" s="1082"/>
      <c r="D1667" s="1082"/>
      <c r="E1667" s="453">
        <v>3.34</v>
      </c>
      <c r="F1667" s="639" t="s">
        <v>8</v>
      </c>
      <c r="G1667" s="519"/>
      <c r="H1667" s="508"/>
      <c r="I1667" s="446">
        <v>1.01</v>
      </c>
      <c r="J1667" s="446"/>
      <c r="K1667" s="453">
        <f>+E1667*I1667</f>
        <v>3.3733999999999997</v>
      </c>
      <c r="L1667" s="243" t="s">
        <v>8</v>
      </c>
      <c r="M1667" s="173"/>
      <c r="N1667" s="68"/>
      <c r="O1667" s="203"/>
      <c r="P1667" s="216"/>
      <c r="Q1667" s="68"/>
      <c r="R1667" s="217"/>
    </row>
    <row r="1668" spans="1:24" ht="30" customHeight="1" x14ac:dyDescent="0.35">
      <c r="A1668" s="241" t="s">
        <v>360</v>
      </c>
      <c r="B1668" s="1082" t="s">
        <v>1023</v>
      </c>
      <c r="C1668" s="1082"/>
      <c r="D1668" s="1082"/>
      <c r="E1668" s="453">
        <f>+E1667*0.15</f>
        <v>0.501</v>
      </c>
      <c r="F1668" s="639" t="s">
        <v>8</v>
      </c>
      <c r="G1668" s="519"/>
      <c r="H1668" s="508"/>
      <c r="I1668" s="446">
        <v>1.01</v>
      </c>
      <c r="J1668" s="446"/>
      <c r="K1668" s="453">
        <f>+E1668*I1668</f>
        <v>0.50600999999999996</v>
      </c>
      <c r="L1668" s="243" t="s">
        <v>8</v>
      </c>
      <c r="M1668" s="173"/>
      <c r="N1668" s="68"/>
      <c r="O1668" s="203"/>
      <c r="P1668" s="216"/>
      <c r="Q1668" s="68"/>
      <c r="R1668" s="217"/>
    </row>
    <row r="1669" spans="1:24" ht="30" customHeight="1" x14ac:dyDescent="0.35">
      <c r="A1669" s="241" t="s">
        <v>360</v>
      </c>
      <c r="B1669" s="1082" t="s">
        <v>910</v>
      </c>
      <c r="C1669" s="1082"/>
      <c r="D1669" s="1082"/>
      <c r="E1669" s="591">
        <f xml:space="preserve"> 0.58+((1.15+1.71)/2)</f>
        <v>2.0099999999999998</v>
      </c>
      <c r="F1669" s="639" t="s">
        <v>8</v>
      </c>
      <c r="G1669" s="519"/>
      <c r="H1669" s="508"/>
      <c r="I1669" s="446">
        <v>1.01</v>
      </c>
      <c r="J1669" s="446"/>
      <c r="K1669" s="453">
        <f>+E1669*I1669</f>
        <v>2.0301</v>
      </c>
      <c r="L1669" s="243" t="s">
        <v>8</v>
      </c>
      <c r="M1669" s="173"/>
      <c r="N1669" s="68"/>
      <c r="O1669" s="203"/>
      <c r="P1669" s="216"/>
      <c r="Q1669" s="68"/>
      <c r="R1669" s="217"/>
    </row>
    <row r="1670" spans="1:24" ht="30" customHeight="1" x14ac:dyDescent="0.35">
      <c r="A1670" s="241"/>
      <c r="B1670" s="1082"/>
      <c r="C1670" s="1082"/>
      <c r="D1670" s="1082"/>
      <c r="E1670" s="453"/>
      <c r="F1670" s="446"/>
      <c r="G1670" s="519"/>
      <c r="H1670" s="508"/>
      <c r="I1670" s="446"/>
      <c r="J1670" s="446" t="s">
        <v>335</v>
      </c>
      <c r="K1670" s="453">
        <f>SUM(K1664:K1669)</f>
        <v>185.49927228424534</v>
      </c>
      <c r="L1670" s="243" t="s">
        <v>8</v>
      </c>
      <c r="M1670" s="173"/>
      <c r="N1670" s="68"/>
      <c r="O1670" s="203"/>
      <c r="P1670" s="216"/>
      <c r="Q1670" s="68"/>
      <c r="R1670" s="217"/>
    </row>
    <row r="1671" spans="1:24" ht="30" customHeight="1" x14ac:dyDescent="0.35">
      <c r="A1671" s="241"/>
      <c r="B1671" s="506"/>
      <c r="C1671" s="506"/>
      <c r="D1671" s="506"/>
      <c r="E1671" s="453"/>
      <c r="F1671" s="1029" t="s">
        <v>302</v>
      </c>
      <c r="G1671" s="1058" t="s">
        <v>303</v>
      </c>
      <c r="H1671" s="1058"/>
      <c r="I1671" s="1058"/>
      <c r="J1671" s="1058"/>
      <c r="K1671" s="612">
        <v>1.08</v>
      </c>
      <c r="L1671" s="243"/>
      <c r="M1671" s="173"/>
      <c r="N1671" s="68"/>
      <c r="O1671" s="203"/>
      <c r="P1671" s="216"/>
      <c r="Q1671" s="68"/>
      <c r="R1671" s="217"/>
    </row>
    <row r="1672" spans="1:24" ht="30" customHeight="1" x14ac:dyDescent="0.35">
      <c r="A1672" s="241"/>
      <c r="B1672" s="506"/>
      <c r="C1672" s="506"/>
      <c r="D1672" s="506"/>
      <c r="E1672" s="453"/>
      <c r="F1672" s="1029"/>
      <c r="G1672" s="1073" t="s">
        <v>2374</v>
      </c>
      <c r="H1672" s="1073"/>
      <c r="I1672" s="1073"/>
      <c r="J1672" s="1073"/>
      <c r="K1672" s="612">
        <v>1.08</v>
      </c>
      <c r="L1672" s="243"/>
      <c r="M1672" s="173"/>
      <c r="N1672" s="68"/>
      <c r="O1672" s="203"/>
      <c r="P1672" s="216"/>
      <c r="Q1672" s="68"/>
      <c r="R1672" s="217"/>
    </row>
    <row r="1673" spans="1:24" ht="30" customHeight="1" x14ac:dyDescent="0.35">
      <c r="A1673" s="241"/>
      <c r="B1673" s="446"/>
      <c r="C1673" s="458"/>
      <c r="D1673" s="458"/>
      <c r="E1673" s="458"/>
      <c r="F1673" s="458"/>
      <c r="G1673" s="458"/>
      <c r="H1673" s="458"/>
      <c r="I1673" s="458"/>
      <c r="J1673" s="590" t="s">
        <v>2356</v>
      </c>
      <c r="K1673" s="591">
        <f>+K1670*K1671/K1672</f>
        <v>185.49927228424534</v>
      </c>
      <c r="L1673" s="243" t="s">
        <v>8</v>
      </c>
      <c r="M1673" s="173"/>
      <c r="N1673" s="68"/>
      <c r="O1673" s="203"/>
      <c r="P1673" s="216"/>
      <c r="Q1673" s="68"/>
      <c r="R1673" s="217"/>
    </row>
    <row r="1674" spans="1:24" ht="30" customHeight="1" thickBot="1" x14ac:dyDescent="0.4">
      <c r="A1674" s="241"/>
      <c r="B1674" s="446"/>
      <c r="C1674" s="458"/>
      <c r="D1674" s="458"/>
      <c r="E1674" s="458"/>
      <c r="F1674" s="458"/>
      <c r="G1674" s="171"/>
      <c r="H1674" s="458"/>
      <c r="I1674" s="568" t="s">
        <v>2359</v>
      </c>
      <c r="J1674" s="583">
        <f>VLOOKUP(B1662,'Mil Cost Premiums for PUCs'!$A$4:$R$272,18,FALSE)</f>
        <v>1.1561386038173773</v>
      </c>
      <c r="K1674" s="591">
        <f>+K1673*J1674</f>
        <v>214.46286966784692</v>
      </c>
      <c r="L1674" s="243" t="s">
        <v>8</v>
      </c>
      <c r="M1674" s="173"/>
      <c r="N1674" s="419"/>
      <c r="O1674" s="171"/>
      <c r="P1674" s="216"/>
      <c r="Q1674" s="419"/>
      <c r="R1674" s="219"/>
    </row>
    <row r="1675" spans="1:24" ht="30" customHeight="1" thickBot="1" x14ac:dyDescent="0.4">
      <c r="A1675" s="1086"/>
      <c r="B1675" s="1086"/>
      <c r="C1675" s="1086"/>
      <c r="D1675" s="1086"/>
      <c r="E1675" s="1086"/>
      <c r="F1675" s="1086"/>
      <c r="G1675" s="1086"/>
      <c r="H1675" s="1086"/>
      <c r="I1675" s="1086"/>
      <c r="J1675" s="1086"/>
      <c r="K1675" s="1086"/>
      <c r="L1675" s="1103"/>
      <c r="M1675" s="173"/>
      <c r="N1675" s="419"/>
      <c r="O1675" s="171"/>
      <c r="P1675" s="216"/>
      <c r="Q1675" s="419"/>
      <c r="R1675" s="219"/>
    </row>
    <row r="1676" spans="1:24" ht="30" customHeight="1" x14ac:dyDescent="0.35">
      <c r="A1676" s="465" t="s">
        <v>278</v>
      </c>
      <c r="B1676" s="539">
        <v>2162</v>
      </c>
      <c r="C1676" s="1096" t="s">
        <v>1024</v>
      </c>
      <c r="D1676" s="1096"/>
      <c r="E1676" s="541" t="s">
        <v>280</v>
      </c>
      <c r="F1676" s="542" t="s">
        <v>8</v>
      </c>
      <c r="G1676" s="543" t="s">
        <v>285</v>
      </c>
      <c r="H1676" s="632">
        <v>5411</v>
      </c>
      <c r="I1676" s="541" t="s">
        <v>281</v>
      </c>
      <c r="J1676" s="1019" t="s">
        <v>2371</v>
      </c>
      <c r="K1676" s="1019"/>
      <c r="L1676" s="1020"/>
      <c r="M1676" s="173"/>
      <c r="N1676" s="68"/>
      <c r="O1676" s="203"/>
      <c r="P1676" s="216"/>
      <c r="Q1676" s="68"/>
      <c r="R1676" s="217"/>
    </row>
    <row r="1677" spans="1:24" ht="30" customHeight="1" x14ac:dyDescent="0.35">
      <c r="A1677" s="588" t="s">
        <v>298</v>
      </c>
      <c r="B1677" s="1038" t="s">
        <v>321</v>
      </c>
      <c r="C1677" s="1038"/>
      <c r="D1677" s="1038"/>
      <c r="E1677" s="23" t="s">
        <v>290</v>
      </c>
      <c r="F1677" s="23" t="s">
        <v>322</v>
      </c>
      <c r="G1677" s="1034" t="s">
        <v>323</v>
      </c>
      <c r="H1677" s="1034"/>
      <c r="I1677" s="509" t="s">
        <v>299</v>
      </c>
      <c r="J1677" s="509"/>
      <c r="K1677" s="1012" t="s">
        <v>292</v>
      </c>
      <c r="L1677" s="1023"/>
      <c r="M1677" s="173"/>
      <c r="N1677" s="68"/>
      <c r="O1677" s="203"/>
      <c r="P1677" s="216"/>
      <c r="Q1677" s="68"/>
      <c r="R1677" s="217"/>
    </row>
    <row r="1678" spans="1:24" ht="45" customHeight="1" x14ac:dyDescent="0.35">
      <c r="A1678" s="241" t="s">
        <v>435</v>
      </c>
      <c r="B1678" s="1116" t="s">
        <v>2876</v>
      </c>
      <c r="C1678" s="1116"/>
      <c r="D1678" s="1116"/>
      <c r="E1678" s="453">
        <f>164-2.51</f>
        <v>161.49</v>
      </c>
      <c r="F1678" s="446" t="s">
        <v>8</v>
      </c>
      <c r="G1678" s="454"/>
      <c r="H1678" s="446"/>
      <c r="I1678" s="446">
        <v>1.01</v>
      </c>
      <c r="J1678" s="446"/>
      <c r="K1678" s="453">
        <f>+E1678*I1678</f>
        <v>163.10490000000001</v>
      </c>
      <c r="L1678" s="243" t="s">
        <v>8</v>
      </c>
      <c r="M1678" s="173"/>
      <c r="N1678" s="68"/>
      <c r="O1678" s="203"/>
      <c r="P1678" s="216"/>
      <c r="Q1678" s="68"/>
      <c r="R1678" s="217"/>
    </row>
    <row r="1679" spans="1:24" ht="30" customHeight="1" x14ac:dyDescent="0.35">
      <c r="A1679" s="241" t="s">
        <v>982</v>
      </c>
      <c r="B1679" s="1082" t="s">
        <v>2953</v>
      </c>
      <c r="C1679" s="1082"/>
      <c r="D1679" s="1082"/>
      <c r="E1679" s="591">
        <v>42.25</v>
      </c>
      <c r="F1679" s="446" t="s">
        <v>1020</v>
      </c>
      <c r="G1679" s="771">
        <f>144/H1676</f>
        <v>2.6612456107928294E-2</v>
      </c>
      <c r="H1679" s="508" t="s">
        <v>1021</v>
      </c>
      <c r="I1679" s="446">
        <v>1.01</v>
      </c>
      <c r="J1679" s="446"/>
      <c r="K1679" s="453">
        <f>+E1679*G1679*I1679</f>
        <v>1.1356200332655702</v>
      </c>
      <c r="L1679" s="243" t="s">
        <v>8</v>
      </c>
      <c r="M1679" s="173"/>
      <c r="N1679" s="68"/>
      <c r="O1679" s="203"/>
      <c r="P1679" s="216"/>
      <c r="Q1679" s="68"/>
      <c r="R1679" s="217"/>
    </row>
    <row r="1680" spans="1:24" ht="30" customHeight="1" x14ac:dyDescent="0.35">
      <c r="A1680" s="241" t="s">
        <v>360</v>
      </c>
      <c r="B1680" s="1082" t="s">
        <v>1022</v>
      </c>
      <c r="C1680" s="1082"/>
      <c r="D1680" s="1082"/>
      <c r="E1680" s="453">
        <v>3.71</v>
      </c>
      <c r="F1680" s="639" t="s">
        <v>8</v>
      </c>
      <c r="G1680" s="519"/>
      <c r="H1680" s="508"/>
      <c r="I1680" s="446">
        <v>1.01</v>
      </c>
      <c r="J1680" s="446"/>
      <c r="K1680" s="453">
        <f>+E1680*I1680</f>
        <v>3.7471000000000001</v>
      </c>
      <c r="L1680" s="243" t="s">
        <v>8</v>
      </c>
      <c r="M1680" s="173"/>
      <c r="N1680" s="68"/>
      <c r="O1680" s="203"/>
      <c r="P1680" s="216"/>
      <c r="Q1680" s="68"/>
      <c r="R1680" s="217"/>
    </row>
    <row r="1681" spans="1:24" ht="30" customHeight="1" x14ac:dyDescent="0.35">
      <c r="A1681" s="241" t="s">
        <v>360</v>
      </c>
      <c r="B1681" s="1082" t="s">
        <v>1023</v>
      </c>
      <c r="C1681" s="1082"/>
      <c r="D1681" s="1082"/>
      <c r="E1681" s="453">
        <f>+E1680*0.15</f>
        <v>0.55649999999999999</v>
      </c>
      <c r="F1681" s="639" t="s">
        <v>8</v>
      </c>
      <c r="G1681" s="519"/>
      <c r="H1681" s="508"/>
      <c r="I1681" s="446">
        <v>1.01</v>
      </c>
      <c r="J1681" s="446"/>
      <c r="K1681" s="453">
        <f>+E1681*I1681</f>
        <v>0.56206500000000004</v>
      </c>
      <c r="L1681" s="243" t="s">
        <v>8</v>
      </c>
      <c r="M1681" s="173"/>
      <c r="N1681" s="68"/>
      <c r="O1681" s="203"/>
      <c r="P1681" s="216"/>
      <c r="Q1681" s="68"/>
      <c r="R1681" s="217"/>
    </row>
    <row r="1682" spans="1:24" ht="30" customHeight="1" x14ac:dyDescent="0.35">
      <c r="A1682" s="241" t="s">
        <v>360</v>
      </c>
      <c r="B1682" s="1082" t="s">
        <v>910</v>
      </c>
      <c r="C1682" s="1082"/>
      <c r="D1682" s="1082"/>
      <c r="E1682" s="591">
        <f xml:space="preserve"> 0.58+((1.15+1.71)/2)</f>
        <v>2.0099999999999998</v>
      </c>
      <c r="F1682" s="639" t="s">
        <v>8</v>
      </c>
      <c r="G1682" s="519"/>
      <c r="H1682" s="508"/>
      <c r="I1682" s="446">
        <v>1.01</v>
      </c>
      <c r="J1682" s="446"/>
      <c r="K1682" s="453">
        <f>+E1682*I1682</f>
        <v>2.0301</v>
      </c>
      <c r="L1682" s="243" t="s">
        <v>8</v>
      </c>
      <c r="M1682" s="173"/>
      <c r="N1682" s="68"/>
      <c r="O1682" s="203"/>
      <c r="P1682" s="216"/>
      <c r="Q1682" s="68"/>
      <c r="R1682" s="217"/>
    </row>
    <row r="1683" spans="1:24" ht="30" customHeight="1" x14ac:dyDescent="0.35">
      <c r="A1683" s="241" t="s">
        <v>436</v>
      </c>
      <c r="B1683" s="1082" t="s">
        <v>1014</v>
      </c>
      <c r="C1683" s="1082"/>
      <c r="D1683" s="1082"/>
      <c r="E1683" s="51">
        <v>141000</v>
      </c>
      <c r="F1683" s="703" t="s">
        <v>1019</v>
      </c>
      <c r="G1683" s="266">
        <f>+H1676</f>
        <v>5411</v>
      </c>
      <c r="H1683" s="508" t="s">
        <v>1015</v>
      </c>
      <c r="I1683" s="446">
        <v>1.02</v>
      </c>
      <c r="J1683" s="446"/>
      <c r="K1683" s="453">
        <f>+(E1683)/H1676*I1683</f>
        <v>26.579190537793384</v>
      </c>
      <c r="L1683" s="243" t="s">
        <v>8</v>
      </c>
      <c r="M1683" s="173"/>
      <c r="N1683" s="68"/>
      <c r="O1683" s="203"/>
      <c r="P1683" s="216"/>
      <c r="Q1683" s="68"/>
      <c r="R1683" s="217"/>
    </row>
    <row r="1684" spans="1:24" ht="30" customHeight="1" x14ac:dyDescent="0.35">
      <c r="A1684" s="241"/>
      <c r="B1684" s="1082"/>
      <c r="C1684" s="1082"/>
      <c r="D1684" s="1082"/>
      <c r="E1684" s="453"/>
      <c r="F1684" s="446"/>
      <c r="G1684" s="519"/>
      <c r="H1684" s="508"/>
      <c r="I1684" s="446"/>
      <c r="J1684" s="446" t="s">
        <v>335</v>
      </c>
      <c r="K1684" s="453">
        <f>SUM(K1678:K1682)</f>
        <v>170.57978503326558</v>
      </c>
      <c r="L1684" s="243" t="s">
        <v>8</v>
      </c>
      <c r="M1684" s="173"/>
      <c r="N1684" s="68"/>
      <c r="O1684" s="203"/>
      <c r="P1684" s="216"/>
      <c r="Q1684" s="68"/>
      <c r="R1684" s="217"/>
    </row>
    <row r="1685" spans="1:24" ht="30" customHeight="1" x14ac:dyDescent="0.35">
      <c r="A1685" s="241"/>
      <c r="B1685" s="506"/>
      <c r="C1685" s="506"/>
      <c r="D1685" s="506"/>
      <c r="E1685" s="453"/>
      <c r="F1685" s="1029" t="s">
        <v>302</v>
      </c>
      <c r="G1685" s="1058" t="s">
        <v>303</v>
      </c>
      <c r="H1685" s="1058"/>
      <c r="I1685" s="1058"/>
      <c r="J1685" s="1058"/>
      <c r="K1685" s="612">
        <v>1.08</v>
      </c>
      <c r="L1685" s="243"/>
      <c r="M1685" s="173"/>
      <c r="N1685" s="68"/>
      <c r="O1685" s="203"/>
      <c r="P1685" s="216"/>
      <c r="Q1685" s="68"/>
      <c r="R1685" s="217"/>
      <c r="T1685" s="27"/>
      <c r="U1685" s="171"/>
    </row>
    <row r="1686" spans="1:24" ht="30" customHeight="1" x14ac:dyDescent="0.35">
      <c r="A1686" s="241"/>
      <c r="B1686" s="506"/>
      <c r="C1686" s="506"/>
      <c r="D1686" s="506"/>
      <c r="E1686" s="453"/>
      <c r="F1686" s="1029"/>
      <c r="G1686" s="1073" t="s">
        <v>2374</v>
      </c>
      <c r="H1686" s="1073"/>
      <c r="I1686" s="1073"/>
      <c r="J1686" s="1073"/>
      <c r="K1686" s="612">
        <v>1.08</v>
      </c>
      <c r="L1686" s="243"/>
      <c r="M1686" s="173"/>
      <c r="N1686" s="68"/>
      <c r="O1686" s="203"/>
      <c r="P1686" s="216"/>
      <c r="Q1686" s="68"/>
      <c r="R1686" s="217"/>
      <c r="U1686" s="171"/>
    </row>
    <row r="1687" spans="1:24" ht="30" customHeight="1" x14ac:dyDescent="0.35">
      <c r="A1687" s="241"/>
      <c r="B1687" s="446"/>
      <c r="C1687" s="458"/>
      <c r="D1687" s="458"/>
      <c r="E1687" s="458"/>
      <c r="F1687" s="458"/>
      <c r="G1687" s="458"/>
      <c r="H1687" s="458"/>
      <c r="I1687" s="458"/>
      <c r="J1687" s="590" t="s">
        <v>2356</v>
      </c>
      <c r="K1687" s="591">
        <f>+K1684*K1685/K1686</f>
        <v>170.57978503326558</v>
      </c>
      <c r="L1687" s="243" t="s">
        <v>8</v>
      </c>
      <c r="M1687" s="173"/>
      <c r="N1687" s="214"/>
      <c r="O1687" s="207"/>
      <c r="P1687" s="27"/>
      <c r="Q1687" s="27"/>
      <c r="R1687" s="27"/>
      <c r="S1687" s="27"/>
    </row>
    <row r="1688" spans="1:24" ht="30" customHeight="1" x14ac:dyDescent="0.35">
      <c r="A1688" s="241"/>
      <c r="B1688" s="446"/>
      <c r="C1688" s="458"/>
      <c r="D1688" s="458"/>
      <c r="E1688" s="458"/>
      <c r="F1688" s="458"/>
      <c r="G1688" s="171"/>
      <c r="H1688" s="458"/>
      <c r="I1688" s="568" t="s">
        <v>2359</v>
      </c>
      <c r="J1688" s="583">
        <f>VLOOKUP(B1676,'Mil Cost Premiums for PUCs'!$A$4:$R$272,18,FALSE)</f>
        <v>1.1561386038173773</v>
      </c>
      <c r="K1688" s="591">
        <f>+K1687*J1688</f>
        <v>197.21387450782802</v>
      </c>
      <c r="L1688" s="243" t="s">
        <v>8</v>
      </c>
      <c r="M1688" s="173"/>
      <c r="T1688" s="208"/>
      <c r="U1688" s="208"/>
      <c r="V1688" s="208"/>
      <c r="W1688" s="208"/>
      <c r="X1688" s="208"/>
    </row>
    <row r="1689" spans="1:24" s="208" customFormat="1" ht="60" customHeight="1" x14ac:dyDescent="0.35">
      <c r="A1689" s="1121" t="s">
        <v>305</v>
      </c>
      <c r="B1689" s="1122"/>
      <c r="C1689" s="1122"/>
      <c r="D1689" s="1122"/>
      <c r="E1689" s="1122"/>
      <c r="F1689" s="1122"/>
      <c r="G1689" s="1122"/>
      <c r="H1689" s="1122"/>
      <c r="I1689" s="1122"/>
      <c r="J1689" s="1122"/>
      <c r="K1689" s="1122"/>
      <c r="L1689" s="1123"/>
      <c r="M1689" s="173"/>
      <c r="N1689" s="68"/>
      <c r="O1689" s="203"/>
      <c r="P1689" s="216"/>
      <c r="Q1689" s="68"/>
      <c r="R1689" s="217"/>
      <c r="S1689" s="203"/>
      <c r="T1689" s="203"/>
      <c r="U1689" s="203"/>
      <c r="V1689" s="203"/>
      <c r="W1689" s="203"/>
      <c r="X1689" s="203"/>
    </row>
    <row r="1690" spans="1:24" ht="30" customHeight="1" x14ac:dyDescent="0.35">
      <c r="A1690" s="1077" t="s">
        <v>306</v>
      </c>
      <c r="B1690" s="1116"/>
      <c r="C1690" s="1116"/>
      <c r="D1690" s="1067" t="s">
        <v>1025</v>
      </c>
      <c r="E1690" s="1067"/>
      <c r="F1690" s="1067"/>
      <c r="G1690" s="1067"/>
      <c r="H1690" s="1067"/>
      <c r="I1690" s="1067"/>
      <c r="J1690" s="1067"/>
      <c r="K1690" s="1067"/>
      <c r="L1690" s="1126"/>
      <c r="M1690" s="173"/>
      <c r="N1690" s="264"/>
      <c r="O1690" s="203"/>
      <c r="P1690" s="216"/>
      <c r="Q1690" s="68"/>
      <c r="R1690" s="217"/>
    </row>
    <row r="1691" spans="1:24" ht="30" customHeight="1" x14ac:dyDescent="0.35">
      <c r="A1691" s="1077" t="s">
        <v>307</v>
      </c>
      <c r="B1691" s="1116"/>
      <c r="C1691" s="1116"/>
      <c r="D1691" s="1067" t="s">
        <v>951</v>
      </c>
      <c r="E1691" s="1067"/>
      <c r="F1691" s="1067"/>
      <c r="G1691" s="1067"/>
      <c r="H1691" s="1067"/>
      <c r="I1691" s="1067"/>
      <c r="J1691" s="1067"/>
      <c r="K1691" s="1067"/>
      <c r="L1691" s="1126"/>
      <c r="M1691" s="173"/>
      <c r="N1691" s="264"/>
      <c r="O1691" s="203"/>
      <c r="P1691" s="216"/>
      <c r="Q1691" s="68"/>
      <c r="R1691" s="217"/>
    </row>
    <row r="1692" spans="1:24" ht="30" customHeight="1" x14ac:dyDescent="0.35">
      <c r="A1692" s="1077" t="s">
        <v>308</v>
      </c>
      <c r="B1692" s="1116"/>
      <c r="C1692" s="1116"/>
      <c r="D1692" s="1067" t="s">
        <v>2952</v>
      </c>
      <c r="E1692" s="1067"/>
      <c r="F1692" s="1067"/>
      <c r="G1692" s="1067"/>
      <c r="H1692" s="1067"/>
      <c r="I1692" s="1067"/>
      <c r="J1692" s="1067"/>
      <c r="K1692" s="1067"/>
      <c r="L1692" s="1126"/>
      <c r="M1692" s="173"/>
      <c r="N1692" s="68"/>
      <c r="O1692" s="203"/>
      <c r="P1692" s="216"/>
      <c r="Q1692" s="68"/>
      <c r="R1692" s="217"/>
    </row>
    <row r="1693" spans="1:24" ht="30" customHeight="1" x14ac:dyDescent="0.35">
      <c r="A1693" s="1077" t="s">
        <v>309</v>
      </c>
      <c r="B1693" s="1116"/>
      <c r="C1693" s="1116"/>
      <c r="D1693" s="1067" t="s">
        <v>952</v>
      </c>
      <c r="E1693" s="1067"/>
      <c r="F1693" s="1067"/>
      <c r="G1693" s="1067"/>
      <c r="H1693" s="1067"/>
      <c r="I1693" s="1067"/>
      <c r="J1693" s="1067"/>
      <c r="K1693" s="1067"/>
      <c r="L1693" s="1126"/>
      <c r="M1693" s="173"/>
      <c r="N1693" s="68"/>
      <c r="O1693" s="203"/>
      <c r="P1693" s="216"/>
      <c r="Q1693" s="68"/>
      <c r="R1693" s="217"/>
    </row>
    <row r="1694" spans="1:24" ht="30" customHeight="1" x14ac:dyDescent="0.35">
      <c r="A1694" s="1077" t="s">
        <v>311</v>
      </c>
      <c r="B1694" s="1116"/>
      <c r="C1694" s="1116"/>
      <c r="D1694" s="1067" t="s">
        <v>2202</v>
      </c>
      <c r="E1694" s="1067"/>
      <c r="F1694" s="1067"/>
      <c r="G1694" s="1067"/>
      <c r="H1694" s="1067"/>
      <c r="I1694" s="1067"/>
      <c r="J1694" s="1067"/>
      <c r="K1694" s="1067"/>
      <c r="L1694" s="1126"/>
      <c r="M1694" s="173"/>
      <c r="N1694" s="68"/>
      <c r="O1694" s="208"/>
      <c r="P1694" s="216"/>
      <c r="Q1694" s="68"/>
      <c r="R1694" s="217"/>
      <c r="S1694" s="208"/>
    </row>
    <row r="1695" spans="1:24" ht="30" customHeight="1" x14ac:dyDescent="0.35">
      <c r="A1695" s="1077" t="s">
        <v>313</v>
      </c>
      <c r="B1695" s="1116"/>
      <c r="C1695" s="1116"/>
      <c r="D1695" s="1129" t="s">
        <v>942</v>
      </c>
      <c r="E1695" s="1129"/>
      <c r="F1695" s="1129"/>
      <c r="G1695" s="1129"/>
      <c r="H1695" s="1129"/>
      <c r="I1695" s="1129"/>
      <c r="J1695" s="1129"/>
      <c r="K1695" s="1129"/>
      <c r="L1695" s="1130"/>
      <c r="M1695" s="173"/>
      <c r="N1695" s="68"/>
      <c r="O1695" s="203"/>
      <c r="P1695" s="216"/>
      <c r="Q1695" s="68"/>
      <c r="R1695" s="217"/>
    </row>
    <row r="1696" spans="1:24" ht="30" customHeight="1" x14ac:dyDescent="0.35">
      <c r="A1696" s="1077" t="s">
        <v>315</v>
      </c>
      <c r="B1696" s="1116"/>
      <c r="C1696" s="1116"/>
      <c r="D1696" s="1129" t="s">
        <v>852</v>
      </c>
      <c r="E1696" s="1129"/>
      <c r="F1696" s="1129"/>
      <c r="G1696" s="1129"/>
      <c r="H1696" s="1129"/>
      <c r="I1696" s="1129"/>
      <c r="J1696" s="1129"/>
      <c r="K1696" s="1129"/>
      <c r="L1696" s="1130"/>
      <c r="M1696" s="173"/>
      <c r="N1696" s="68"/>
      <c r="O1696" s="203"/>
      <c r="P1696" s="216"/>
      <c r="Q1696" s="68"/>
      <c r="R1696" s="217"/>
    </row>
    <row r="1697" spans="1:24" ht="75" customHeight="1" x14ac:dyDescent="0.35">
      <c r="A1697" s="1077" t="s">
        <v>316</v>
      </c>
      <c r="B1697" s="1116"/>
      <c r="C1697" s="1116"/>
      <c r="D1697" s="1118" t="s">
        <v>1026</v>
      </c>
      <c r="E1697" s="1118"/>
      <c r="F1697" s="1118"/>
      <c r="G1697" s="1118"/>
      <c r="H1697" s="1118"/>
      <c r="I1697" s="1118"/>
      <c r="J1697" s="1118"/>
      <c r="K1697" s="1118"/>
      <c r="L1697" s="1119"/>
      <c r="M1697" s="363"/>
      <c r="N1697" s="419"/>
      <c r="O1697" s="171"/>
      <c r="P1697" s="216"/>
      <c r="Q1697" s="419"/>
      <c r="R1697" s="219"/>
    </row>
    <row r="1698" spans="1:24" ht="30" customHeight="1" thickBot="1" x14ac:dyDescent="0.4">
      <c r="A1698" s="1077" t="s">
        <v>318</v>
      </c>
      <c r="B1698" s="1116"/>
      <c r="C1698" s="1116"/>
      <c r="D1698" s="1068" t="s">
        <v>2879</v>
      </c>
      <c r="E1698" s="1068"/>
      <c r="F1698" s="1068"/>
      <c r="G1698" s="1068"/>
      <c r="H1698" s="1068"/>
      <c r="I1698" s="1068"/>
      <c r="J1698" s="1068"/>
      <c r="K1698" s="1068"/>
      <c r="L1698" s="1120"/>
      <c r="M1698" s="173"/>
      <c r="N1698" s="419"/>
      <c r="O1698" s="171"/>
      <c r="P1698" s="216"/>
      <c r="Q1698" s="419"/>
      <c r="R1698" s="219"/>
    </row>
    <row r="1699" spans="1:24" ht="30" customHeight="1" thickBot="1" x14ac:dyDescent="0.4">
      <c r="A1699" s="1086"/>
      <c r="B1699" s="1086"/>
      <c r="C1699" s="1086"/>
      <c r="D1699" s="1086"/>
      <c r="E1699" s="1086"/>
      <c r="F1699" s="1086"/>
      <c r="G1699" s="1086"/>
      <c r="H1699" s="1086"/>
      <c r="I1699" s="1086"/>
      <c r="J1699" s="1086"/>
      <c r="K1699" s="1086"/>
      <c r="L1699" s="1103"/>
      <c r="M1699" s="173"/>
      <c r="N1699" s="68"/>
      <c r="O1699" s="203"/>
      <c r="P1699" s="216"/>
      <c r="Q1699" s="68"/>
      <c r="R1699" s="217"/>
    </row>
    <row r="1700" spans="1:24" ht="30" customHeight="1" x14ac:dyDescent="0.35">
      <c r="A1700" s="465" t="s">
        <v>278</v>
      </c>
      <c r="B1700" s="539">
        <v>2163</v>
      </c>
      <c r="C1700" s="1138" t="s">
        <v>1027</v>
      </c>
      <c r="D1700" s="1138"/>
      <c r="E1700" s="541" t="s">
        <v>280</v>
      </c>
      <c r="F1700" s="542" t="s">
        <v>8</v>
      </c>
      <c r="G1700" s="543" t="s">
        <v>285</v>
      </c>
      <c r="H1700" s="756">
        <v>45756</v>
      </c>
      <c r="I1700" s="541" t="s">
        <v>281</v>
      </c>
      <c r="J1700" s="1019" t="s">
        <v>2371</v>
      </c>
      <c r="K1700" s="1019"/>
      <c r="L1700" s="1020"/>
      <c r="M1700" s="173"/>
      <c r="N1700" s="68"/>
      <c r="O1700" s="203"/>
      <c r="P1700" s="216"/>
      <c r="Q1700" s="68"/>
      <c r="R1700" s="217"/>
      <c r="U1700" s="27"/>
      <c r="V1700" s="27"/>
      <c r="W1700" s="27"/>
      <c r="X1700" s="27"/>
    </row>
    <row r="1701" spans="1:24" s="27" customFormat="1" ht="30" customHeight="1" x14ac:dyDescent="0.35">
      <c r="A1701" s="588" t="s">
        <v>298</v>
      </c>
      <c r="B1701" s="1038" t="s">
        <v>321</v>
      </c>
      <c r="C1701" s="1038"/>
      <c r="D1701" s="1038"/>
      <c r="E1701" s="510" t="s">
        <v>290</v>
      </c>
      <c r="F1701" s="510" t="s">
        <v>322</v>
      </c>
      <c r="G1701" s="1012" t="s">
        <v>323</v>
      </c>
      <c r="H1701" s="1012"/>
      <c r="I1701" s="509" t="s">
        <v>299</v>
      </c>
      <c r="J1701" s="509"/>
      <c r="K1701" s="1012" t="s">
        <v>292</v>
      </c>
      <c r="L1701" s="1023"/>
      <c r="M1701" s="173"/>
      <c r="N1701" s="68"/>
      <c r="O1701" s="203"/>
      <c r="P1701" s="216"/>
      <c r="Q1701" s="68"/>
      <c r="R1701" s="217"/>
      <c r="S1701" s="203"/>
      <c r="T1701" s="213"/>
      <c r="U1701" s="208"/>
      <c r="V1701" s="208"/>
      <c r="W1701" s="208"/>
      <c r="X1701" s="208"/>
    </row>
    <row r="1702" spans="1:24" s="208" customFormat="1" ht="30" customHeight="1" x14ac:dyDescent="0.35">
      <c r="A1702" s="241" t="s">
        <v>435</v>
      </c>
      <c r="B1702" s="1116" t="s">
        <v>2876</v>
      </c>
      <c r="C1702" s="1116"/>
      <c r="D1702" s="1116"/>
      <c r="E1702" s="453">
        <f>164-2.51</f>
        <v>161.49</v>
      </c>
      <c r="F1702" s="446" t="s">
        <v>8</v>
      </c>
      <c r="G1702" s="454"/>
      <c r="H1702" s="446"/>
      <c r="I1702" s="446">
        <v>1.01</v>
      </c>
      <c r="J1702" s="446"/>
      <c r="K1702" s="453">
        <f>+E1702*I1702</f>
        <v>163.10490000000001</v>
      </c>
      <c r="L1702" s="243" t="s">
        <v>8</v>
      </c>
      <c r="M1702" s="363"/>
      <c r="N1702" s="203"/>
      <c r="O1702" s="205"/>
      <c r="P1702" s="203"/>
      <c r="Q1702" s="203"/>
      <c r="R1702" s="203"/>
      <c r="S1702" s="203"/>
      <c r="T1702" s="51"/>
      <c r="U1702" s="203"/>
      <c r="V1702" s="203"/>
      <c r="W1702" s="203"/>
      <c r="X1702" s="203"/>
    </row>
    <row r="1703" spans="1:24" ht="30" customHeight="1" x14ac:dyDescent="0.35">
      <c r="A1703" s="241" t="s">
        <v>436</v>
      </c>
      <c r="B1703" s="1082" t="s">
        <v>2203</v>
      </c>
      <c r="C1703" s="1082"/>
      <c r="D1703" s="1082"/>
      <c r="E1703" s="591">
        <v>177000</v>
      </c>
      <c r="F1703" s="446" t="s">
        <v>1067</v>
      </c>
      <c r="G1703" s="770">
        <f>+H1700</f>
        <v>45756</v>
      </c>
      <c r="H1703" s="508" t="s">
        <v>1015</v>
      </c>
      <c r="I1703" s="446">
        <v>1.02</v>
      </c>
      <c r="J1703" s="446"/>
      <c r="K1703" s="453">
        <f>+(E1703/G1703)*2*I1703</f>
        <v>7.8914240755310781</v>
      </c>
      <c r="L1703" s="243" t="s">
        <v>8</v>
      </c>
      <c r="M1703" s="173"/>
      <c r="N1703" s="208"/>
      <c r="P1703" s="75"/>
      <c r="Q1703" s="75"/>
      <c r="R1703" s="75"/>
      <c r="S1703" s="213"/>
      <c r="T1703" s="27"/>
      <c r="U1703" s="171"/>
    </row>
    <row r="1704" spans="1:24" ht="30" customHeight="1" x14ac:dyDescent="0.35">
      <c r="A1704" s="241" t="s">
        <v>360</v>
      </c>
      <c r="B1704" s="1082" t="s">
        <v>2877</v>
      </c>
      <c r="C1704" s="1082"/>
      <c r="D1704" s="1082"/>
      <c r="E1704" s="453">
        <v>3.06</v>
      </c>
      <c r="F1704" s="446" t="s">
        <v>8</v>
      </c>
      <c r="G1704" s="519"/>
      <c r="H1704" s="508"/>
      <c r="I1704" s="446">
        <v>1.01</v>
      </c>
      <c r="J1704" s="446"/>
      <c r="K1704" s="453">
        <f>+E1704*I1704</f>
        <v>3.0906000000000002</v>
      </c>
      <c r="L1704" s="243" t="s">
        <v>8</v>
      </c>
      <c r="M1704" s="173"/>
      <c r="P1704" s="171"/>
      <c r="Q1704" s="171"/>
      <c r="R1704" s="171"/>
      <c r="S1704" s="51"/>
      <c r="U1704" s="171"/>
    </row>
    <row r="1705" spans="1:24" ht="30" customHeight="1" x14ac:dyDescent="0.35">
      <c r="A1705" s="241" t="s">
        <v>360</v>
      </c>
      <c r="B1705" s="1082" t="s">
        <v>1023</v>
      </c>
      <c r="C1705" s="1082"/>
      <c r="D1705" s="1082"/>
      <c r="E1705" s="453">
        <f>+E1704*0.15</f>
        <v>0.45899999999999996</v>
      </c>
      <c r="F1705" s="446"/>
      <c r="G1705" s="519"/>
      <c r="H1705" s="508"/>
      <c r="I1705" s="446">
        <v>1.01</v>
      </c>
      <c r="J1705" s="446"/>
      <c r="K1705" s="453">
        <f>+E1705*I1705</f>
        <v>0.46358999999999995</v>
      </c>
      <c r="L1705" s="243"/>
      <c r="M1705" s="173"/>
      <c r="N1705" s="214"/>
      <c r="O1705" s="207"/>
      <c r="P1705" s="27"/>
      <c r="Q1705" s="27"/>
      <c r="R1705" s="27"/>
      <c r="S1705" s="27"/>
      <c r="U1705" s="27"/>
      <c r="V1705" s="27"/>
      <c r="W1705" s="27"/>
      <c r="X1705" s="27"/>
    </row>
    <row r="1706" spans="1:24" s="27" customFormat="1" ht="30" customHeight="1" x14ac:dyDescent="0.35">
      <c r="A1706" s="241" t="s">
        <v>360</v>
      </c>
      <c r="B1706" s="1082" t="s">
        <v>910</v>
      </c>
      <c r="C1706" s="1082"/>
      <c r="D1706" s="1082"/>
      <c r="E1706" s="591">
        <f xml:space="preserve"> 0.58+((1.15+1.71)/2)</f>
        <v>2.0099999999999998</v>
      </c>
      <c r="F1706" s="446"/>
      <c r="G1706" s="519"/>
      <c r="H1706" s="508"/>
      <c r="I1706" s="446">
        <v>1.01</v>
      </c>
      <c r="J1706" s="446"/>
      <c r="K1706" s="453">
        <f>+E1706*I1706</f>
        <v>2.0301</v>
      </c>
      <c r="L1706" s="243"/>
      <c r="M1706" s="173"/>
      <c r="N1706" s="203"/>
      <c r="O1706" s="205"/>
      <c r="P1706" s="203"/>
      <c r="Q1706" s="203"/>
      <c r="R1706" s="203"/>
      <c r="S1706" s="203"/>
      <c r="T1706" s="213"/>
      <c r="U1706" s="208"/>
      <c r="V1706" s="208"/>
      <c r="W1706" s="208"/>
      <c r="X1706" s="208"/>
    </row>
    <row r="1707" spans="1:24" s="208" customFormat="1" ht="30" customHeight="1" x14ac:dyDescent="0.35">
      <c r="A1707" s="241"/>
      <c r="B1707" s="1082"/>
      <c r="C1707" s="1082"/>
      <c r="D1707" s="1082"/>
      <c r="E1707" s="453"/>
      <c r="F1707" s="446"/>
      <c r="G1707" s="519"/>
      <c r="H1707" s="508"/>
      <c r="I1707" s="446"/>
      <c r="J1707" s="446" t="s">
        <v>335</v>
      </c>
      <c r="K1707" s="453">
        <f>SUM(K1702:K1706)</f>
        <v>176.58061407553112</v>
      </c>
      <c r="L1707" s="243" t="s">
        <v>8</v>
      </c>
      <c r="M1707" s="173"/>
      <c r="N1707" s="203"/>
      <c r="O1707" s="205"/>
      <c r="P1707" s="203"/>
      <c r="Q1707" s="203"/>
      <c r="R1707" s="203"/>
      <c r="S1707" s="203"/>
      <c r="T1707" s="51"/>
      <c r="U1707" s="203"/>
      <c r="V1707" s="203"/>
      <c r="W1707" s="203"/>
      <c r="X1707" s="203"/>
    </row>
    <row r="1708" spans="1:24" ht="30" customHeight="1" x14ac:dyDescent="0.35">
      <c r="A1708" s="241"/>
      <c r="B1708" s="506"/>
      <c r="C1708" s="506"/>
      <c r="D1708" s="506"/>
      <c r="E1708" s="453"/>
      <c r="F1708" s="1029" t="s">
        <v>302</v>
      </c>
      <c r="G1708" s="1281" t="s">
        <v>303</v>
      </c>
      <c r="H1708" s="1281"/>
      <c r="I1708" s="1281"/>
      <c r="J1708" s="1281"/>
      <c r="K1708" s="612">
        <v>1.08</v>
      </c>
      <c r="L1708" s="243"/>
      <c r="M1708" s="173"/>
      <c r="N1708" s="208"/>
      <c r="P1708" s="75"/>
      <c r="Q1708" s="75"/>
      <c r="R1708" s="75"/>
      <c r="S1708" s="213"/>
    </row>
    <row r="1709" spans="1:24" ht="30" customHeight="1" x14ac:dyDescent="0.35">
      <c r="A1709" s="241"/>
      <c r="B1709" s="506"/>
      <c r="C1709" s="506"/>
      <c r="D1709" s="506"/>
      <c r="E1709" s="453"/>
      <c r="F1709" s="1029"/>
      <c r="G1709" s="1073" t="s">
        <v>2374</v>
      </c>
      <c r="H1709" s="1073"/>
      <c r="I1709" s="1073"/>
      <c r="J1709" s="1073"/>
      <c r="K1709" s="612">
        <v>1.08</v>
      </c>
      <c r="L1709" s="243"/>
      <c r="M1709" s="173"/>
      <c r="P1709" s="171"/>
      <c r="Q1709" s="171"/>
      <c r="R1709" s="171"/>
      <c r="S1709" s="51"/>
    </row>
    <row r="1710" spans="1:24" ht="30" customHeight="1" x14ac:dyDescent="0.35">
      <c r="A1710" s="241"/>
      <c r="B1710" s="446"/>
      <c r="C1710" s="458"/>
      <c r="D1710" s="458"/>
      <c r="E1710" s="458"/>
      <c r="F1710" s="458"/>
      <c r="G1710" s="458"/>
      <c r="H1710" s="458"/>
      <c r="I1710" s="458"/>
      <c r="J1710" s="458" t="s">
        <v>2356</v>
      </c>
      <c r="K1710" s="591">
        <f>+K1707*K1708/K1709</f>
        <v>176.58061407553112</v>
      </c>
      <c r="L1710" s="243" t="s">
        <v>8</v>
      </c>
      <c r="M1710" s="173"/>
      <c r="N1710" s="68"/>
      <c r="O1710" s="203"/>
      <c r="P1710" s="216"/>
      <c r="Q1710" s="68"/>
      <c r="R1710" s="217"/>
    </row>
    <row r="1711" spans="1:24" ht="30" customHeight="1" thickBot="1" x14ac:dyDescent="0.4">
      <c r="A1711" s="241"/>
      <c r="B1711" s="446"/>
      <c r="C1711" s="458"/>
      <c r="D1711" s="458"/>
      <c r="E1711" s="458"/>
      <c r="F1711" s="458"/>
      <c r="G1711" s="592" t="s">
        <v>2358</v>
      </c>
      <c r="H1711" s="458"/>
      <c r="I1711" s="458"/>
      <c r="J1711" s="583">
        <f>VLOOKUP(B1700,'Mil Cost Premiums for PUCs'!$A$4:$R$272,18,FALSE)</f>
        <v>1.1561386038173773</v>
      </c>
      <c r="K1711" s="591">
        <f>+K1710*J1711</f>
        <v>204.15166461849967</v>
      </c>
      <c r="L1711" s="243" t="s">
        <v>8</v>
      </c>
      <c r="M1711" s="173"/>
      <c r="N1711" s="68"/>
      <c r="O1711" s="203"/>
      <c r="P1711" s="216"/>
      <c r="Q1711" s="68"/>
      <c r="R1711" s="217"/>
      <c r="T1711" s="208"/>
      <c r="U1711" s="208"/>
      <c r="V1711" s="208"/>
      <c r="W1711" s="208"/>
      <c r="X1711" s="208"/>
    </row>
    <row r="1712" spans="1:24" s="208" customFormat="1" ht="30" customHeight="1" thickBot="1" x14ac:dyDescent="0.4">
      <c r="A1712" s="1086"/>
      <c r="B1712" s="1086"/>
      <c r="C1712" s="1086"/>
      <c r="D1712" s="1086"/>
      <c r="E1712" s="1086"/>
      <c r="F1712" s="1086"/>
      <c r="G1712" s="1086"/>
      <c r="H1712" s="1086"/>
      <c r="I1712" s="1086"/>
      <c r="J1712" s="1086"/>
      <c r="K1712" s="1086"/>
      <c r="L1712" s="1103"/>
      <c r="M1712" s="173"/>
      <c r="N1712" s="68"/>
      <c r="O1712" s="203"/>
      <c r="P1712" s="216"/>
      <c r="Q1712" s="68"/>
      <c r="R1712" s="217"/>
      <c r="S1712" s="203"/>
      <c r="T1712" s="203"/>
      <c r="U1712" s="203"/>
      <c r="V1712" s="203"/>
      <c r="W1712" s="203"/>
      <c r="X1712" s="203"/>
    </row>
    <row r="1713" spans="1:24" ht="30" customHeight="1" x14ac:dyDescent="0.35">
      <c r="A1713" s="465" t="s">
        <v>278</v>
      </c>
      <c r="B1713" s="539">
        <v>2171</v>
      </c>
      <c r="C1713" s="1060" t="s">
        <v>1028</v>
      </c>
      <c r="D1713" s="1060"/>
      <c r="E1713" s="541" t="s">
        <v>280</v>
      </c>
      <c r="F1713" s="542" t="s">
        <v>8</v>
      </c>
      <c r="G1713" s="543" t="s">
        <v>285</v>
      </c>
      <c r="H1713" s="569">
        <v>7518</v>
      </c>
      <c r="I1713" s="541" t="s">
        <v>281</v>
      </c>
      <c r="J1713" s="1019" t="s">
        <v>923</v>
      </c>
      <c r="K1713" s="1019"/>
      <c r="L1713" s="1020"/>
      <c r="M1713" s="173"/>
      <c r="N1713" s="68"/>
      <c r="O1713" s="208"/>
      <c r="P1713" s="218"/>
      <c r="Q1713" s="68"/>
      <c r="R1713" s="217"/>
      <c r="S1713" s="208"/>
    </row>
    <row r="1714" spans="1:24" ht="30" customHeight="1" x14ac:dyDescent="0.35">
      <c r="A1714" s="545" t="s">
        <v>288</v>
      </c>
      <c r="B1714" s="1051" t="s">
        <v>282</v>
      </c>
      <c r="C1714" s="1051"/>
      <c r="D1714" s="1051"/>
      <c r="E1714" s="561" t="s">
        <v>290</v>
      </c>
      <c r="F1714" s="509" t="s">
        <v>289</v>
      </c>
      <c r="G1714" s="1094" t="s">
        <v>2</v>
      </c>
      <c r="H1714" s="1094"/>
      <c r="I1714" s="1052" t="s">
        <v>2328</v>
      </c>
      <c r="J1714" s="1052"/>
      <c r="K1714" s="1012" t="s">
        <v>292</v>
      </c>
      <c r="L1714" s="1023"/>
      <c r="M1714" s="173"/>
      <c r="N1714" s="68"/>
      <c r="O1714" s="203"/>
      <c r="P1714" s="218"/>
      <c r="Q1714" s="68"/>
      <c r="R1714" s="217"/>
    </row>
    <row r="1715" spans="1:24" ht="30" customHeight="1" x14ac:dyDescent="0.35">
      <c r="A1715" s="241">
        <v>21710</v>
      </c>
      <c r="B1715" s="1031" t="s">
        <v>1029</v>
      </c>
      <c r="C1715" s="1031"/>
      <c r="D1715" s="1031"/>
      <c r="E1715" s="453">
        <v>152.35</v>
      </c>
      <c r="F1715" s="694">
        <v>17000</v>
      </c>
      <c r="G1715" s="462" t="s">
        <v>8</v>
      </c>
      <c r="H1715" s="462"/>
      <c r="I1715" s="1044">
        <f>+'2021 MILCON Inflation Table'!$F$13</f>
        <v>1.1643998639918394</v>
      </c>
      <c r="J1715" s="1044"/>
      <c r="K1715" s="463">
        <f>+E1715*I1715</f>
        <v>177.39631927915673</v>
      </c>
      <c r="L1715" s="564" t="s">
        <v>8</v>
      </c>
      <c r="M1715" s="173"/>
      <c r="N1715" s="419"/>
      <c r="O1715" s="171"/>
      <c r="P1715" s="216"/>
      <c r="Q1715" s="419"/>
      <c r="R1715" s="219"/>
    </row>
    <row r="1716" spans="1:24" ht="30" customHeight="1" thickBot="1" x14ac:dyDescent="0.4">
      <c r="A1716" s="241"/>
      <c r="B1716" s="1031"/>
      <c r="C1716" s="1031"/>
      <c r="D1716" s="1031"/>
      <c r="E1716" s="553"/>
      <c r="F1716" s="706"/>
      <c r="G1716" s="553"/>
      <c r="H1716" s="707"/>
      <c r="I1716" s="458"/>
      <c r="J1716" s="510" t="s">
        <v>2356</v>
      </c>
      <c r="K1716" s="459">
        <f>AVERAGE(K1715:K1715)</f>
        <v>177.39631927915673</v>
      </c>
      <c r="L1716" s="564" t="s">
        <v>8</v>
      </c>
      <c r="M1716" s="173"/>
      <c r="N1716" s="419"/>
      <c r="O1716" s="171"/>
      <c r="P1716" s="216"/>
      <c r="Q1716" s="419"/>
      <c r="R1716" s="219"/>
      <c r="T1716" s="51"/>
      <c r="U1716" s="171"/>
    </row>
    <row r="1717" spans="1:24" ht="30" customHeight="1" thickBot="1" x14ac:dyDescent="0.4">
      <c r="A1717" s="1086"/>
      <c r="B1717" s="1086"/>
      <c r="C1717" s="1086"/>
      <c r="D1717" s="1086"/>
      <c r="E1717" s="1086"/>
      <c r="F1717" s="1086"/>
      <c r="G1717" s="1086"/>
      <c r="H1717" s="1086"/>
      <c r="I1717" s="1086"/>
      <c r="J1717" s="1086"/>
      <c r="K1717" s="1086"/>
      <c r="L1717" s="1103"/>
      <c r="M1717" s="173"/>
      <c r="N1717" s="68"/>
      <c r="O1717" s="203"/>
      <c r="P1717" s="218"/>
      <c r="Q1717" s="68"/>
      <c r="R1717" s="217"/>
      <c r="T1717" s="51"/>
      <c r="U1717" s="171"/>
    </row>
    <row r="1718" spans="1:24" ht="30" customHeight="1" x14ac:dyDescent="0.35">
      <c r="A1718" s="465" t="s">
        <v>278</v>
      </c>
      <c r="B1718" s="539">
        <v>2172</v>
      </c>
      <c r="C1718" s="1060" t="s">
        <v>1030</v>
      </c>
      <c r="D1718" s="1060"/>
      <c r="E1718" s="541" t="s">
        <v>280</v>
      </c>
      <c r="F1718" s="542" t="s">
        <v>8</v>
      </c>
      <c r="G1718" s="543" t="s">
        <v>285</v>
      </c>
      <c r="H1718" s="569">
        <v>17757</v>
      </c>
      <c r="I1718" s="541" t="s">
        <v>281</v>
      </c>
      <c r="J1718" s="1019" t="s">
        <v>923</v>
      </c>
      <c r="K1718" s="1019"/>
      <c r="L1718" s="1020"/>
      <c r="M1718" s="173"/>
      <c r="P1718" s="171"/>
      <c r="Q1718" s="171"/>
      <c r="R1718" s="171"/>
      <c r="S1718" s="51"/>
      <c r="T1718" s="27"/>
      <c r="U1718" s="27"/>
      <c r="V1718" s="27"/>
      <c r="W1718" s="27"/>
      <c r="X1718" s="27"/>
    </row>
    <row r="1719" spans="1:24" s="27" customFormat="1" ht="30" customHeight="1" x14ac:dyDescent="0.35">
      <c r="A1719" s="545" t="s">
        <v>288</v>
      </c>
      <c r="B1719" s="1051" t="s">
        <v>282</v>
      </c>
      <c r="C1719" s="1051"/>
      <c r="D1719" s="1051"/>
      <c r="E1719" s="561" t="s">
        <v>290</v>
      </c>
      <c r="F1719" s="509" t="s">
        <v>289</v>
      </c>
      <c r="G1719" s="1094" t="s">
        <v>2</v>
      </c>
      <c r="H1719" s="1094"/>
      <c r="I1719" s="1052" t="s">
        <v>2328</v>
      </c>
      <c r="J1719" s="1052"/>
      <c r="K1719" s="1012" t="s">
        <v>292</v>
      </c>
      <c r="L1719" s="1023"/>
      <c r="M1719" s="173"/>
      <c r="N1719" s="203"/>
      <c r="O1719" s="205"/>
      <c r="P1719" s="171"/>
      <c r="Q1719" s="171"/>
      <c r="R1719" s="171"/>
      <c r="S1719" s="51"/>
      <c r="T1719" s="208"/>
      <c r="U1719" s="208"/>
      <c r="V1719" s="208"/>
      <c r="W1719" s="208"/>
      <c r="X1719" s="208"/>
    </row>
    <row r="1720" spans="1:24" s="208" customFormat="1" ht="30" customHeight="1" x14ac:dyDescent="0.35">
      <c r="A1720" s="241">
        <v>21710</v>
      </c>
      <c r="B1720" s="1031" t="s">
        <v>1029</v>
      </c>
      <c r="C1720" s="1031"/>
      <c r="D1720" s="1031"/>
      <c r="E1720" s="453">
        <v>152.35</v>
      </c>
      <c r="F1720" s="694">
        <v>17000</v>
      </c>
      <c r="G1720" s="462" t="s">
        <v>8</v>
      </c>
      <c r="H1720" s="462"/>
      <c r="I1720" s="1044">
        <f>+'2021 MILCON Inflation Table'!$F$13</f>
        <v>1.1643998639918394</v>
      </c>
      <c r="J1720" s="1044"/>
      <c r="K1720" s="463">
        <f>+E1720*I1720</f>
        <v>177.39631927915673</v>
      </c>
      <c r="L1720" s="564" t="s">
        <v>8</v>
      </c>
      <c r="M1720" s="173"/>
      <c r="N1720" s="214"/>
      <c r="O1720" s="207"/>
      <c r="P1720" s="27"/>
      <c r="Q1720" s="27"/>
      <c r="R1720" s="27"/>
      <c r="S1720" s="27"/>
      <c r="T1720" s="203"/>
      <c r="U1720" s="203"/>
      <c r="V1720" s="203"/>
      <c r="W1720" s="203"/>
      <c r="X1720" s="203"/>
    </row>
    <row r="1721" spans="1:24" ht="30" customHeight="1" thickBot="1" x14ac:dyDescent="0.4">
      <c r="A1721" s="241"/>
      <c r="B1721" s="1031"/>
      <c r="C1721" s="1031"/>
      <c r="D1721" s="1031"/>
      <c r="E1721" s="553"/>
      <c r="F1721" s="706"/>
      <c r="G1721" s="553"/>
      <c r="H1721" s="707"/>
      <c r="I1721" s="458"/>
      <c r="J1721" s="510" t="s">
        <v>2356</v>
      </c>
      <c r="K1721" s="459">
        <f>AVERAGE(K1720:K1720)</f>
        <v>177.39631927915673</v>
      </c>
      <c r="L1721" s="564" t="s">
        <v>8</v>
      </c>
      <c r="M1721" s="173"/>
      <c r="N1721" s="208"/>
      <c r="P1721" s="208"/>
      <c r="Q1721" s="208"/>
      <c r="R1721" s="208"/>
      <c r="S1721" s="208"/>
      <c r="T1721" s="51"/>
      <c r="U1721" s="171"/>
    </row>
    <row r="1722" spans="1:24" ht="30" customHeight="1" thickBot="1" x14ac:dyDescent="0.4">
      <c r="A1722" s="1086"/>
      <c r="B1722" s="1086"/>
      <c r="C1722" s="1086"/>
      <c r="D1722" s="1086"/>
      <c r="E1722" s="1086"/>
      <c r="F1722" s="1086"/>
      <c r="G1722" s="1086"/>
      <c r="H1722" s="1086"/>
      <c r="I1722" s="1086"/>
      <c r="J1722" s="1086"/>
      <c r="K1722" s="1086"/>
      <c r="L1722" s="1103"/>
      <c r="M1722" s="173"/>
      <c r="N1722" s="425"/>
      <c r="T1722" s="51"/>
      <c r="U1722" s="171"/>
    </row>
    <row r="1723" spans="1:24" ht="30" customHeight="1" x14ac:dyDescent="0.35">
      <c r="A1723" s="593" t="s">
        <v>278</v>
      </c>
      <c r="B1723" s="433">
        <v>2173</v>
      </c>
      <c r="C1723" s="1060" t="s">
        <v>1031</v>
      </c>
      <c r="D1723" s="1060"/>
      <c r="E1723" s="434" t="s">
        <v>280</v>
      </c>
      <c r="F1723" s="435" t="s">
        <v>10</v>
      </c>
      <c r="G1723" s="560" t="s">
        <v>279</v>
      </c>
      <c r="H1723" s="542">
        <v>1</v>
      </c>
      <c r="I1723" s="541" t="s">
        <v>281</v>
      </c>
      <c r="J1723" s="1019" t="s">
        <v>2371</v>
      </c>
      <c r="K1723" s="1019"/>
      <c r="L1723" s="1020"/>
      <c r="N1723" s="68"/>
      <c r="P1723" s="171"/>
      <c r="Q1723" s="171"/>
      <c r="R1723" s="171"/>
      <c r="S1723" s="51"/>
      <c r="T1723" s="27"/>
      <c r="U1723" s="27"/>
      <c r="V1723" s="27"/>
      <c r="W1723" s="27"/>
      <c r="X1723" s="27"/>
    </row>
    <row r="1724" spans="1:24" s="27" customFormat="1" ht="30" customHeight="1" x14ac:dyDescent="0.35">
      <c r="A1724" s="588" t="s">
        <v>298</v>
      </c>
      <c r="B1724" s="1280" t="s">
        <v>321</v>
      </c>
      <c r="C1724" s="1280"/>
      <c r="D1724" s="1280"/>
      <c r="E1724" s="510" t="s">
        <v>290</v>
      </c>
      <c r="F1724" s="510" t="s">
        <v>322</v>
      </c>
      <c r="G1724" s="1022" t="s">
        <v>323</v>
      </c>
      <c r="H1724" s="1022"/>
      <c r="I1724" s="509" t="s">
        <v>299</v>
      </c>
      <c r="J1724" s="509"/>
      <c r="K1724" s="1012" t="s">
        <v>292</v>
      </c>
      <c r="L1724" s="1023"/>
      <c r="M1724" s="363"/>
      <c r="N1724" s="203"/>
      <c r="O1724" s="205"/>
      <c r="P1724" s="171"/>
      <c r="Q1724" s="171"/>
      <c r="R1724" s="171"/>
      <c r="S1724" s="51"/>
      <c r="T1724" s="208"/>
      <c r="U1724" s="208"/>
      <c r="V1724" s="208"/>
      <c r="W1724" s="208"/>
      <c r="X1724" s="208"/>
    </row>
    <row r="1725" spans="1:24" s="208" customFormat="1" ht="30" customHeight="1" x14ac:dyDescent="0.35">
      <c r="A1725" s="241" t="s">
        <v>300</v>
      </c>
      <c r="B1725" s="1059" t="s">
        <v>2874</v>
      </c>
      <c r="C1725" s="1059"/>
      <c r="D1725" s="1059"/>
      <c r="E1725" s="453">
        <v>1030</v>
      </c>
      <c r="F1725" s="446" t="s">
        <v>333</v>
      </c>
      <c r="G1725" s="454">
        <v>100</v>
      </c>
      <c r="H1725" s="446" t="s">
        <v>476</v>
      </c>
      <c r="I1725" s="665">
        <v>1.02</v>
      </c>
      <c r="J1725" s="665"/>
      <c r="K1725" s="453">
        <f>+E1725*G1725*I1725</f>
        <v>105060</v>
      </c>
      <c r="L1725" s="243" t="s">
        <v>10</v>
      </c>
      <c r="M1725" s="173"/>
      <c r="N1725" s="214"/>
      <c r="O1725" s="207"/>
      <c r="P1725" s="27"/>
      <c r="Q1725" s="27"/>
      <c r="R1725" s="27"/>
      <c r="S1725" s="27"/>
      <c r="T1725" s="203"/>
      <c r="U1725" s="203"/>
      <c r="V1725" s="203"/>
      <c r="W1725" s="203"/>
      <c r="X1725" s="203"/>
    </row>
    <row r="1726" spans="1:24" ht="30" customHeight="1" x14ac:dyDescent="0.35">
      <c r="A1726" s="241"/>
      <c r="B1726" s="171"/>
      <c r="C1726" s="171"/>
      <c r="D1726" s="171"/>
      <c r="E1726" s="453"/>
      <c r="F1726" s="1029" t="s">
        <v>302</v>
      </c>
      <c r="G1726" s="1058" t="s">
        <v>303</v>
      </c>
      <c r="H1726" s="1058"/>
      <c r="I1726" s="1058"/>
      <c r="J1726" s="1058"/>
      <c r="K1726" s="612">
        <v>1.07</v>
      </c>
      <c r="L1726" s="243"/>
      <c r="M1726" s="173"/>
      <c r="N1726" s="208"/>
      <c r="P1726" s="208"/>
      <c r="Q1726" s="208"/>
      <c r="R1726" s="208"/>
      <c r="S1726" s="208"/>
      <c r="T1726" s="51"/>
      <c r="U1726" s="171"/>
    </row>
    <row r="1727" spans="1:24" ht="30" customHeight="1" x14ac:dyDescent="0.35">
      <c r="A1727" s="241"/>
      <c r="B1727" s="506"/>
      <c r="C1727" s="506"/>
      <c r="D1727" s="506"/>
      <c r="E1727" s="453"/>
      <c r="F1727" s="1029"/>
      <c r="G1727" s="1073" t="s">
        <v>2374</v>
      </c>
      <c r="H1727" s="1073"/>
      <c r="I1727" s="1073"/>
      <c r="J1727" s="1073"/>
      <c r="K1727" s="612">
        <v>1.08</v>
      </c>
      <c r="L1727" s="243"/>
      <c r="M1727" s="173"/>
      <c r="N1727" s="425"/>
      <c r="T1727" s="51"/>
      <c r="U1727" s="171"/>
    </row>
    <row r="1728" spans="1:24" ht="30" customHeight="1" x14ac:dyDescent="0.35">
      <c r="A1728" s="241"/>
      <c r="B1728" s="446"/>
      <c r="C1728" s="458"/>
      <c r="D1728" s="458"/>
      <c r="E1728" s="458"/>
      <c r="F1728" s="458"/>
      <c r="G1728" s="458"/>
      <c r="H1728" s="458"/>
      <c r="I1728" s="458"/>
      <c r="J1728" s="446" t="s">
        <v>2356</v>
      </c>
      <c r="K1728" s="591">
        <f>+K1725*K1726/K1727</f>
        <v>104087.22222222222</v>
      </c>
      <c r="L1728" s="243" t="s">
        <v>10</v>
      </c>
      <c r="M1728" s="173"/>
      <c r="N1728" s="68"/>
      <c r="P1728" s="171"/>
      <c r="Q1728" s="171"/>
      <c r="R1728" s="171"/>
      <c r="S1728" s="51"/>
      <c r="T1728" s="27"/>
      <c r="U1728" s="27"/>
      <c r="V1728" s="27"/>
      <c r="W1728" s="27"/>
      <c r="X1728" s="27"/>
    </row>
    <row r="1729" spans="1:24" s="208" customFormat="1" ht="30" customHeight="1" thickBot="1" x14ac:dyDescent="0.4">
      <c r="A1729" s="241"/>
      <c r="B1729" s="1059" t="s">
        <v>2875</v>
      </c>
      <c r="C1729" s="1059"/>
      <c r="D1729" s="1059"/>
      <c r="E1729" s="458"/>
      <c r="F1729" s="458"/>
      <c r="G1729" s="592" t="s">
        <v>2358</v>
      </c>
      <c r="H1729" s="458"/>
      <c r="I1729" s="458"/>
      <c r="J1729" s="583">
        <f>VLOOKUP(B1723,'Mil Cost Premiums for PUCs'!$A$4:$R$272,18,FALSE)</f>
        <v>1.0485669999999998</v>
      </c>
      <c r="K1729" s="591">
        <f>+K1728*J1729</f>
        <v>109142.42634388886</v>
      </c>
      <c r="L1729" s="243" t="s">
        <v>10</v>
      </c>
      <c r="M1729" s="363"/>
      <c r="N1729" s="203"/>
      <c r="O1729" s="205"/>
      <c r="P1729" s="171"/>
      <c r="Q1729" s="171"/>
      <c r="R1729" s="171"/>
      <c r="S1729" s="51"/>
      <c r="T1729" s="203"/>
      <c r="U1729" s="203"/>
      <c r="V1729" s="203"/>
      <c r="W1729" s="203"/>
      <c r="X1729" s="203"/>
    </row>
    <row r="1730" spans="1:24" ht="30" customHeight="1" thickBot="1" x14ac:dyDescent="0.4">
      <c r="A1730" s="1086"/>
      <c r="B1730" s="1086"/>
      <c r="C1730" s="1086"/>
      <c r="D1730" s="1086"/>
      <c r="E1730" s="1086"/>
      <c r="F1730" s="1086"/>
      <c r="G1730" s="1086"/>
      <c r="H1730" s="1086"/>
      <c r="I1730" s="1086"/>
      <c r="J1730" s="1086"/>
      <c r="K1730" s="1086"/>
      <c r="L1730" s="1103"/>
      <c r="M1730" s="173"/>
      <c r="N1730" s="208"/>
      <c r="P1730" s="208"/>
      <c r="Q1730" s="208"/>
      <c r="R1730" s="208"/>
      <c r="S1730" s="208"/>
      <c r="T1730" s="51"/>
      <c r="U1730" s="171"/>
    </row>
    <row r="1731" spans="1:24" ht="30" customHeight="1" x14ac:dyDescent="0.35">
      <c r="A1731" s="465" t="s">
        <v>278</v>
      </c>
      <c r="B1731" s="539">
        <v>2181</v>
      </c>
      <c r="C1731" s="1060" t="s">
        <v>1032</v>
      </c>
      <c r="D1731" s="1060"/>
      <c r="E1731" s="541" t="s">
        <v>280</v>
      </c>
      <c r="F1731" s="542" t="s">
        <v>8</v>
      </c>
      <c r="G1731" s="543" t="s">
        <v>285</v>
      </c>
      <c r="H1731" s="558">
        <v>8982</v>
      </c>
      <c r="I1731" s="541" t="s">
        <v>281</v>
      </c>
      <c r="J1731" s="1019" t="s">
        <v>2637</v>
      </c>
      <c r="K1731" s="1019"/>
      <c r="L1731" s="1020"/>
      <c r="M1731" s="173"/>
      <c r="N1731" s="425"/>
      <c r="T1731" s="51"/>
      <c r="U1731" s="171"/>
    </row>
    <row r="1732" spans="1:24" ht="30" customHeight="1" x14ac:dyDescent="0.35">
      <c r="A1732" s="545" t="s">
        <v>288</v>
      </c>
      <c r="B1732" s="1051" t="s">
        <v>282</v>
      </c>
      <c r="C1732" s="1051"/>
      <c r="D1732" s="1051"/>
      <c r="E1732" s="530" t="s">
        <v>289</v>
      </c>
      <c r="F1732" s="561" t="s">
        <v>290</v>
      </c>
      <c r="G1732" s="509"/>
      <c r="H1732" s="509"/>
      <c r="I1732" s="1052" t="s">
        <v>405</v>
      </c>
      <c r="J1732" s="1052"/>
      <c r="K1732" s="1012" t="s">
        <v>292</v>
      </c>
      <c r="L1732" s="1023"/>
      <c r="M1732" s="173"/>
      <c r="N1732" s="68"/>
      <c r="P1732" s="171"/>
      <c r="Q1732" s="171"/>
      <c r="R1732" s="171"/>
      <c r="S1732" s="51"/>
      <c r="U1732" s="171"/>
    </row>
    <row r="1733" spans="1:24" ht="30" customHeight="1" x14ac:dyDescent="0.35">
      <c r="A1733" s="562" t="s">
        <v>293</v>
      </c>
      <c r="B1733" s="1116" t="s">
        <v>977</v>
      </c>
      <c r="C1733" s="1116"/>
      <c r="D1733" s="1116"/>
      <c r="E1733" s="563">
        <v>25000</v>
      </c>
      <c r="F1733" s="444">
        <v>259</v>
      </c>
      <c r="G1733" s="442"/>
      <c r="H1733" s="17"/>
      <c r="I1733" s="1044" t="s">
        <v>2638</v>
      </c>
      <c r="J1733" s="1044"/>
      <c r="K1733" s="444">
        <f>F1733</f>
        <v>259</v>
      </c>
      <c r="L1733" s="564" t="s">
        <v>8</v>
      </c>
      <c r="M1733" s="173"/>
      <c r="P1733" s="171"/>
      <c r="Q1733" s="171"/>
      <c r="R1733" s="171"/>
      <c r="S1733" s="51"/>
      <c r="T1733" s="213"/>
      <c r="U1733" s="208"/>
      <c r="V1733" s="208"/>
      <c r="W1733" s="208"/>
      <c r="X1733" s="208"/>
    </row>
    <row r="1734" spans="1:24" s="208" customFormat="1" ht="30" customHeight="1" thickBot="1" x14ac:dyDescent="0.4">
      <c r="A1734" s="241"/>
      <c r="B1734" s="1109"/>
      <c r="C1734" s="1109"/>
      <c r="D1734" s="1109"/>
      <c r="E1734" s="565"/>
      <c r="F1734" s="566"/>
      <c r="G1734" s="566"/>
      <c r="H1734" s="567"/>
      <c r="I1734" s="458"/>
      <c r="J1734" s="510" t="s">
        <v>2356</v>
      </c>
      <c r="K1734" s="585">
        <f>+K1733</f>
        <v>259</v>
      </c>
      <c r="L1734" s="243" t="s">
        <v>8</v>
      </c>
      <c r="M1734" s="173"/>
      <c r="N1734" s="203"/>
      <c r="O1734" s="205"/>
      <c r="P1734" s="203"/>
      <c r="Q1734" s="203"/>
      <c r="R1734" s="203"/>
      <c r="S1734" s="203"/>
      <c r="T1734" s="51"/>
      <c r="U1734" s="203"/>
      <c r="V1734" s="203"/>
      <c r="W1734" s="203"/>
      <c r="X1734" s="203"/>
    </row>
    <row r="1735" spans="1:24" ht="30" customHeight="1" thickBot="1" x14ac:dyDescent="0.4">
      <c r="A1735" s="1086"/>
      <c r="B1735" s="1086"/>
      <c r="C1735" s="1086"/>
      <c r="D1735" s="1086"/>
      <c r="E1735" s="1086"/>
      <c r="F1735" s="1086"/>
      <c r="G1735" s="1086"/>
      <c r="H1735" s="1086"/>
      <c r="I1735" s="1086"/>
      <c r="J1735" s="1086"/>
      <c r="K1735" s="1086"/>
      <c r="L1735" s="1103"/>
      <c r="M1735" s="173"/>
      <c r="N1735" s="208"/>
      <c r="P1735" s="75"/>
      <c r="Q1735" s="75"/>
      <c r="R1735" s="75"/>
      <c r="S1735" s="213"/>
      <c r="T1735" s="27"/>
      <c r="U1735" s="171"/>
    </row>
    <row r="1736" spans="1:24" ht="30" customHeight="1" x14ac:dyDescent="0.35">
      <c r="A1736" s="465" t="s">
        <v>278</v>
      </c>
      <c r="B1736" s="539">
        <v>2182</v>
      </c>
      <c r="C1736" s="1060" t="s">
        <v>1033</v>
      </c>
      <c r="D1736" s="1060"/>
      <c r="E1736" s="541" t="s">
        <v>280</v>
      </c>
      <c r="F1736" s="542" t="s">
        <v>8</v>
      </c>
      <c r="G1736" s="543" t="s">
        <v>285</v>
      </c>
      <c r="H1736" s="558">
        <v>6778</v>
      </c>
      <c r="I1736" s="541" t="s">
        <v>281</v>
      </c>
      <c r="J1736" s="1019" t="s">
        <v>2637</v>
      </c>
      <c r="K1736" s="1019"/>
      <c r="L1736" s="1020"/>
      <c r="M1736" s="173"/>
      <c r="P1736" s="171"/>
      <c r="Q1736" s="171"/>
      <c r="R1736" s="171"/>
      <c r="S1736" s="51"/>
      <c r="U1736" s="171"/>
    </row>
    <row r="1737" spans="1:24" ht="30" customHeight="1" x14ac:dyDescent="0.35">
      <c r="A1737" s="545" t="s">
        <v>288</v>
      </c>
      <c r="B1737" s="1051" t="s">
        <v>282</v>
      </c>
      <c r="C1737" s="1051"/>
      <c r="D1737" s="1051"/>
      <c r="E1737" s="530" t="s">
        <v>289</v>
      </c>
      <c r="F1737" s="561" t="s">
        <v>290</v>
      </c>
      <c r="G1737" s="509"/>
      <c r="H1737" s="509"/>
      <c r="I1737" s="1052" t="s">
        <v>405</v>
      </c>
      <c r="J1737" s="1052"/>
      <c r="K1737" s="1012" t="s">
        <v>292</v>
      </c>
      <c r="L1737" s="1023"/>
      <c r="M1737" s="173"/>
      <c r="N1737" s="214"/>
      <c r="O1737" s="207"/>
      <c r="P1737" s="27"/>
      <c r="Q1737" s="27"/>
      <c r="R1737" s="27"/>
      <c r="S1737" s="27"/>
      <c r="U1737" s="27"/>
      <c r="V1737" s="27"/>
      <c r="W1737" s="27"/>
      <c r="X1737" s="27"/>
    </row>
    <row r="1738" spans="1:24" s="27" customFormat="1" ht="30" customHeight="1" x14ac:dyDescent="0.35">
      <c r="A1738" s="562" t="s">
        <v>293</v>
      </c>
      <c r="B1738" s="1057" t="s">
        <v>977</v>
      </c>
      <c r="C1738" s="1057"/>
      <c r="D1738" s="1057"/>
      <c r="E1738" s="563">
        <v>25000</v>
      </c>
      <c r="F1738" s="444">
        <v>259</v>
      </c>
      <c r="G1738" s="442"/>
      <c r="H1738" s="17"/>
      <c r="I1738" s="1044" t="s">
        <v>2638</v>
      </c>
      <c r="J1738" s="1044"/>
      <c r="K1738" s="444">
        <f>F1738</f>
        <v>259</v>
      </c>
      <c r="L1738" s="564" t="s">
        <v>8</v>
      </c>
      <c r="M1738" s="173"/>
      <c r="N1738" s="203"/>
      <c r="O1738" s="205"/>
      <c r="P1738" s="203"/>
      <c r="Q1738" s="203"/>
      <c r="R1738" s="203"/>
      <c r="S1738" s="203"/>
      <c r="T1738" s="213"/>
      <c r="U1738" s="208"/>
      <c r="V1738" s="208"/>
      <c r="W1738" s="208"/>
      <c r="X1738" s="208"/>
    </row>
    <row r="1739" spans="1:24" s="208" customFormat="1" ht="30" customHeight="1" thickBot="1" x14ac:dyDescent="0.4">
      <c r="A1739" s="241"/>
      <c r="B1739" s="1059"/>
      <c r="C1739" s="1059"/>
      <c r="D1739" s="1059"/>
      <c r="E1739" s="565"/>
      <c r="F1739" s="566"/>
      <c r="G1739" s="566"/>
      <c r="H1739" s="567"/>
      <c r="I1739" s="458"/>
      <c r="J1739" s="510" t="s">
        <v>2356</v>
      </c>
      <c r="K1739" s="585">
        <f>+K1738</f>
        <v>259</v>
      </c>
      <c r="L1739" s="243" t="s">
        <v>8</v>
      </c>
      <c r="M1739" s="173"/>
      <c r="N1739" s="203"/>
      <c r="O1739" s="205"/>
      <c r="P1739" s="203"/>
      <c r="Q1739" s="203"/>
      <c r="R1739" s="203"/>
      <c r="S1739" s="203"/>
      <c r="T1739" s="51"/>
      <c r="U1739" s="203"/>
      <c r="V1739" s="203"/>
      <c r="W1739" s="203"/>
      <c r="X1739" s="203"/>
    </row>
    <row r="1740" spans="1:24" ht="30" customHeight="1" thickBot="1" x14ac:dyDescent="0.4">
      <c r="A1740" s="1086"/>
      <c r="B1740" s="1086"/>
      <c r="C1740" s="1086"/>
      <c r="D1740" s="1086"/>
      <c r="E1740" s="1086"/>
      <c r="F1740" s="1086"/>
      <c r="G1740" s="1086"/>
      <c r="H1740" s="1086"/>
      <c r="I1740" s="1086"/>
      <c r="J1740" s="1086"/>
      <c r="K1740" s="1086"/>
      <c r="L1740" s="1103"/>
      <c r="M1740" s="173"/>
      <c r="N1740" s="208"/>
      <c r="P1740" s="75"/>
      <c r="Q1740" s="75"/>
      <c r="R1740" s="75"/>
      <c r="S1740" s="213"/>
    </row>
    <row r="1741" spans="1:24" ht="30" customHeight="1" x14ac:dyDescent="0.35">
      <c r="A1741" s="465" t="s">
        <v>278</v>
      </c>
      <c r="B1741" s="539">
        <v>2183</v>
      </c>
      <c r="C1741" s="1060" t="s">
        <v>1034</v>
      </c>
      <c r="D1741" s="1060"/>
      <c r="E1741" s="541" t="s">
        <v>280</v>
      </c>
      <c r="F1741" s="542" t="s">
        <v>8</v>
      </c>
      <c r="G1741" s="543" t="s">
        <v>285</v>
      </c>
      <c r="H1741" s="558">
        <v>8012</v>
      </c>
      <c r="I1741" s="541" t="s">
        <v>281</v>
      </c>
      <c r="J1741" s="1019" t="s">
        <v>2637</v>
      </c>
      <c r="K1741" s="1019"/>
      <c r="L1741" s="1020"/>
      <c r="M1741" s="173"/>
      <c r="P1741" s="171"/>
      <c r="Q1741" s="171"/>
      <c r="R1741" s="171"/>
      <c r="S1741" s="51"/>
    </row>
    <row r="1742" spans="1:24" ht="30" customHeight="1" x14ac:dyDescent="0.35">
      <c r="A1742" s="545" t="s">
        <v>288</v>
      </c>
      <c r="B1742" s="1051" t="s">
        <v>282</v>
      </c>
      <c r="C1742" s="1051"/>
      <c r="D1742" s="1051"/>
      <c r="E1742" s="530" t="s">
        <v>289</v>
      </c>
      <c r="F1742" s="561" t="s">
        <v>290</v>
      </c>
      <c r="G1742" s="509"/>
      <c r="H1742" s="509"/>
      <c r="I1742" s="1052" t="s">
        <v>405</v>
      </c>
      <c r="J1742" s="1052"/>
      <c r="K1742" s="1012" t="s">
        <v>292</v>
      </c>
      <c r="L1742" s="1023"/>
      <c r="M1742" s="173"/>
      <c r="N1742" s="68"/>
      <c r="O1742" s="203"/>
      <c r="P1742" s="216"/>
      <c r="Q1742" s="68"/>
      <c r="R1742" s="217"/>
    </row>
    <row r="1743" spans="1:24" ht="30" customHeight="1" x14ac:dyDescent="0.35">
      <c r="A1743" s="562" t="s">
        <v>293</v>
      </c>
      <c r="B1743" s="1057" t="s">
        <v>977</v>
      </c>
      <c r="C1743" s="1057"/>
      <c r="D1743" s="1057"/>
      <c r="E1743" s="563">
        <v>25000</v>
      </c>
      <c r="F1743" s="444">
        <v>259</v>
      </c>
      <c r="G1743" s="442"/>
      <c r="H1743" s="17"/>
      <c r="I1743" s="1044" t="s">
        <v>2638</v>
      </c>
      <c r="J1743" s="1044"/>
      <c r="K1743" s="444">
        <f>F1743</f>
        <v>259</v>
      </c>
      <c r="L1743" s="564" t="s">
        <v>8</v>
      </c>
      <c r="M1743" s="173"/>
      <c r="N1743" s="68"/>
      <c r="O1743" s="203"/>
      <c r="P1743" s="216"/>
      <c r="Q1743" s="68"/>
      <c r="R1743" s="217"/>
      <c r="T1743" s="208"/>
      <c r="U1743" s="208"/>
      <c r="V1743" s="208"/>
      <c r="W1743" s="208"/>
      <c r="X1743" s="208"/>
    </row>
    <row r="1744" spans="1:24" s="208" customFormat="1" ht="30" customHeight="1" thickBot="1" x14ac:dyDescent="0.4">
      <c r="A1744" s="241"/>
      <c r="B1744" s="1059"/>
      <c r="C1744" s="1059"/>
      <c r="D1744" s="1059"/>
      <c r="E1744" s="565"/>
      <c r="F1744" s="566"/>
      <c r="G1744" s="566"/>
      <c r="H1744" s="567"/>
      <c r="I1744" s="458"/>
      <c r="J1744" s="510" t="s">
        <v>2356</v>
      </c>
      <c r="K1744" s="585">
        <f>+K1743</f>
        <v>259</v>
      </c>
      <c r="L1744" s="243" t="s">
        <v>8</v>
      </c>
      <c r="M1744" s="173"/>
      <c r="N1744" s="68"/>
      <c r="O1744" s="203"/>
      <c r="P1744" s="216"/>
      <c r="Q1744" s="68"/>
      <c r="R1744" s="217"/>
      <c r="S1744" s="203"/>
      <c r="T1744" s="203"/>
      <c r="U1744" s="203"/>
      <c r="V1744" s="203"/>
      <c r="W1744" s="203"/>
      <c r="X1744" s="203"/>
    </row>
    <row r="1745" spans="1:19" ht="30" customHeight="1" thickBot="1" x14ac:dyDescent="0.4">
      <c r="A1745" s="1086"/>
      <c r="B1745" s="1086"/>
      <c r="C1745" s="1086"/>
      <c r="D1745" s="1086"/>
      <c r="E1745" s="1086"/>
      <c r="F1745" s="1086"/>
      <c r="G1745" s="1086"/>
      <c r="H1745" s="1086"/>
      <c r="I1745" s="1086"/>
      <c r="J1745" s="1086"/>
      <c r="K1745" s="1086"/>
      <c r="L1745" s="1103"/>
      <c r="M1745" s="173"/>
      <c r="N1745" s="68"/>
      <c r="O1745" s="208"/>
      <c r="P1745" s="216"/>
      <c r="Q1745" s="68"/>
      <c r="R1745" s="217"/>
      <c r="S1745" s="208"/>
    </row>
    <row r="1746" spans="1:19" ht="30" customHeight="1" x14ac:dyDescent="0.35">
      <c r="A1746" s="465" t="s">
        <v>278</v>
      </c>
      <c r="B1746" s="539">
        <v>2184</v>
      </c>
      <c r="C1746" s="1017" t="s">
        <v>1035</v>
      </c>
      <c r="D1746" s="1017"/>
      <c r="E1746" s="541" t="s">
        <v>280</v>
      </c>
      <c r="F1746" s="542" t="s">
        <v>8</v>
      </c>
      <c r="G1746" s="543" t="s">
        <v>285</v>
      </c>
      <c r="H1746" s="558">
        <v>10600</v>
      </c>
      <c r="I1746" s="541" t="s">
        <v>281</v>
      </c>
      <c r="J1746" s="1019" t="s">
        <v>2510</v>
      </c>
      <c r="K1746" s="1019"/>
      <c r="L1746" s="1020"/>
      <c r="M1746" s="173"/>
      <c r="N1746" s="68"/>
      <c r="O1746" s="203"/>
      <c r="P1746" s="218"/>
      <c r="Q1746" s="68"/>
      <c r="R1746" s="217"/>
    </row>
    <row r="1747" spans="1:19" ht="30" customHeight="1" x14ac:dyDescent="0.35">
      <c r="A1747" s="545"/>
      <c r="B1747" s="1051" t="s">
        <v>282</v>
      </c>
      <c r="C1747" s="1051"/>
      <c r="D1747" s="1051"/>
      <c r="E1747" s="509" t="s">
        <v>289</v>
      </c>
      <c r="F1747" s="561" t="s">
        <v>290</v>
      </c>
      <c r="G1747" s="1052"/>
      <c r="H1747" s="1052"/>
      <c r="I1747" s="1052" t="s">
        <v>405</v>
      </c>
      <c r="J1747" s="1052"/>
      <c r="K1747" s="1012" t="s">
        <v>292</v>
      </c>
      <c r="L1747" s="1023"/>
      <c r="M1747" s="173"/>
      <c r="N1747" s="68"/>
      <c r="O1747" s="203"/>
      <c r="P1747" s="218"/>
      <c r="Q1747" s="68"/>
      <c r="R1747" s="217"/>
    </row>
    <row r="1748" spans="1:19" ht="30" customHeight="1" x14ac:dyDescent="0.35">
      <c r="A1748" s="546" t="s">
        <v>293</v>
      </c>
      <c r="B1748" s="1057" t="s">
        <v>1037</v>
      </c>
      <c r="C1748" s="1057"/>
      <c r="D1748" s="1057"/>
      <c r="E1748" s="772">
        <v>6600</v>
      </c>
      <c r="F1748" s="444">
        <v>198</v>
      </c>
      <c r="G1748" s="1282"/>
      <c r="H1748" s="1282"/>
      <c r="I1748" s="1044">
        <f>+'2021 MILCON Inflation Table'!F10</f>
        <v>1.3093098833874974</v>
      </c>
      <c r="J1748" s="1044"/>
      <c r="K1748" s="773">
        <f>+F1748*I1748</f>
        <v>259.24335691072451</v>
      </c>
      <c r="L1748" s="698" t="s">
        <v>8</v>
      </c>
      <c r="M1748" s="173"/>
      <c r="N1748" s="68"/>
      <c r="O1748" s="203"/>
      <c r="P1748" s="218"/>
      <c r="Q1748" s="68"/>
      <c r="R1748" s="217"/>
    </row>
    <row r="1749" spans="1:19" ht="30" customHeight="1" thickBot="1" x14ac:dyDescent="0.4">
      <c r="A1749" s="241"/>
      <c r="B1749" s="1059"/>
      <c r="C1749" s="1059"/>
      <c r="D1749" s="1059"/>
      <c r="E1749" s="565"/>
      <c r="F1749" s="566"/>
      <c r="G1749" s="566"/>
      <c r="H1749" s="567"/>
      <c r="I1749" s="458"/>
      <c r="J1749" s="510" t="s">
        <v>2356</v>
      </c>
      <c r="K1749" s="774">
        <f>+K1748</f>
        <v>259.24335691072451</v>
      </c>
      <c r="L1749" s="243" t="s">
        <v>8</v>
      </c>
      <c r="M1749" s="173"/>
      <c r="N1749" s="68"/>
      <c r="O1749" s="203"/>
      <c r="P1749" s="218"/>
      <c r="Q1749" s="68"/>
      <c r="R1749" s="217"/>
    </row>
    <row r="1750" spans="1:19" ht="30" customHeight="1" thickBot="1" x14ac:dyDescent="0.4">
      <c r="A1750" s="1086"/>
      <c r="B1750" s="1086"/>
      <c r="C1750" s="1086"/>
      <c r="D1750" s="1086"/>
      <c r="E1750" s="1086"/>
      <c r="F1750" s="1086"/>
      <c r="G1750" s="1086"/>
      <c r="H1750" s="1086"/>
      <c r="I1750" s="1086"/>
      <c r="J1750" s="1086"/>
      <c r="K1750" s="1086"/>
      <c r="L1750" s="1103"/>
      <c r="M1750" s="173"/>
      <c r="N1750" s="68"/>
      <c r="O1750" s="203"/>
      <c r="P1750" s="218"/>
      <c r="Q1750" s="68"/>
      <c r="R1750" s="217"/>
    </row>
    <row r="1751" spans="1:19" ht="30" customHeight="1" x14ac:dyDescent="0.35">
      <c r="A1751" s="465" t="s">
        <v>278</v>
      </c>
      <c r="B1751" s="539">
        <v>2185</v>
      </c>
      <c r="C1751" s="1060" t="s">
        <v>1038</v>
      </c>
      <c r="D1751" s="1060"/>
      <c r="E1751" s="541" t="s">
        <v>280</v>
      </c>
      <c r="F1751" s="542" t="s">
        <v>8</v>
      </c>
      <c r="G1751" s="543" t="s">
        <v>285</v>
      </c>
      <c r="H1751" s="569">
        <v>6252</v>
      </c>
      <c r="I1751" s="541" t="s">
        <v>281</v>
      </c>
      <c r="J1751" s="1019" t="s">
        <v>2372</v>
      </c>
      <c r="K1751" s="1019"/>
      <c r="L1751" s="1020"/>
      <c r="M1751" s="173"/>
      <c r="N1751" s="419"/>
      <c r="O1751" s="171"/>
      <c r="P1751" s="216"/>
      <c r="Q1751" s="419"/>
      <c r="R1751" s="219"/>
    </row>
    <row r="1752" spans="1:19" ht="30" customHeight="1" x14ac:dyDescent="0.35">
      <c r="A1752" s="545" t="s">
        <v>288</v>
      </c>
      <c r="B1752" s="1051" t="s">
        <v>282</v>
      </c>
      <c r="C1752" s="1051"/>
      <c r="D1752" s="1051"/>
      <c r="E1752" s="561" t="s">
        <v>290</v>
      </c>
      <c r="F1752" s="509" t="s">
        <v>289</v>
      </c>
      <c r="G1752" s="1094" t="s">
        <v>2</v>
      </c>
      <c r="H1752" s="1094"/>
      <c r="I1752" s="1052" t="s">
        <v>405</v>
      </c>
      <c r="J1752" s="1052"/>
      <c r="K1752" s="1012" t="s">
        <v>292</v>
      </c>
      <c r="L1752" s="1023"/>
      <c r="M1752" s="173"/>
      <c r="N1752" s="419"/>
      <c r="O1752" s="171"/>
      <c r="P1752" s="216"/>
      <c r="Q1752" s="419"/>
      <c r="R1752" s="219"/>
    </row>
    <row r="1753" spans="1:19" ht="30" customHeight="1" x14ac:dyDescent="0.35">
      <c r="A1753" s="241">
        <v>44224</v>
      </c>
      <c r="B1753" s="1031" t="s">
        <v>1039</v>
      </c>
      <c r="C1753" s="1031"/>
      <c r="D1753" s="1031"/>
      <c r="E1753" s="453">
        <v>407</v>
      </c>
      <c r="F1753" s="694">
        <v>2100</v>
      </c>
      <c r="G1753" s="462" t="s">
        <v>8</v>
      </c>
      <c r="H1753" s="462"/>
      <c r="I1753" s="1044">
        <f>+'2021 MILCON Inflation Table'!F19</f>
        <v>0.96211202832457809</v>
      </c>
      <c r="J1753" s="1044"/>
      <c r="K1753" s="444">
        <f>+E1753*I1753</f>
        <v>391.57959552810331</v>
      </c>
      <c r="L1753" s="564" t="s">
        <v>8</v>
      </c>
      <c r="M1753" s="173"/>
      <c r="N1753" s="68"/>
      <c r="O1753" s="203"/>
      <c r="P1753" s="218"/>
      <c r="Q1753" s="68"/>
      <c r="R1753" s="217"/>
    </row>
    <row r="1754" spans="1:19" ht="30" customHeight="1" thickBot="1" x14ac:dyDescent="0.4">
      <c r="A1754" s="241"/>
      <c r="B1754" s="1031"/>
      <c r="C1754" s="1031"/>
      <c r="D1754" s="1031"/>
      <c r="E1754" s="553"/>
      <c r="F1754" s="706"/>
      <c r="G1754" s="553"/>
      <c r="H1754" s="707"/>
      <c r="I1754" s="458"/>
      <c r="J1754" s="510" t="s">
        <v>2356</v>
      </c>
      <c r="K1754" s="585">
        <f>AVERAGE(K1753:K1753)</f>
        <v>391.57959552810331</v>
      </c>
      <c r="L1754" s="564" t="s">
        <v>8</v>
      </c>
      <c r="M1754" s="173"/>
      <c r="N1754" s="68"/>
      <c r="O1754" s="203"/>
      <c r="P1754" s="218"/>
      <c r="Q1754" s="68"/>
      <c r="R1754" s="217"/>
    </row>
    <row r="1755" spans="1:19" ht="30" customHeight="1" thickBot="1" x14ac:dyDescent="0.4">
      <c r="A1755" s="1086"/>
      <c r="B1755" s="1086"/>
      <c r="C1755" s="1086"/>
      <c r="D1755" s="1086"/>
      <c r="E1755" s="1086"/>
      <c r="F1755" s="1086"/>
      <c r="G1755" s="1086"/>
      <c r="H1755" s="1086"/>
      <c r="I1755" s="1086"/>
      <c r="J1755" s="1086"/>
      <c r="K1755" s="1086"/>
      <c r="L1755" s="1103"/>
      <c r="M1755" s="173"/>
      <c r="N1755" s="68"/>
      <c r="O1755" s="203"/>
      <c r="P1755" s="218"/>
      <c r="Q1755" s="68"/>
      <c r="R1755" s="217"/>
    </row>
    <row r="1756" spans="1:19" ht="30" customHeight="1" x14ac:dyDescent="0.35">
      <c r="A1756" s="775" t="s">
        <v>278</v>
      </c>
      <c r="B1756" s="695">
        <v>2191</v>
      </c>
      <c r="C1756" s="1096" t="s">
        <v>1040</v>
      </c>
      <c r="D1756" s="1096"/>
      <c r="E1756" s="543" t="s">
        <v>280</v>
      </c>
      <c r="F1756" s="707" t="s">
        <v>8</v>
      </c>
      <c r="G1756" s="543" t="s">
        <v>285</v>
      </c>
      <c r="H1756" s="776">
        <v>5698</v>
      </c>
      <c r="I1756" s="543" t="s">
        <v>281</v>
      </c>
      <c r="J1756" s="1019" t="s">
        <v>2371</v>
      </c>
      <c r="K1756" s="1019"/>
      <c r="L1756" s="1020"/>
      <c r="M1756" s="173"/>
      <c r="N1756" s="68"/>
      <c r="O1756" s="203"/>
      <c r="P1756" s="218"/>
      <c r="Q1756" s="68"/>
      <c r="R1756" s="217"/>
    </row>
    <row r="1757" spans="1:19" ht="30" customHeight="1" x14ac:dyDescent="0.35">
      <c r="A1757" s="588" t="s">
        <v>298</v>
      </c>
      <c r="B1757" s="634" t="s">
        <v>321</v>
      </c>
      <c r="C1757" s="635"/>
      <c r="D1757" s="636"/>
      <c r="E1757" s="23" t="s">
        <v>290</v>
      </c>
      <c r="F1757" s="23" t="s">
        <v>322</v>
      </c>
      <c r="G1757" s="486" t="s">
        <v>323</v>
      </c>
      <c r="H1757" s="487"/>
      <c r="I1757" s="509" t="s">
        <v>299</v>
      </c>
      <c r="J1757" s="509"/>
      <c r="K1757" s="1012" t="s">
        <v>292</v>
      </c>
      <c r="L1757" s="1023"/>
      <c r="M1757" s="363"/>
      <c r="N1757" s="68"/>
      <c r="O1757" s="203"/>
      <c r="P1757" s="218"/>
      <c r="Q1757" s="68"/>
      <c r="R1757" s="217"/>
    </row>
    <row r="1758" spans="1:19" ht="30" customHeight="1" x14ac:dyDescent="0.35">
      <c r="A1758" s="241" t="s">
        <v>902</v>
      </c>
      <c r="B1758" s="1082" t="s">
        <v>2872</v>
      </c>
      <c r="C1758" s="1082"/>
      <c r="D1758" s="1082"/>
      <c r="E1758" s="453">
        <f>80-2.4</f>
        <v>77.599999999999994</v>
      </c>
      <c r="F1758" s="446" t="s">
        <v>8</v>
      </c>
      <c r="G1758" s="454"/>
      <c r="H1758" s="446"/>
      <c r="I1758" s="446">
        <v>1.05</v>
      </c>
      <c r="J1758" s="446"/>
      <c r="K1758" s="453">
        <f>+E1758*I1758</f>
        <v>81.48</v>
      </c>
      <c r="L1758" s="243" t="s">
        <v>8</v>
      </c>
      <c r="M1758" s="173"/>
      <c r="N1758" s="68"/>
      <c r="O1758" s="203"/>
      <c r="P1758" s="218"/>
      <c r="Q1758" s="68"/>
      <c r="R1758" s="217"/>
    </row>
    <row r="1759" spans="1:19" ht="30" customHeight="1" x14ac:dyDescent="0.35">
      <c r="A1759" s="241" t="s">
        <v>436</v>
      </c>
      <c r="B1759" s="1031" t="s">
        <v>1041</v>
      </c>
      <c r="C1759" s="1031"/>
      <c r="D1759" s="1031"/>
      <c r="E1759" s="453">
        <v>141000</v>
      </c>
      <c r="F1759" s="446" t="s">
        <v>10</v>
      </c>
      <c r="G1759" s="453">
        <f>+E1759/H1756</f>
        <v>24.745524745524744</v>
      </c>
      <c r="H1759" s="446" t="s">
        <v>932</v>
      </c>
      <c r="I1759" s="446">
        <v>1.02</v>
      </c>
      <c r="J1759" s="446"/>
      <c r="K1759" s="453">
        <f>+G1759*I1759</f>
        <v>25.240435240435239</v>
      </c>
      <c r="L1759" s="243" t="s">
        <v>8</v>
      </c>
      <c r="M1759" s="173"/>
      <c r="N1759" s="68"/>
      <c r="O1759" s="203"/>
      <c r="P1759" s="218"/>
      <c r="Q1759" s="68"/>
      <c r="R1759" s="217"/>
    </row>
    <row r="1760" spans="1:19" ht="30" customHeight="1" x14ac:dyDescent="0.35">
      <c r="A1760" s="241" t="s">
        <v>436</v>
      </c>
      <c r="B1760" s="1031" t="s">
        <v>1042</v>
      </c>
      <c r="C1760" s="1031"/>
      <c r="D1760" s="1031"/>
      <c r="E1760" s="453">
        <f>+(244+267)/2</f>
        <v>255.5</v>
      </c>
      <c r="F1760" s="446" t="s">
        <v>6</v>
      </c>
      <c r="G1760" s="629">
        <f>100*E1760/H1756</f>
        <v>4.4840294840294836</v>
      </c>
      <c r="H1760" s="446" t="s">
        <v>932</v>
      </c>
      <c r="I1760" s="446">
        <v>1.02</v>
      </c>
      <c r="J1760" s="446"/>
      <c r="K1760" s="453">
        <f>+G1760*I1760</f>
        <v>4.5737100737100738</v>
      </c>
      <c r="L1760" s="243" t="s">
        <v>8</v>
      </c>
      <c r="M1760" s="173"/>
      <c r="N1760" s="68"/>
      <c r="O1760" s="203"/>
      <c r="P1760" s="218"/>
      <c r="Q1760" s="68"/>
      <c r="R1760" s="217"/>
    </row>
    <row r="1761" spans="1:24" ht="30" customHeight="1" x14ac:dyDescent="0.35">
      <c r="A1761" s="241" t="s">
        <v>436</v>
      </c>
      <c r="B1761" s="1031" t="s">
        <v>1043</v>
      </c>
      <c r="C1761" s="1031"/>
      <c r="D1761" s="1031"/>
      <c r="E1761" s="453">
        <f>+(23.75+47.75)/2</f>
        <v>35.75</v>
      </c>
      <c r="F1761" s="446" t="s">
        <v>6</v>
      </c>
      <c r="G1761" s="629">
        <f>100*E1761/H1756</f>
        <v>0.62741312741312738</v>
      </c>
      <c r="H1761" s="446" t="s">
        <v>932</v>
      </c>
      <c r="I1761" s="446">
        <v>1.02</v>
      </c>
      <c r="J1761" s="446"/>
      <c r="K1761" s="453">
        <f>+G1761*I1761</f>
        <v>0.63996138996138996</v>
      </c>
      <c r="L1761" s="243" t="s">
        <v>8</v>
      </c>
      <c r="M1761" s="173"/>
      <c r="N1761" s="68"/>
      <c r="O1761" s="203"/>
      <c r="P1761" s="218"/>
      <c r="Q1761" s="68"/>
      <c r="R1761" s="217"/>
    </row>
    <row r="1762" spans="1:24" ht="30" customHeight="1" x14ac:dyDescent="0.35">
      <c r="A1762" s="241"/>
      <c r="B1762" s="508"/>
      <c r="C1762" s="508"/>
      <c r="D1762" s="508"/>
      <c r="E1762" s="453"/>
      <c r="F1762" s="446"/>
      <c r="G1762" s="519"/>
      <c r="H1762" s="508"/>
      <c r="I1762" s="446"/>
      <c r="J1762" s="446" t="s">
        <v>335</v>
      </c>
      <c r="K1762" s="453">
        <f>SUM(K1758:K1761)</f>
        <v>111.93410670410671</v>
      </c>
      <c r="L1762" s="243" t="s">
        <v>8</v>
      </c>
      <c r="M1762" s="173"/>
      <c r="N1762" s="68"/>
      <c r="O1762" s="203"/>
      <c r="P1762" s="218"/>
      <c r="Q1762" s="68"/>
      <c r="R1762" s="217"/>
    </row>
    <row r="1763" spans="1:24" ht="30" customHeight="1" x14ac:dyDescent="0.35">
      <c r="A1763" s="241"/>
      <c r="B1763" s="506"/>
      <c r="C1763" s="506"/>
      <c r="D1763" s="506"/>
      <c r="E1763" s="453"/>
      <c r="F1763" s="1029" t="s">
        <v>302</v>
      </c>
      <c r="G1763" s="1058" t="s">
        <v>303</v>
      </c>
      <c r="H1763" s="1058"/>
      <c r="I1763" s="1058"/>
      <c r="J1763" s="1058"/>
      <c r="K1763" s="612">
        <v>1.1000000000000001</v>
      </c>
      <c r="L1763" s="243"/>
      <c r="M1763" s="173"/>
      <c r="N1763" s="68"/>
      <c r="O1763" s="203"/>
      <c r="P1763" s="218"/>
      <c r="Q1763" s="68"/>
      <c r="R1763" s="217"/>
    </row>
    <row r="1764" spans="1:24" ht="30" customHeight="1" x14ac:dyDescent="0.35">
      <c r="A1764" s="241"/>
      <c r="B1764" s="506"/>
      <c r="C1764" s="506"/>
      <c r="D1764" s="506"/>
      <c r="E1764" s="453"/>
      <c r="F1764" s="1029"/>
      <c r="G1764" s="1073" t="s">
        <v>2374</v>
      </c>
      <c r="H1764" s="1073"/>
      <c r="I1764" s="1073"/>
      <c r="J1764" s="1073"/>
      <c r="K1764" s="612">
        <v>1.08</v>
      </c>
      <c r="L1764" s="243"/>
      <c r="M1764" s="173"/>
      <c r="N1764" s="68"/>
      <c r="O1764" s="203"/>
      <c r="P1764" s="218"/>
      <c r="Q1764" s="68"/>
      <c r="R1764" s="217"/>
    </row>
    <row r="1765" spans="1:24" ht="30" customHeight="1" x14ac:dyDescent="0.35">
      <c r="A1765" s="241"/>
      <c r="B1765" s="446"/>
      <c r="C1765" s="458"/>
      <c r="D1765" s="458"/>
      <c r="E1765" s="458"/>
      <c r="F1765" s="458"/>
      <c r="G1765" s="458"/>
      <c r="H1765" s="458"/>
      <c r="I1765" s="458"/>
      <c r="J1765" s="446" t="s">
        <v>2356</v>
      </c>
      <c r="K1765" s="591">
        <f>+K1762*K1763/K1764</f>
        <v>114.00696053196054</v>
      </c>
      <c r="L1765" s="243" t="s">
        <v>8</v>
      </c>
      <c r="M1765" s="173"/>
      <c r="N1765" s="68"/>
      <c r="O1765" s="203"/>
      <c r="P1765" s="218"/>
      <c r="Q1765" s="68"/>
      <c r="R1765" s="217"/>
      <c r="T1765" s="208"/>
      <c r="U1765" s="208"/>
      <c r="V1765" s="208"/>
      <c r="W1765" s="208"/>
      <c r="X1765" s="208"/>
    </row>
    <row r="1766" spans="1:24" s="208" customFormat="1" ht="30" customHeight="1" x14ac:dyDescent="0.35">
      <c r="A1766" s="241"/>
      <c r="B1766" s="446"/>
      <c r="C1766" s="458"/>
      <c r="D1766" s="458"/>
      <c r="E1766" s="458"/>
      <c r="F1766" s="458"/>
      <c r="G1766" s="613" t="s">
        <v>2359</v>
      </c>
      <c r="H1766" s="458"/>
      <c r="I1766" s="458"/>
      <c r="J1766" s="583">
        <f>VLOOKUP(B1756,'Mil Cost Premiums for PUCs'!$A$4:$R$272,18,FALSE)</f>
        <v>1.2416928604998634</v>
      </c>
      <c r="K1766" s="591">
        <f>+K1765*J1766</f>
        <v>141.56162893982511</v>
      </c>
      <c r="L1766" s="243" t="s">
        <v>8</v>
      </c>
      <c r="M1766" s="173"/>
      <c r="N1766" s="68"/>
      <c r="O1766" s="203"/>
      <c r="P1766" s="218"/>
      <c r="Q1766" s="68"/>
      <c r="R1766" s="217"/>
      <c r="S1766" s="203"/>
      <c r="T1766" s="203"/>
      <c r="U1766" s="203"/>
      <c r="V1766" s="203"/>
      <c r="W1766" s="203"/>
      <c r="X1766" s="203"/>
    </row>
    <row r="1767" spans="1:24" ht="60" customHeight="1" x14ac:dyDescent="0.35">
      <c r="A1767" s="1121" t="s">
        <v>305</v>
      </c>
      <c r="B1767" s="1122"/>
      <c r="C1767" s="1122"/>
      <c r="D1767" s="1122"/>
      <c r="E1767" s="1122"/>
      <c r="F1767" s="1122"/>
      <c r="G1767" s="1122"/>
      <c r="H1767" s="1122"/>
      <c r="I1767" s="1122"/>
      <c r="J1767" s="1122"/>
      <c r="K1767" s="1122"/>
      <c r="L1767" s="1123"/>
      <c r="M1767" s="173"/>
      <c r="N1767" s="68"/>
      <c r="O1767" s="208"/>
      <c r="P1767" s="218"/>
      <c r="Q1767" s="68"/>
      <c r="R1767" s="217"/>
      <c r="S1767" s="208"/>
    </row>
    <row r="1768" spans="1:24" ht="30" customHeight="1" x14ac:dyDescent="0.35">
      <c r="A1768" s="1077" t="s">
        <v>306</v>
      </c>
      <c r="B1768" s="1116"/>
      <c r="C1768" s="1116"/>
      <c r="D1768" s="1067" t="s">
        <v>1044</v>
      </c>
      <c r="E1768" s="1067"/>
      <c r="F1768" s="1067"/>
      <c r="G1768" s="1067"/>
      <c r="H1768" s="1067"/>
      <c r="I1768" s="1067"/>
      <c r="J1768" s="1067"/>
      <c r="K1768" s="1067"/>
      <c r="L1768" s="1126"/>
      <c r="M1768" s="173"/>
      <c r="N1768" s="68"/>
      <c r="O1768" s="203"/>
      <c r="P1768" s="218"/>
      <c r="Q1768" s="68"/>
      <c r="R1768" s="217"/>
    </row>
    <row r="1769" spans="1:24" ht="30" customHeight="1" x14ac:dyDescent="0.35">
      <c r="A1769" s="1077" t="s">
        <v>307</v>
      </c>
      <c r="B1769" s="1116"/>
      <c r="C1769" s="1116"/>
      <c r="D1769" s="1067" t="s">
        <v>1045</v>
      </c>
      <c r="E1769" s="1067"/>
      <c r="F1769" s="1067"/>
      <c r="G1769" s="1067"/>
      <c r="H1769" s="1067"/>
      <c r="I1769" s="1067"/>
      <c r="J1769" s="1067"/>
      <c r="K1769" s="1067"/>
      <c r="L1769" s="1126"/>
      <c r="M1769" s="173"/>
      <c r="N1769" s="68"/>
      <c r="O1769" s="203"/>
      <c r="P1769" s="218"/>
      <c r="Q1769" s="68"/>
      <c r="R1769" s="217"/>
    </row>
    <row r="1770" spans="1:24" ht="30" customHeight="1" x14ac:dyDescent="0.35">
      <c r="A1770" s="1077" t="s">
        <v>308</v>
      </c>
      <c r="B1770" s="1116"/>
      <c r="C1770" s="1116"/>
      <c r="D1770" s="1067" t="s">
        <v>2367</v>
      </c>
      <c r="E1770" s="1067"/>
      <c r="F1770" s="1067"/>
      <c r="G1770" s="1067"/>
      <c r="H1770" s="1067"/>
      <c r="I1770" s="1067"/>
      <c r="J1770" s="1067"/>
      <c r="K1770" s="1067"/>
      <c r="L1770" s="1126"/>
      <c r="M1770" s="173"/>
      <c r="N1770" s="68"/>
      <c r="O1770" s="203"/>
      <c r="P1770" s="218"/>
      <c r="Q1770" s="68"/>
      <c r="R1770" s="217"/>
    </row>
    <row r="1771" spans="1:24" ht="45" customHeight="1" x14ac:dyDescent="0.35">
      <c r="A1771" s="1077" t="s">
        <v>309</v>
      </c>
      <c r="B1771" s="1116"/>
      <c r="C1771" s="1116"/>
      <c r="D1771" s="1067" t="s">
        <v>1046</v>
      </c>
      <c r="E1771" s="1067"/>
      <c r="F1771" s="1067"/>
      <c r="G1771" s="1067"/>
      <c r="H1771" s="1067"/>
      <c r="I1771" s="1067"/>
      <c r="J1771" s="1067"/>
      <c r="K1771" s="1067"/>
      <c r="L1771" s="1126"/>
      <c r="M1771" s="173"/>
      <c r="N1771" s="419"/>
      <c r="O1771" s="171"/>
      <c r="P1771" s="216"/>
      <c r="Q1771" s="419"/>
      <c r="R1771" s="219"/>
    </row>
    <row r="1772" spans="1:24" ht="45" customHeight="1" x14ac:dyDescent="0.35">
      <c r="A1772" s="1077" t="s">
        <v>311</v>
      </c>
      <c r="B1772" s="1116"/>
      <c r="C1772" s="1116"/>
      <c r="D1772" s="1067" t="s">
        <v>1047</v>
      </c>
      <c r="E1772" s="1067"/>
      <c r="F1772" s="1067"/>
      <c r="G1772" s="1067"/>
      <c r="H1772" s="1067"/>
      <c r="I1772" s="1067"/>
      <c r="J1772" s="1067"/>
      <c r="K1772" s="1067"/>
      <c r="L1772" s="1126"/>
      <c r="M1772" s="173"/>
      <c r="N1772" s="419"/>
      <c r="O1772" s="171"/>
      <c r="P1772" s="216"/>
      <c r="Q1772" s="419"/>
      <c r="R1772" s="219"/>
    </row>
    <row r="1773" spans="1:24" ht="30" customHeight="1" x14ac:dyDescent="0.35">
      <c r="A1773" s="1077" t="s">
        <v>313</v>
      </c>
      <c r="B1773" s="1116"/>
      <c r="C1773" s="1116"/>
      <c r="D1773" s="1067" t="s">
        <v>1048</v>
      </c>
      <c r="E1773" s="1067"/>
      <c r="F1773" s="1067"/>
      <c r="G1773" s="1067"/>
      <c r="H1773" s="1067"/>
      <c r="I1773" s="1067"/>
      <c r="J1773" s="1067"/>
      <c r="K1773" s="1067"/>
      <c r="L1773" s="1126"/>
      <c r="M1773" s="173"/>
      <c r="N1773" s="231"/>
      <c r="O1773" s="203"/>
      <c r="P1773" s="218"/>
      <c r="Q1773" s="68"/>
      <c r="R1773" s="217"/>
    </row>
    <row r="1774" spans="1:24" ht="30" customHeight="1" x14ac:dyDescent="0.35">
      <c r="A1774" s="1077" t="s">
        <v>315</v>
      </c>
      <c r="B1774" s="1116"/>
      <c r="C1774" s="1116"/>
      <c r="D1774" s="1067" t="s">
        <v>1049</v>
      </c>
      <c r="E1774" s="1067"/>
      <c r="F1774" s="1067"/>
      <c r="G1774" s="1067"/>
      <c r="H1774" s="1067"/>
      <c r="I1774" s="1067"/>
      <c r="J1774" s="1067"/>
      <c r="K1774" s="1067"/>
      <c r="L1774" s="1126"/>
      <c r="M1774" s="173"/>
      <c r="N1774" s="419"/>
      <c r="O1774" s="203"/>
      <c r="P1774" s="218"/>
      <c r="Q1774" s="68"/>
      <c r="R1774" s="217"/>
    </row>
    <row r="1775" spans="1:24" ht="60" customHeight="1" x14ac:dyDescent="0.35">
      <c r="A1775" s="1077" t="s">
        <v>316</v>
      </c>
      <c r="B1775" s="1116"/>
      <c r="C1775" s="1116"/>
      <c r="D1775" s="1118" t="s">
        <v>1050</v>
      </c>
      <c r="E1775" s="1118"/>
      <c r="F1775" s="1118"/>
      <c r="G1775" s="1118"/>
      <c r="H1775" s="1118"/>
      <c r="I1775" s="1118"/>
      <c r="J1775" s="1118"/>
      <c r="K1775" s="1118"/>
      <c r="L1775" s="1119"/>
      <c r="M1775" s="173"/>
      <c r="N1775" s="419"/>
      <c r="O1775" s="203"/>
      <c r="P1775" s="218"/>
      <c r="Q1775" s="68"/>
      <c r="R1775" s="217"/>
      <c r="T1775" s="208"/>
      <c r="U1775" s="208"/>
      <c r="V1775" s="208"/>
      <c r="W1775" s="208"/>
      <c r="X1775" s="208"/>
    </row>
    <row r="1776" spans="1:24" s="208" customFormat="1" ht="60" customHeight="1" thickBot="1" x14ac:dyDescent="0.4">
      <c r="A1776" s="1077" t="s">
        <v>318</v>
      </c>
      <c r="B1776" s="1116"/>
      <c r="C1776" s="1116"/>
      <c r="D1776" s="1068" t="s">
        <v>2873</v>
      </c>
      <c r="E1776" s="1068"/>
      <c r="F1776" s="1068"/>
      <c r="G1776" s="1068"/>
      <c r="H1776" s="1068"/>
      <c r="I1776" s="1068"/>
      <c r="J1776" s="1068"/>
      <c r="K1776" s="1068"/>
      <c r="L1776" s="1120"/>
      <c r="M1776" s="173"/>
      <c r="N1776" s="68"/>
      <c r="O1776" s="203"/>
      <c r="P1776" s="218"/>
      <c r="Q1776" s="68"/>
      <c r="R1776" s="217"/>
      <c r="S1776" s="203"/>
      <c r="T1776" s="203"/>
      <c r="U1776" s="203"/>
      <c r="V1776" s="203"/>
      <c r="W1776" s="203"/>
      <c r="X1776" s="203"/>
    </row>
    <row r="1777" spans="1:19" ht="30" customHeight="1" thickBot="1" x14ac:dyDescent="0.4">
      <c r="A1777" s="1086"/>
      <c r="B1777" s="1086"/>
      <c r="C1777" s="1086"/>
      <c r="D1777" s="1086"/>
      <c r="E1777" s="1086"/>
      <c r="F1777" s="1086"/>
      <c r="G1777" s="1086"/>
      <c r="H1777" s="1086"/>
      <c r="I1777" s="1086"/>
      <c r="J1777" s="1086"/>
      <c r="K1777" s="1086"/>
      <c r="L1777" s="1103"/>
      <c r="M1777" s="173"/>
      <c r="N1777" s="208"/>
      <c r="O1777" s="218"/>
      <c r="P1777" s="68"/>
      <c r="Q1777" s="217"/>
      <c r="R1777" s="208"/>
      <c r="S1777" s="208"/>
    </row>
    <row r="1778" spans="1:19" ht="30" customHeight="1" x14ac:dyDescent="0.35">
      <c r="A1778" s="465" t="s">
        <v>278</v>
      </c>
      <c r="B1778" s="539">
        <v>2192</v>
      </c>
      <c r="C1778" s="1017" t="s">
        <v>1051</v>
      </c>
      <c r="D1778" s="1017"/>
      <c r="E1778" s="541" t="s">
        <v>280</v>
      </c>
      <c r="F1778" s="542" t="s">
        <v>10</v>
      </c>
      <c r="G1778" s="543" t="s">
        <v>285</v>
      </c>
      <c r="H1778" s="632">
        <v>1</v>
      </c>
      <c r="I1778" s="541" t="s">
        <v>281</v>
      </c>
      <c r="J1778" s="1019" t="s">
        <v>2371</v>
      </c>
      <c r="K1778" s="1019"/>
      <c r="L1778" s="1020"/>
      <c r="M1778" s="173"/>
      <c r="O1778" s="218"/>
      <c r="P1778" s="68"/>
      <c r="Q1778" s="217"/>
    </row>
    <row r="1779" spans="1:19" ht="30" customHeight="1" x14ac:dyDescent="0.35">
      <c r="A1779" s="588" t="s">
        <v>298</v>
      </c>
      <c r="B1779" s="1038" t="s">
        <v>321</v>
      </c>
      <c r="C1779" s="1038"/>
      <c r="D1779" s="1038"/>
      <c r="E1779" s="23" t="s">
        <v>290</v>
      </c>
      <c r="F1779" s="23" t="s">
        <v>322</v>
      </c>
      <c r="G1779" s="1034" t="s">
        <v>323</v>
      </c>
      <c r="H1779" s="1034"/>
      <c r="I1779" s="509" t="s">
        <v>299</v>
      </c>
      <c r="J1779" s="510"/>
      <c r="K1779" s="1012" t="s">
        <v>292</v>
      </c>
      <c r="L1779" s="1023"/>
      <c r="M1779" s="173"/>
      <c r="O1779" s="218"/>
      <c r="P1779" s="68"/>
      <c r="Q1779" s="217"/>
    </row>
    <row r="1780" spans="1:19" ht="30" customHeight="1" x14ac:dyDescent="0.35">
      <c r="A1780" s="241" t="s">
        <v>902</v>
      </c>
      <c r="B1780" s="1082" t="s">
        <v>2955</v>
      </c>
      <c r="C1780" s="1082"/>
      <c r="D1780" s="1082"/>
      <c r="E1780" s="453">
        <f>80-2.4</f>
        <v>77.599999999999994</v>
      </c>
      <c r="F1780" s="446" t="s">
        <v>8</v>
      </c>
      <c r="G1780" s="456">
        <v>3633</v>
      </c>
      <c r="H1780" s="446" t="s">
        <v>325</v>
      </c>
      <c r="I1780" s="446">
        <v>1.05</v>
      </c>
      <c r="J1780" s="665"/>
      <c r="K1780" s="453">
        <f>+E1780*G1780*I1780</f>
        <v>296016.84000000003</v>
      </c>
      <c r="L1780" s="243" t="s">
        <v>10</v>
      </c>
      <c r="M1780" s="173"/>
      <c r="O1780" s="218"/>
      <c r="P1780" s="68"/>
      <c r="Q1780" s="217"/>
    </row>
    <row r="1781" spans="1:19" ht="30" customHeight="1" x14ac:dyDescent="0.35">
      <c r="A1781" s="241" t="s">
        <v>360</v>
      </c>
      <c r="B1781" s="1082" t="s">
        <v>1022</v>
      </c>
      <c r="C1781" s="1082"/>
      <c r="D1781" s="1082"/>
      <c r="E1781" s="453">
        <v>3.71</v>
      </c>
      <c r="F1781" s="446" t="s">
        <v>8</v>
      </c>
      <c r="G1781" s="456">
        <v>3633</v>
      </c>
      <c r="H1781" s="446" t="s">
        <v>325</v>
      </c>
      <c r="I1781" s="446">
        <v>1.05</v>
      </c>
      <c r="J1781" s="665"/>
      <c r="K1781" s="453">
        <f>+E1781*G1781*I1781</f>
        <v>14152.351500000001</v>
      </c>
      <c r="L1781" s="243" t="s">
        <v>10</v>
      </c>
      <c r="M1781" s="173"/>
      <c r="O1781" s="218"/>
      <c r="P1781" s="68"/>
      <c r="Q1781" s="217"/>
    </row>
    <row r="1782" spans="1:19" ht="30" customHeight="1" x14ac:dyDescent="0.35">
      <c r="A1782" s="241"/>
      <c r="B1782" s="1059" t="s">
        <v>2859</v>
      </c>
      <c r="C1782" s="1059"/>
      <c r="D1782" s="1059"/>
      <c r="E1782" s="453"/>
      <c r="F1782" s="446"/>
      <c r="G1782" s="519"/>
      <c r="H1782" s="508"/>
      <c r="I1782" s="446"/>
      <c r="J1782" s="446" t="s">
        <v>335</v>
      </c>
      <c r="K1782" s="453">
        <f>+K1780+K1781</f>
        <v>310169.19150000002</v>
      </c>
      <c r="L1782" s="243" t="s">
        <v>10</v>
      </c>
      <c r="M1782" s="173"/>
      <c r="O1782" s="218"/>
      <c r="P1782" s="68"/>
      <c r="Q1782" s="217"/>
    </row>
    <row r="1783" spans="1:19" ht="30" customHeight="1" x14ac:dyDescent="0.35">
      <c r="A1783" s="241"/>
      <c r="B1783" s="506"/>
      <c r="C1783" s="506"/>
      <c r="D1783" s="506"/>
      <c r="E1783" s="453"/>
      <c r="F1783" s="1029" t="s">
        <v>302</v>
      </c>
      <c r="G1783" s="1058" t="s">
        <v>303</v>
      </c>
      <c r="H1783" s="1058"/>
      <c r="I1783" s="1058"/>
      <c r="J1783" s="1058"/>
      <c r="K1783" s="612">
        <v>1.1000000000000001</v>
      </c>
      <c r="L1783" s="243"/>
      <c r="M1783" s="173"/>
      <c r="O1783" s="218"/>
      <c r="P1783" s="68"/>
      <c r="Q1783" s="217"/>
    </row>
    <row r="1784" spans="1:19" ht="30" customHeight="1" x14ac:dyDescent="0.35">
      <c r="A1784" s="241"/>
      <c r="B1784" s="506"/>
      <c r="C1784" s="506"/>
      <c r="D1784" s="506"/>
      <c r="E1784" s="453"/>
      <c r="F1784" s="1029"/>
      <c r="G1784" s="1073" t="s">
        <v>2374</v>
      </c>
      <c r="H1784" s="1073"/>
      <c r="I1784" s="1073"/>
      <c r="J1784" s="1073"/>
      <c r="K1784" s="612">
        <v>1.08</v>
      </c>
      <c r="L1784" s="243"/>
      <c r="M1784" s="173"/>
      <c r="O1784" s="218"/>
      <c r="P1784" s="68"/>
      <c r="Q1784" s="217"/>
    </row>
    <row r="1785" spans="1:19" ht="30" customHeight="1" x14ac:dyDescent="0.35">
      <c r="A1785" s="241"/>
      <c r="B1785" s="446"/>
      <c r="C1785" s="458"/>
      <c r="D1785" s="458"/>
      <c r="E1785" s="579"/>
      <c r="F1785" s="458"/>
      <c r="G1785" s="458"/>
      <c r="H1785" s="458"/>
      <c r="I1785" s="458"/>
      <c r="J1785" s="446" t="s">
        <v>2356</v>
      </c>
      <c r="K1785" s="591">
        <f>+K1782*K1783/K1784</f>
        <v>315913.06541666668</v>
      </c>
      <c r="L1785" s="243" t="s">
        <v>10</v>
      </c>
      <c r="M1785" s="173"/>
      <c r="O1785" s="218"/>
      <c r="P1785" s="68"/>
      <c r="Q1785" s="217"/>
    </row>
    <row r="1786" spans="1:19" ht="30" customHeight="1" thickBot="1" x14ac:dyDescent="0.4">
      <c r="A1786" s="241"/>
      <c r="B1786" s="446"/>
      <c r="C1786" s="458"/>
      <c r="D1786" s="458"/>
      <c r="E1786" s="458"/>
      <c r="F1786" s="458"/>
      <c r="G1786" s="592" t="s">
        <v>2358</v>
      </c>
      <c r="H1786" s="458"/>
      <c r="I1786" s="458"/>
      <c r="J1786" s="583">
        <f>VLOOKUP(B1778,'Mil Cost Premiums for PUCs'!$A$4:$R$272,18,FALSE)</f>
        <v>1.0517127009999996</v>
      </c>
      <c r="K1786" s="591">
        <f>+K1785*J1786</f>
        <v>332249.78331055207</v>
      </c>
      <c r="L1786" s="243" t="s">
        <v>10</v>
      </c>
      <c r="M1786" s="173"/>
      <c r="O1786" s="218"/>
      <c r="P1786" s="68"/>
      <c r="Q1786" s="217"/>
    </row>
    <row r="1787" spans="1:19" ht="30" customHeight="1" thickBot="1" x14ac:dyDescent="0.4">
      <c r="A1787" s="1086"/>
      <c r="B1787" s="1086"/>
      <c r="C1787" s="1086"/>
      <c r="D1787" s="1086"/>
      <c r="E1787" s="1086"/>
      <c r="F1787" s="1086"/>
      <c r="G1787" s="1086"/>
      <c r="H1787" s="1086"/>
      <c r="I1787" s="1086"/>
      <c r="J1787" s="1086"/>
      <c r="K1787" s="1086"/>
      <c r="L1787" s="1103"/>
      <c r="M1787" s="173"/>
      <c r="O1787" s="218"/>
      <c r="P1787" s="68"/>
      <c r="Q1787" s="217"/>
    </row>
    <row r="1788" spans="1:19" ht="30" customHeight="1" x14ac:dyDescent="0.35">
      <c r="A1788" s="465" t="s">
        <v>278</v>
      </c>
      <c r="B1788" s="539">
        <v>2211</v>
      </c>
      <c r="C1788" s="1387" t="s">
        <v>1052</v>
      </c>
      <c r="D1788" s="1387"/>
      <c r="E1788" s="541" t="s">
        <v>280</v>
      </c>
      <c r="F1788" s="542" t="s">
        <v>8</v>
      </c>
      <c r="G1788" s="543" t="s">
        <v>285</v>
      </c>
      <c r="H1788" s="756">
        <v>72026</v>
      </c>
      <c r="I1788" s="541" t="s">
        <v>281</v>
      </c>
      <c r="J1788" s="1019" t="s">
        <v>2371</v>
      </c>
      <c r="K1788" s="1019"/>
      <c r="L1788" s="1020"/>
      <c r="M1788" s="173"/>
      <c r="N1788" s="419"/>
      <c r="O1788" s="171"/>
      <c r="P1788" s="216"/>
      <c r="Q1788" s="419"/>
      <c r="R1788" s="219"/>
    </row>
    <row r="1789" spans="1:19" ht="30" customHeight="1" x14ac:dyDescent="0.35">
      <c r="A1789" s="588" t="s">
        <v>298</v>
      </c>
      <c r="B1789" s="1038" t="s">
        <v>321</v>
      </c>
      <c r="C1789" s="1038"/>
      <c r="D1789" s="1038"/>
      <c r="E1789" s="23" t="s">
        <v>290</v>
      </c>
      <c r="F1789" s="23" t="s">
        <v>322</v>
      </c>
      <c r="G1789" s="1012" t="s">
        <v>323</v>
      </c>
      <c r="H1789" s="1012"/>
      <c r="I1789" s="500" t="s">
        <v>928</v>
      </c>
      <c r="J1789" s="509" t="s">
        <v>299</v>
      </c>
      <c r="K1789" s="1012" t="s">
        <v>292</v>
      </c>
      <c r="L1789" s="1023"/>
      <c r="M1789" s="173"/>
      <c r="N1789" s="419"/>
      <c r="O1789" s="171"/>
      <c r="P1789" s="216"/>
      <c r="Q1789" s="419"/>
      <c r="R1789" s="219"/>
    </row>
    <row r="1790" spans="1:19" ht="30" customHeight="1" x14ac:dyDescent="0.35">
      <c r="A1790" s="241" t="s">
        <v>435</v>
      </c>
      <c r="B1790" s="1082" t="s">
        <v>1053</v>
      </c>
      <c r="C1790" s="1082"/>
      <c r="D1790" s="1082"/>
      <c r="E1790" s="453">
        <v>164</v>
      </c>
      <c r="F1790" s="446" t="s">
        <v>8</v>
      </c>
      <c r="G1790" s="53"/>
      <c r="H1790" s="498"/>
      <c r="I1790" s="258">
        <f>+E1790</f>
        <v>164</v>
      </c>
      <c r="J1790" s="446">
        <v>1.01</v>
      </c>
      <c r="K1790" s="40">
        <f>+I1790*J1790</f>
        <v>165.64000000000001</v>
      </c>
      <c r="L1790" s="243" t="s">
        <v>8</v>
      </c>
      <c r="M1790" s="173"/>
      <c r="O1790" s="218"/>
      <c r="P1790" s="68"/>
      <c r="Q1790" s="217"/>
    </row>
    <row r="1791" spans="1:19" ht="30" customHeight="1" x14ac:dyDescent="0.35">
      <c r="A1791" s="241" t="s">
        <v>360</v>
      </c>
      <c r="B1791" s="1082" t="s">
        <v>2957</v>
      </c>
      <c r="C1791" s="1082"/>
      <c r="D1791" s="1082"/>
      <c r="E1791" s="51">
        <v>3.04</v>
      </c>
      <c r="F1791" s="446" t="s">
        <v>8</v>
      </c>
      <c r="G1791" s="700"/>
      <c r="H1791" s="608"/>
      <c r="I1791" s="750">
        <f>+E1791</f>
        <v>3.04</v>
      </c>
      <c r="J1791" s="446">
        <v>1.01</v>
      </c>
      <c r="K1791" s="40">
        <f t="shared" ref="K1791:K1798" si="56">+I1791*J1791</f>
        <v>3.0704000000000002</v>
      </c>
      <c r="L1791" s="243" t="s">
        <v>8</v>
      </c>
      <c r="M1791" s="173"/>
      <c r="O1791" s="218"/>
      <c r="P1791" s="68"/>
      <c r="Q1791" s="217"/>
    </row>
    <row r="1792" spans="1:19" ht="30" customHeight="1" x14ac:dyDescent="0.35">
      <c r="A1792" s="241" t="s">
        <v>436</v>
      </c>
      <c r="B1792" s="1082" t="s">
        <v>1054</v>
      </c>
      <c r="C1792" s="1082"/>
      <c r="D1792" s="1082"/>
      <c r="E1792" s="453">
        <v>224000</v>
      </c>
      <c r="F1792" s="639" t="s">
        <v>10</v>
      </c>
      <c r="G1792" s="750">
        <f>+E1792*2/H1788</f>
        <v>6.2199761197345405</v>
      </c>
      <c r="H1792" s="608" t="s">
        <v>932</v>
      </c>
      <c r="I1792" s="750">
        <f>+E1792*2/H1788</f>
        <v>6.2199761197345405</v>
      </c>
      <c r="J1792" s="446">
        <v>1.02</v>
      </c>
      <c r="K1792" s="40">
        <f>+I1792*J1792</f>
        <v>6.344375642129231</v>
      </c>
      <c r="L1792" s="243" t="s">
        <v>8</v>
      </c>
      <c r="M1792" s="173"/>
      <c r="N1792" s="68"/>
      <c r="O1792" s="203"/>
      <c r="P1792" s="218"/>
      <c r="Q1792" s="68"/>
      <c r="R1792" s="217"/>
    </row>
    <row r="1793" spans="1:24" ht="30" customHeight="1" x14ac:dyDescent="0.35">
      <c r="A1793" s="241" t="s">
        <v>377</v>
      </c>
      <c r="B1793" s="1082" t="s">
        <v>1055</v>
      </c>
      <c r="C1793" s="1082"/>
      <c r="D1793" s="1082"/>
      <c r="E1793" s="453">
        <f>(20.3+31.5)/2</f>
        <v>25.9</v>
      </c>
      <c r="F1793" s="639" t="s">
        <v>8</v>
      </c>
      <c r="G1793" s="700"/>
      <c r="H1793" s="608"/>
      <c r="I1793" s="750">
        <f>81*12*E1793/H1788</f>
        <v>0.34952378307833282</v>
      </c>
      <c r="J1793" s="446">
        <v>1.03</v>
      </c>
      <c r="K1793" s="40">
        <f t="shared" si="56"/>
        <v>0.36000949657068282</v>
      </c>
      <c r="L1793" s="243" t="s">
        <v>8</v>
      </c>
      <c r="M1793" s="173"/>
      <c r="N1793" s="68"/>
      <c r="O1793" s="203"/>
      <c r="P1793" s="218"/>
      <c r="Q1793" s="68"/>
      <c r="R1793" s="217"/>
    </row>
    <row r="1794" spans="1:24" ht="30" customHeight="1" x14ac:dyDescent="0.35">
      <c r="A1794" s="241" t="s">
        <v>377</v>
      </c>
      <c r="B1794" s="1082" t="s">
        <v>1056</v>
      </c>
      <c r="C1794" s="1082"/>
      <c r="D1794" s="1082"/>
      <c r="E1794" s="453">
        <f>(1710+2420)/2</f>
        <v>2065</v>
      </c>
      <c r="F1794" s="639" t="s">
        <v>10</v>
      </c>
      <c r="G1794" s="700"/>
      <c r="H1794" s="608"/>
      <c r="I1794" s="750">
        <f>12*E1794/H1788</f>
        <v>0.34404242912281674</v>
      </c>
      <c r="J1794" s="446">
        <v>1.03</v>
      </c>
      <c r="K1794" s="40">
        <f t="shared" si="56"/>
        <v>0.35436370199650125</v>
      </c>
      <c r="L1794" s="243" t="s">
        <v>8</v>
      </c>
      <c r="M1794" s="173"/>
      <c r="N1794" s="68"/>
      <c r="O1794" s="203"/>
      <c r="P1794" s="218"/>
      <c r="Q1794" s="68"/>
      <c r="R1794" s="217"/>
    </row>
    <row r="1795" spans="1:24" ht="30" customHeight="1" x14ac:dyDescent="0.35">
      <c r="A1795" s="241" t="s">
        <v>380</v>
      </c>
      <c r="B1795" s="1082" t="s">
        <v>1057</v>
      </c>
      <c r="C1795" s="1082"/>
      <c r="D1795" s="1082"/>
      <c r="E1795" s="453">
        <f>+(34.5+82)/2</f>
        <v>58.25</v>
      </c>
      <c r="F1795" s="639" t="s">
        <v>6</v>
      </c>
      <c r="G1795" s="700">
        <f>12*10</f>
        <v>120</v>
      </c>
      <c r="H1795" s="608" t="s">
        <v>1058</v>
      </c>
      <c r="I1795" s="750">
        <f>+E1795*G1795/$H$1788</f>
        <v>9.7048288118179546E-2</v>
      </c>
      <c r="J1795" s="446">
        <v>1.03</v>
      </c>
      <c r="K1795" s="40">
        <f t="shared" si="56"/>
        <v>9.995973676172494E-2</v>
      </c>
      <c r="L1795" s="243" t="s">
        <v>8</v>
      </c>
      <c r="M1795" s="173"/>
      <c r="N1795" s="68"/>
      <c r="O1795" s="203"/>
      <c r="P1795" s="218"/>
      <c r="Q1795" s="68"/>
      <c r="R1795" s="217"/>
    </row>
    <row r="1796" spans="1:24" ht="30" customHeight="1" x14ac:dyDescent="0.35">
      <c r="A1796" s="241" t="s">
        <v>380</v>
      </c>
      <c r="B1796" s="1082" t="s">
        <v>383</v>
      </c>
      <c r="C1796" s="1082"/>
      <c r="D1796" s="1082"/>
      <c r="E1796" s="453">
        <f>+(6450+12300)/2</f>
        <v>9375</v>
      </c>
      <c r="F1796" s="639" t="s">
        <v>10</v>
      </c>
      <c r="G1796" s="700">
        <v>12</v>
      </c>
      <c r="H1796" s="608" t="s">
        <v>932</v>
      </c>
      <c r="I1796" s="750">
        <f>+E1796*G1796/$H$1788</f>
        <v>1.5619359675672673</v>
      </c>
      <c r="J1796" s="446">
        <v>1.03</v>
      </c>
      <c r="K1796" s="40">
        <f t="shared" si="56"/>
        <v>1.6087940465942854</v>
      </c>
      <c r="L1796" s="243" t="s">
        <v>8</v>
      </c>
      <c r="M1796" s="173"/>
      <c r="N1796" s="68"/>
      <c r="O1796" s="203"/>
      <c r="P1796" s="218"/>
      <c r="Q1796" s="68"/>
      <c r="R1796" s="217"/>
    </row>
    <row r="1797" spans="1:24" ht="30" customHeight="1" x14ac:dyDescent="0.35">
      <c r="A1797" s="241" t="s">
        <v>380</v>
      </c>
      <c r="B1797" s="1082" t="s">
        <v>939</v>
      </c>
      <c r="C1797" s="1082"/>
      <c r="D1797" s="1082"/>
      <c r="E1797" s="51">
        <f>+(660+1010)/2</f>
        <v>835</v>
      </c>
      <c r="F1797" s="639" t="s">
        <v>10</v>
      </c>
      <c r="G1797" s="700">
        <v>12</v>
      </c>
      <c r="H1797" s="608" t="s">
        <v>932</v>
      </c>
      <c r="I1797" s="750">
        <f>+E1797*G1797/$H$1788</f>
        <v>0.13911643017799127</v>
      </c>
      <c r="J1797" s="446">
        <v>1.03</v>
      </c>
      <c r="K1797" s="40">
        <f t="shared" si="56"/>
        <v>0.14328992308333102</v>
      </c>
      <c r="L1797" s="243" t="s">
        <v>8</v>
      </c>
      <c r="M1797" s="173"/>
      <c r="N1797" s="68"/>
      <c r="O1797" s="203"/>
      <c r="P1797" s="218"/>
      <c r="Q1797" s="68"/>
      <c r="R1797" s="217"/>
    </row>
    <row r="1798" spans="1:24" ht="30" customHeight="1" x14ac:dyDescent="0.35">
      <c r="A1798" s="241" t="s">
        <v>380</v>
      </c>
      <c r="B1798" s="1082" t="s">
        <v>385</v>
      </c>
      <c r="C1798" s="1082"/>
      <c r="D1798" s="1082"/>
      <c r="E1798" s="453">
        <f>+(1160+3475)/2</f>
        <v>2317.5</v>
      </c>
      <c r="F1798" s="639" t="s">
        <v>10</v>
      </c>
      <c r="G1798" s="700">
        <v>12</v>
      </c>
      <c r="H1798" s="608" t="s">
        <v>932</v>
      </c>
      <c r="I1798" s="750">
        <f>+E1798*G1798/$H$1788</f>
        <v>0.38611057118262848</v>
      </c>
      <c r="J1798" s="446">
        <v>1.03</v>
      </c>
      <c r="K1798" s="40">
        <f t="shared" si="56"/>
        <v>0.39769388831810737</v>
      </c>
      <c r="L1798" s="243" t="s">
        <v>8</v>
      </c>
      <c r="M1798" s="173"/>
      <c r="N1798" s="68"/>
      <c r="O1798" s="203"/>
      <c r="P1798" s="218"/>
      <c r="Q1798" s="68"/>
      <c r="R1798" s="217"/>
    </row>
    <row r="1799" spans="1:24" ht="30" customHeight="1" x14ac:dyDescent="0.35">
      <c r="A1799" s="241"/>
      <c r="B1799" s="1082"/>
      <c r="C1799" s="1082"/>
      <c r="D1799" s="1082"/>
      <c r="E1799" s="453"/>
      <c r="F1799" s="446"/>
      <c r="G1799" s="519"/>
      <c r="H1799" s="508"/>
      <c r="I1799" s="508"/>
      <c r="J1799" s="446" t="s">
        <v>362</v>
      </c>
      <c r="K1799" s="453">
        <f>SUM(K1790:K1798)</f>
        <v>178.01888643545388</v>
      </c>
      <c r="L1799" s="243" t="s">
        <v>8</v>
      </c>
      <c r="M1799" s="173"/>
      <c r="N1799" s="68"/>
      <c r="O1799" s="203"/>
      <c r="P1799" s="218"/>
      <c r="Q1799" s="68"/>
      <c r="R1799" s="217"/>
    </row>
    <row r="1800" spans="1:24" ht="30" customHeight="1" x14ac:dyDescent="0.35">
      <c r="A1800" s="241"/>
      <c r="B1800" s="506"/>
      <c r="C1800" s="506"/>
      <c r="D1800" s="506"/>
      <c r="E1800" s="506"/>
      <c r="F1800" s="1029" t="s">
        <v>302</v>
      </c>
      <c r="G1800" s="1104" t="s">
        <v>303</v>
      </c>
      <c r="H1800" s="1104"/>
      <c r="I1800" s="1104"/>
      <c r="J1800" s="1104"/>
      <c r="K1800" s="612">
        <v>1.08</v>
      </c>
      <c r="L1800" s="243"/>
      <c r="M1800" s="173"/>
      <c r="N1800" s="68"/>
      <c r="O1800" s="203"/>
      <c r="P1800" s="218"/>
      <c r="Q1800" s="68"/>
      <c r="R1800" s="217"/>
    </row>
    <row r="1801" spans="1:24" ht="30" customHeight="1" x14ac:dyDescent="0.35">
      <c r="A1801" s="241"/>
      <c r="B1801" s="506"/>
      <c r="C1801" s="506"/>
      <c r="D1801" s="506"/>
      <c r="E1801" s="506"/>
      <c r="F1801" s="1029"/>
      <c r="G1801" s="1073" t="s">
        <v>2374</v>
      </c>
      <c r="H1801" s="1073"/>
      <c r="I1801" s="1073"/>
      <c r="J1801" s="1073"/>
      <c r="K1801" s="612">
        <v>1.08</v>
      </c>
      <c r="L1801" s="243"/>
      <c r="M1801" s="173"/>
      <c r="N1801" s="68"/>
      <c r="O1801" s="171"/>
      <c r="P1801" s="216"/>
      <c r="Q1801" s="68"/>
      <c r="R1801" s="217"/>
    </row>
    <row r="1802" spans="1:24" ht="30" customHeight="1" x14ac:dyDescent="0.35">
      <c r="A1802" s="241"/>
      <c r="B1802" s="446"/>
      <c r="C1802" s="458"/>
      <c r="D1802" s="458"/>
      <c r="E1802" s="458"/>
      <c r="F1802" s="458"/>
      <c r="G1802" s="458"/>
      <c r="H1802" s="458"/>
      <c r="I1802" s="458"/>
      <c r="J1802" s="446" t="s">
        <v>2356</v>
      </c>
      <c r="K1802" s="591">
        <f>+K1799*K1800/K1801</f>
        <v>178.01888643545388</v>
      </c>
      <c r="L1802" s="243" t="s">
        <v>8</v>
      </c>
      <c r="M1802" s="173"/>
      <c r="N1802" s="68"/>
      <c r="O1802" s="267"/>
      <c r="P1802" s="216"/>
      <c r="Q1802" s="68"/>
      <c r="R1802" s="217"/>
      <c r="T1802" s="208"/>
      <c r="U1802" s="208"/>
      <c r="V1802" s="208"/>
      <c r="W1802" s="208"/>
      <c r="X1802" s="208"/>
    </row>
    <row r="1803" spans="1:24" s="208" customFormat="1" ht="30" customHeight="1" x14ac:dyDescent="0.35">
      <c r="A1803" s="582"/>
      <c r="B1803" s="492"/>
      <c r="C1803" s="20"/>
      <c r="D1803" s="20"/>
      <c r="E1803" s="20"/>
      <c r="F1803" s="20"/>
      <c r="G1803" s="1279" t="s">
        <v>2359</v>
      </c>
      <c r="H1803" s="1279"/>
      <c r="I1803" s="1279"/>
      <c r="J1803" s="583">
        <f>VLOOKUP(B1788,'Mil Cost Premiums for PUCs'!$A$4:$R$272,18,FALSE)</f>
        <v>1.1932356231980656</v>
      </c>
      <c r="K1803" s="777">
        <f>+K1802*J1803</f>
        <v>212.41847689683448</v>
      </c>
      <c r="L1803" s="243" t="s">
        <v>8</v>
      </c>
      <c r="M1803" s="173"/>
      <c r="N1803" s="68"/>
      <c r="O1803" s="171"/>
      <c r="P1803" s="216"/>
      <c r="Q1803" s="68"/>
      <c r="R1803" s="217"/>
      <c r="S1803" s="203"/>
      <c r="T1803" s="203"/>
      <c r="U1803" s="203"/>
      <c r="V1803" s="203"/>
      <c r="W1803" s="203"/>
      <c r="X1803" s="203"/>
    </row>
    <row r="1804" spans="1:24" ht="60" customHeight="1" x14ac:dyDescent="0.35">
      <c r="A1804" s="1064" t="s">
        <v>305</v>
      </c>
      <c r="B1804" s="1067"/>
      <c r="C1804" s="1067"/>
      <c r="D1804" s="1067"/>
      <c r="E1804" s="1067"/>
      <c r="F1804" s="1067"/>
      <c r="G1804" s="1067"/>
      <c r="H1804" s="1067"/>
      <c r="I1804" s="1067"/>
      <c r="J1804" s="1067"/>
      <c r="K1804" s="1067"/>
      <c r="L1804" s="1126"/>
      <c r="M1804" s="173"/>
      <c r="N1804" s="68"/>
      <c r="O1804" s="75"/>
      <c r="P1804" s="216"/>
      <c r="Q1804" s="68"/>
      <c r="R1804" s="217"/>
      <c r="S1804" s="208"/>
    </row>
    <row r="1805" spans="1:24" ht="30" customHeight="1" x14ac:dyDescent="0.35">
      <c r="A1805" s="1077" t="s">
        <v>306</v>
      </c>
      <c r="B1805" s="1116"/>
      <c r="C1805" s="1116"/>
      <c r="D1805" s="1067" t="s">
        <v>1059</v>
      </c>
      <c r="E1805" s="1067"/>
      <c r="F1805" s="1067"/>
      <c r="G1805" s="1067"/>
      <c r="H1805" s="1067"/>
      <c r="I1805" s="1067"/>
      <c r="J1805" s="1067"/>
      <c r="K1805" s="1067"/>
      <c r="L1805" s="1126"/>
      <c r="M1805" s="173"/>
      <c r="N1805" s="68"/>
      <c r="O1805" s="203"/>
      <c r="P1805" s="216"/>
      <c r="Q1805" s="68"/>
      <c r="R1805" s="217"/>
    </row>
    <row r="1806" spans="1:24" ht="45" customHeight="1" x14ac:dyDescent="0.35">
      <c r="A1806" s="1077" t="s">
        <v>307</v>
      </c>
      <c r="B1806" s="1116"/>
      <c r="C1806" s="1116"/>
      <c r="D1806" s="1067" t="s">
        <v>1060</v>
      </c>
      <c r="E1806" s="1067"/>
      <c r="F1806" s="1067"/>
      <c r="G1806" s="1067"/>
      <c r="H1806" s="1067"/>
      <c r="I1806" s="1067"/>
      <c r="J1806" s="1067"/>
      <c r="K1806" s="1067"/>
      <c r="L1806" s="1126"/>
      <c r="M1806" s="173"/>
      <c r="N1806" s="68"/>
      <c r="O1806" s="203"/>
      <c r="P1806" s="216"/>
      <c r="Q1806" s="68"/>
      <c r="R1806" s="217"/>
    </row>
    <row r="1807" spans="1:24" ht="30" customHeight="1" x14ac:dyDescent="0.35">
      <c r="A1807" s="1077" t="s">
        <v>308</v>
      </c>
      <c r="B1807" s="1116"/>
      <c r="C1807" s="1116"/>
      <c r="D1807" s="1067" t="s">
        <v>2974</v>
      </c>
      <c r="E1807" s="1067"/>
      <c r="F1807" s="1067"/>
      <c r="G1807" s="1067"/>
      <c r="H1807" s="1067"/>
      <c r="I1807" s="1067"/>
      <c r="J1807" s="1067"/>
      <c r="K1807" s="1067"/>
      <c r="L1807" s="1126"/>
      <c r="M1807" s="173"/>
      <c r="N1807" s="68"/>
      <c r="O1807" s="203"/>
      <c r="P1807" s="218"/>
      <c r="Q1807" s="68"/>
      <c r="R1807" s="217"/>
    </row>
    <row r="1808" spans="1:24" ht="30" customHeight="1" x14ac:dyDescent="0.35">
      <c r="A1808" s="1077" t="s">
        <v>309</v>
      </c>
      <c r="B1808" s="1116"/>
      <c r="C1808" s="1116"/>
      <c r="D1808" s="1067" t="s">
        <v>1061</v>
      </c>
      <c r="E1808" s="1067"/>
      <c r="F1808" s="1067"/>
      <c r="G1808" s="1067"/>
      <c r="H1808" s="1067"/>
      <c r="I1808" s="1067"/>
      <c r="J1808" s="1067"/>
      <c r="K1808" s="1067"/>
      <c r="L1808" s="1126"/>
      <c r="M1808" s="173"/>
      <c r="N1808" s="68"/>
      <c r="O1808" s="203"/>
      <c r="P1808" s="218"/>
      <c r="Q1808" s="68"/>
      <c r="R1808" s="217"/>
    </row>
    <row r="1809" spans="1:24" ht="105" customHeight="1" x14ac:dyDescent="0.35">
      <c r="A1809" s="1077" t="s">
        <v>311</v>
      </c>
      <c r="B1809" s="1116"/>
      <c r="C1809" s="1116"/>
      <c r="D1809" s="1067" t="s">
        <v>2956</v>
      </c>
      <c r="E1809" s="1067"/>
      <c r="F1809" s="1067"/>
      <c r="G1809" s="1067"/>
      <c r="H1809" s="1067"/>
      <c r="I1809" s="1067"/>
      <c r="J1809" s="1067"/>
      <c r="K1809" s="1067"/>
      <c r="L1809" s="1126"/>
      <c r="M1809" s="173"/>
      <c r="N1809" s="419"/>
      <c r="O1809" s="171"/>
      <c r="P1809" s="216"/>
      <c r="Q1809" s="419"/>
      <c r="R1809" s="219"/>
    </row>
    <row r="1810" spans="1:24" ht="30" customHeight="1" x14ac:dyDescent="0.35">
      <c r="A1810" s="1077" t="s">
        <v>313</v>
      </c>
      <c r="B1810" s="1116"/>
      <c r="C1810" s="1116"/>
      <c r="D1810" s="1067" t="s">
        <v>2217</v>
      </c>
      <c r="E1810" s="1067"/>
      <c r="F1810" s="1067"/>
      <c r="G1810" s="1067"/>
      <c r="H1810" s="1067"/>
      <c r="I1810" s="1067"/>
      <c r="J1810" s="1067"/>
      <c r="K1810" s="1067"/>
      <c r="L1810" s="1126"/>
      <c r="M1810" s="173"/>
      <c r="N1810" s="419"/>
      <c r="O1810" s="171"/>
      <c r="P1810" s="216"/>
      <c r="Q1810" s="419"/>
      <c r="R1810" s="219"/>
    </row>
    <row r="1811" spans="1:24" ht="30" customHeight="1" x14ac:dyDescent="0.35">
      <c r="A1811" s="1077" t="s">
        <v>315</v>
      </c>
      <c r="B1811" s="1116"/>
      <c r="C1811" s="1116"/>
      <c r="D1811" s="1129" t="s">
        <v>403</v>
      </c>
      <c r="E1811" s="1129"/>
      <c r="F1811" s="1129"/>
      <c r="G1811" s="1129"/>
      <c r="H1811" s="1129"/>
      <c r="I1811" s="1129"/>
      <c r="J1811" s="1129"/>
      <c r="K1811" s="1129"/>
      <c r="L1811" s="1130"/>
      <c r="M1811" s="173"/>
      <c r="N1811" s="68"/>
      <c r="O1811" s="203"/>
      <c r="P1811" s="218"/>
      <c r="Q1811" s="68"/>
      <c r="R1811" s="217"/>
    </row>
    <row r="1812" spans="1:24" ht="75" customHeight="1" x14ac:dyDescent="0.35">
      <c r="A1812" s="1077" t="s">
        <v>316</v>
      </c>
      <c r="B1812" s="1116"/>
      <c r="C1812" s="1116"/>
      <c r="D1812" s="1067" t="s">
        <v>1062</v>
      </c>
      <c r="E1812" s="1067"/>
      <c r="F1812" s="1067"/>
      <c r="G1812" s="1067"/>
      <c r="H1812" s="1067"/>
      <c r="I1812" s="1067"/>
      <c r="J1812" s="1067"/>
      <c r="K1812" s="1067"/>
      <c r="L1812" s="1126"/>
      <c r="M1812" s="173"/>
      <c r="N1812" s="68"/>
      <c r="O1812" s="203"/>
      <c r="P1812" s="218"/>
      <c r="Q1812" s="68"/>
      <c r="R1812" s="217"/>
    </row>
    <row r="1813" spans="1:24" ht="60" customHeight="1" thickBot="1" x14ac:dyDescent="0.4">
      <c r="A1813" s="1077" t="s">
        <v>318</v>
      </c>
      <c r="B1813" s="1116"/>
      <c r="C1813" s="1116"/>
      <c r="D1813" s="1068" t="s">
        <v>2975</v>
      </c>
      <c r="E1813" s="1068"/>
      <c r="F1813" s="1068"/>
      <c r="G1813" s="1068"/>
      <c r="H1813" s="1068"/>
      <c r="I1813" s="1068"/>
      <c r="J1813" s="1068"/>
      <c r="K1813" s="1068"/>
      <c r="L1813" s="1120"/>
      <c r="M1813" s="173"/>
      <c r="N1813" s="68"/>
      <c r="O1813" s="203"/>
      <c r="P1813" s="218"/>
      <c r="Q1813" s="68"/>
      <c r="R1813" s="217"/>
      <c r="T1813" s="208"/>
      <c r="U1813" s="208"/>
      <c r="V1813" s="208"/>
      <c r="W1813" s="208"/>
      <c r="X1813" s="208"/>
    </row>
    <row r="1814" spans="1:24" s="208" customFormat="1" ht="30" customHeight="1" thickBot="1" x14ac:dyDescent="0.4">
      <c r="A1814" s="1086"/>
      <c r="B1814" s="1086"/>
      <c r="C1814" s="1086"/>
      <c r="D1814" s="1086"/>
      <c r="E1814" s="1086"/>
      <c r="F1814" s="1086"/>
      <c r="G1814" s="1086"/>
      <c r="H1814" s="1086"/>
      <c r="I1814" s="1086"/>
      <c r="J1814" s="1086"/>
      <c r="K1814" s="1086"/>
      <c r="L1814" s="1103"/>
      <c r="M1814" s="173"/>
      <c r="N1814" s="68"/>
      <c r="O1814" s="203"/>
      <c r="P1814" s="218"/>
      <c r="Q1814" s="68"/>
      <c r="R1814" s="217"/>
      <c r="S1814" s="203"/>
      <c r="T1814" s="203"/>
      <c r="U1814" s="203"/>
      <c r="V1814" s="203"/>
      <c r="W1814" s="203"/>
      <c r="X1814" s="203"/>
    </row>
    <row r="1815" spans="1:24" s="208" customFormat="1" ht="30" customHeight="1" x14ac:dyDescent="0.35">
      <c r="A1815" s="465" t="s">
        <v>278</v>
      </c>
      <c r="B1815" s="539">
        <v>2213</v>
      </c>
      <c r="C1815" s="1017" t="s">
        <v>2858</v>
      </c>
      <c r="D1815" s="1017"/>
      <c r="E1815" s="541" t="s">
        <v>280</v>
      </c>
      <c r="F1815" s="542" t="s">
        <v>8</v>
      </c>
      <c r="G1815" s="543" t="s">
        <v>285</v>
      </c>
      <c r="H1815" s="632">
        <v>713</v>
      </c>
      <c r="I1815" s="541" t="s">
        <v>281</v>
      </c>
      <c r="J1815" s="1019" t="s">
        <v>2371</v>
      </c>
      <c r="K1815" s="1019"/>
      <c r="L1815" s="1020"/>
      <c r="M1815" s="173"/>
      <c r="N1815" s="68"/>
      <c r="O1815" s="203"/>
      <c r="P1815" s="218"/>
      <c r="Q1815" s="68"/>
      <c r="R1815" s="217"/>
      <c r="S1815" s="203"/>
      <c r="T1815" s="203"/>
      <c r="U1815" s="203"/>
      <c r="V1815" s="203"/>
      <c r="W1815" s="203"/>
      <c r="X1815" s="203"/>
    </row>
    <row r="1816" spans="1:24" ht="30" customHeight="1" x14ac:dyDescent="0.35">
      <c r="A1816" s="588" t="s">
        <v>298</v>
      </c>
      <c r="B1816" s="1038" t="s">
        <v>321</v>
      </c>
      <c r="C1816" s="1038"/>
      <c r="D1816" s="1038"/>
      <c r="E1816" s="23" t="s">
        <v>290</v>
      </c>
      <c r="F1816" s="23" t="s">
        <v>322</v>
      </c>
      <c r="G1816" s="1034" t="s">
        <v>323</v>
      </c>
      <c r="H1816" s="1034"/>
      <c r="I1816" s="509" t="s">
        <v>299</v>
      </c>
      <c r="J1816" s="509"/>
      <c r="K1816" s="1012" t="s">
        <v>292</v>
      </c>
      <c r="L1816" s="1023"/>
      <c r="M1816" s="173"/>
      <c r="N1816" s="68"/>
      <c r="O1816" s="208"/>
      <c r="P1816" s="218"/>
      <c r="Q1816" s="68"/>
      <c r="R1816" s="217"/>
      <c r="S1816" s="208"/>
    </row>
    <row r="1817" spans="1:24" ht="45" customHeight="1" x14ac:dyDescent="0.35">
      <c r="A1817" s="241" t="s">
        <v>435</v>
      </c>
      <c r="B1817" s="1082" t="s">
        <v>1069</v>
      </c>
      <c r="C1817" s="1082"/>
      <c r="D1817" s="1082"/>
      <c r="E1817" s="453">
        <v>29.5</v>
      </c>
      <c r="F1817" s="446" t="s">
        <v>8</v>
      </c>
      <c r="G1817" s="454"/>
      <c r="H1817" s="446"/>
      <c r="I1817" s="612">
        <v>1.03</v>
      </c>
      <c r="J1817" s="446"/>
      <c r="K1817" s="453">
        <f>+E1817*I1817</f>
        <v>30.385000000000002</v>
      </c>
      <c r="L1817" s="243" t="s">
        <v>8</v>
      </c>
      <c r="M1817" s="173"/>
      <c r="N1817" s="68"/>
      <c r="O1817" s="203"/>
      <c r="P1817" s="218"/>
      <c r="Q1817" s="68"/>
      <c r="R1817" s="217"/>
    </row>
    <row r="1818" spans="1:24" ht="30" customHeight="1" x14ac:dyDescent="0.35">
      <c r="A1818" s="241" t="s">
        <v>360</v>
      </c>
      <c r="B1818" s="1031" t="s">
        <v>1070</v>
      </c>
      <c r="C1818" s="1031"/>
      <c r="D1818" s="1031"/>
      <c r="E1818" s="453">
        <v>4.1500000000000004</v>
      </c>
      <c r="F1818" s="639" t="s">
        <v>8</v>
      </c>
      <c r="G1818" s="519"/>
      <c r="H1818" s="508"/>
      <c r="I1818" s="612">
        <v>1.03</v>
      </c>
      <c r="J1818" s="446"/>
      <c r="K1818" s="453">
        <f>+E1818*I1818</f>
        <v>4.2745000000000006</v>
      </c>
      <c r="L1818" s="243" t="s">
        <v>8</v>
      </c>
      <c r="M1818" s="173"/>
      <c r="N1818" s="68"/>
      <c r="O1818" s="203"/>
      <c r="P1818" s="218"/>
      <c r="Q1818" s="68"/>
      <c r="R1818" s="217"/>
    </row>
    <row r="1819" spans="1:24" ht="30" customHeight="1" x14ac:dyDescent="0.35">
      <c r="A1819" s="241"/>
      <c r="B1819" s="1059"/>
      <c r="C1819" s="1059"/>
      <c r="D1819" s="1059"/>
      <c r="E1819" s="453"/>
      <c r="F1819" s="446"/>
      <c r="G1819" s="519"/>
      <c r="H1819" s="508"/>
      <c r="I1819" s="446"/>
      <c r="J1819" s="446" t="s">
        <v>335</v>
      </c>
      <c r="K1819" s="453">
        <f>SUM(K1817:K1818)</f>
        <v>34.659500000000001</v>
      </c>
      <c r="L1819" s="243" t="s">
        <v>8</v>
      </c>
      <c r="M1819" s="173"/>
      <c r="N1819" s="68"/>
      <c r="O1819" s="203"/>
      <c r="P1819" s="218"/>
      <c r="Q1819" s="68"/>
      <c r="R1819" s="217"/>
    </row>
    <row r="1820" spans="1:24" ht="30" customHeight="1" x14ac:dyDescent="0.35">
      <c r="A1820" s="241"/>
      <c r="B1820" s="506"/>
      <c r="C1820" s="506"/>
      <c r="D1820" s="506"/>
      <c r="E1820" s="453"/>
      <c r="F1820" s="1029" t="s">
        <v>302</v>
      </c>
      <c r="G1820" s="1058" t="s">
        <v>303</v>
      </c>
      <c r="H1820" s="1058"/>
      <c r="I1820" s="1058"/>
      <c r="J1820" s="1058"/>
      <c r="K1820" s="612">
        <v>1.07</v>
      </c>
      <c r="L1820" s="243"/>
      <c r="M1820" s="173"/>
      <c r="N1820" s="68"/>
      <c r="O1820" s="203"/>
      <c r="P1820" s="218"/>
      <c r="Q1820" s="68"/>
      <c r="R1820" s="217"/>
    </row>
    <row r="1821" spans="1:24" ht="30" customHeight="1" x14ac:dyDescent="0.35">
      <c r="A1821" s="241"/>
      <c r="B1821" s="506"/>
      <c r="C1821" s="506"/>
      <c r="D1821" s="506"/>
      <c r="E1821" s="453"/>
      <c r="F1821" s="1029"/>
      <c r="G1821" s="1073" t="s">
        <v>2374</v>
      </c>
      <c r="H1821" s="1073"/>
      <c r="I1821" s="1073"/>
      <c r="J1821" s="1073"/>
      <c r="K1821" s="612">
        <v>1.08</v>
      </c>
      <c r="L1821" s="243"/>
      <c r="M1821" s="173"/>
      <c r="N1821" s="68"/>
      <c r="O1821" s="203"/>
      <c r="P1821" s="218"/>
      <c r="Q1821" s="68"/>
      <c r="R1821" s="217"/>
    </row>
    <row r="1822" spans="1:24" ht="30" customHeight="1" x14ac:dyDescent="0.35">
      <c r="A1822" s="241"/>
      <c r="B1822" s="446"/>
      <c r="C1822" s="458"/>
      <c r="D1822" s="458"/>
      <c r="E1822" s="458"/>
      <c r="F1822" s="458"/>
      <c r="G1822" s="458"/>
      <c r="H1822" s="458"/>
      <c r="I1822" s="458"/>
      <c r="J1822" s="446" t="s">
        <v>2356</v>
      </c>
      <c r="K1822" s="591">
        <f>+K1819*K1820/K1821</f>
        <v>34.338578703703703</v>
      </c>
      <c r="L1822" s="243" t="s">
        <v>8</v>
      </c>
      <c r="M1822" s="173"/>
      <c r="N1822" s="68"/>
      <c r="O1822" s="203"/>
      <c r="P1822" s="218"/>
      <c r="Q1822" s="68"/>
      <c r="R1822" s="217"/>
    </row>
    <row r="1823" spans="1:24" ht="30" customHeight="1" thickBot="1" x14ac:dyDescent="0.4">
      <c r="A1823" s="575"/>
      <c r="B1823" s="1109" t="s">
        <v>2973</v>
      </c>
      <c r="C1823" s="1109"/>
      <c r="D1823" s="1109"/>
      <c r="E1823" s="458"/>
      <c r="F1823" s="458"/>
      <c r="G1823" s="592" t="s">
        <v>2358</v>
      </c>
      <c r="H1823" s="458"/>
      <c r="I1823" s="458"/>
      <c r="J1823" s="583">
        <f>VLOOKUP(B1815,'Mil Cost Premiums for PUCs'!$A$4:$R$272,18,FALSE)</f>
        <v>1.1837478839085387</v>
      </c>
      <c r="K1823" s="591">
        <f>+K1822*J1823</f>
        <v>40.648219876936068</v>
      </c>
      <c r="L1823" s="243" t="s">
        <v>8</v>
      </c>
      <c r="M1823" s="173"/>
      <c r="N1823" s="419"/>
      <c r="O1823" s="171"/>
      <c r="P1823" s="216"/>
      <c r="Q1823" s="419"/>
      <c r="R1823" s="219"/>
    </row>
    <row r="1824" spans="1:24" ht="30" customHeight="1" thickBot="1" x14ac:dyDescent="0.4">
      <c r="A1824" s="1086"/>
      <c r="B1824" s="1086"/>
      <c r="C1824" s="1086"/>
      <c r="D1824" s="1086"/>
      <c r="E1824" s="1086"/>
      <c r="F1824" s="1086"/>
      <c r="G1824" s="1086"/>
      <c r="H1824" s="1086"/>
      <c r="I1824" s="1086"/>
      <c r="J1824" s="1086"/>
      <c r="K1824" s="1086"/>
      <c r="L1824" s="1103"/>
      <c r="M1824" s="173"/>
      <c r="N1824" s="419"/>
      <c r="O1824" s="171"/>
      <c r="P1824" s="216"/>
      <c r="Q1824" s="419"/>
      <c r="R1824" s="219"/>
    </row>
    <row r="1825" spans="1:24" ht="30" customHeight="1" x14ac:dyDescent="0.35">
      <c r="A1825" s="465" t="s">
        <v>278</v>
      </c>
      <c r="B1825" s="539">
        <v>2221</v>
      </c>
      <c r="C1825" s="1017" t="s">
        <v>1063</v>
      </c>
      <c r="D1825" s="1017"/>
      <c r="E1825" s="541" t="s">
        <v>280</v>
      </c>
      <c r="F1825" s="542" t="s">
        <v>8</v>
      </c>
      <c r="G1825" s="543" t="s">
        <v>285</v>
      </c>
      <c r="H1825" s="632">
        <v>14692</v>
      </c>
      <c r="I1825" s="541" t="s">
        <v>281</v>
      </c>
      <c r="J1825" s="1019" t="s">
        <v>2371</v>
      </c>
      <c r="K1825" s="1019"/>
      <c r="L1825" s="1020"/>
      <c r="M1825" s="173"/>
      <c r="N1825" s="68"/>
      <c r="O1825" s="203"/>
      <c r="P1825" s="218"/>
      <c r="Q1825" s="68"/>
      <c r="R1825" s="217"/>
    </row>
    <row r="1826" spans="1:24" ht="30" customHeight="1" x14ac:dyDescent="0.35">
      <c r="A1826" s="588" t="s">
        <v>298</v>
      </c>
      <c r="B1826" s="1038" t="s">
        <v>321</v>
      </c>
      <c r="C1826" s="1038"/>
      <c r="D1826" s="1038"/>
      <c r="E1826" s="23" t="s">
        <v>290</v>
      </c>
      <c r="F1826" s="23" t="s">
        <v>322</v>
      </c>
      <c r="G1826" s="1034" t="s">
        <v>323</v>
      </c>
      <c r="H1826" s="1034"/>
      <c r="I1826" s="509" t="s">
        <v>299</v>
      </c>
      <c r="J1826" s="509"/>
      <c r="K1826" s="1012" t="s">
        <v>292</v>
      </c>
      <c r="L1826" s="1023"/>
      <c r="M1826" s="173"/>
      <c r="N1826" s="68"/>
      <c r="O1826" s="208"/>
      <c r="P1826" s="218"/>
      <c r="Q1826" s="68"/>
      <c r="R1826" s="217"/>
      <c r="S1826" s="208"/>
    </row>
    <row r="1827" spans="1:24" ht="45" customHeight="1" x14ac:dyDescent="0.35">
      <c r="A1827" s="241" t="s">
        <v>435</v>
      </c>
      <c r="B1827" s="1082" t="s">
        <v>2204</v>
      </c>
      <c r="C1827" s="1082"/>
      <c r="D1827" s="1082"/>
      <c r="E1827" s="453">
        <f>164-2.51</f>
        <v>161.49</v>
      </c>
      <c r="F1827" s="446" t="s">
        <v>8</v>
      </c>
      <c r="G1827" s="454"/>
      <c r="H1827" s="446"/>
      <c r="I1827" s="446">
        <v>1.01</v>
      </c>
      <c r="J1827" s="446"/>
      <c r="K1827" s="453">
        <f>+E1827*I1827</f>
        <v>163.10490000000001</v>
      </c>
      <c r="L1827" s="243" t="s">
        <v>8</v>
      </c>
      <c r="M1827" s="173"/>
      <c r="N1827" s="68"/>
      <c r="O1827" s="203"/>
      <c r="P1827" s="218"/>
      <c r="Q1827" s="68"/>
      <c r="R1827" s="217"/>
      <c r="T1827" s="208"/>
      <c r="U1827" s="208"/>
      <c r="V1827" s="208"/>
      <c r="W1827" s="208"/>
      <c r="X1827" s="208"/>
    </row>
    <row r="1828" spans="1:24" s="208" customFormat="1" ht="30" customHeight="1" x14ac:dyDescent="0.35">
      <c r="A1828" s="241" t="s">
        <v>436</v>
      </c>
      <c r="B1828" s="1082" t="s">
        <v>1064</v>
      </c>
      <c r="C1828" s="1082"/>
      <c r="D1828" s="1082"/>
      <c r="E1828" s="51">
        <v>177000</v>
      </c>
      <c r="F1828" s="446" t="s">
        <v>1019</v>
      </c>
      <c r="G1828" s="778">
        <f>H1825</f>
        <v>14692</v>
      </c>
      <c r="H1828" s="508" t="s">
        <v>1015</v>
      </c>
      <c r="I1828" s="446">
        <v>1.02</v>
      </c>
      <c r="J1828" s="446"/>
      <c r="K1828" s="453">
        <f>+(E1828/G1828)*I1828</f>
        <v>12.288320174244486</v>
      </c>
      <c r="L1828" s="243" t="s">
        <v>8</v>
      </c>
      <c r="M1828" s="173"/>
      <c r="N1828" s="68"/>
      <c r="O1828" s="203"/>
      <c r="P1828" s="218"/>
      <c r="Q1828" s="68"/>
      <c r="R1828" s="217"/>
      <c r="S1828" s="203"/>
      <c r="T1828" s="203"/>
      <c r="U1828" s="203"/>
      <c r="V1828" s="203"/>
      <c r="W1828" s="203"/>
      <c r="X1828" s="203"/>
    </row>
    <row r="1829" spans="1:24" ht="30" customHeight="1" x14ac:dyDescent="0.35">
      <c r="A1829" s="241" t="s">
        <v>360</v>
      </c>
      <c r="B1829" s="1031" t="s">
        <v>1089</v>
      </c>
      <c r="C1829" s="1031"/>
      <c r="D1829" s="1031"/>
      <c r="E1829" s="453">
        <v>4.08</v>
      </c>
      <c r="F1829" s="639" t="s">
        <v>8</v>
      </c>
      <c r="G1829" s="519"/>
      <c r="H1829" s="508"/>
      <c r="I1829" s="446">
        <v>1.01</v>
      </c>
      <c r="J1829" s="446"/>
      <c r="K1829" s="453">
        <f>+E1829*I1829</f>
        <v>4.1208</v>
      </c>
      <c r="L1829" s="243" t="s">
        <v>8</v>
      </c>
      <c r="M1829" s="173"/>
      <c r="N1829" s="68"/>
      <c r="O1829" s="208"/>
      <c r="P1829" s="218"/>
      <c r="Q1829" s="68"/>
      <c r="R1829" s="217"/>
      <c r="S1829" s="208"/>
    </row>
    <row r="1830" spans="1:24" ht="30" customHeight="1" x14ac:dyDescent="0.35">
      <c r="A1830" s="241"/>
      <c r="B1830" s="1259" t="s">
        <v>2589</v>
      </c>
      <c r="C1830" s="1259"/>
      <c r="D1830" s="1259"/>
      <c r="E1830" s="453"/>
      <c r="F1830" s="446"/>
      <c r="G1830" s="519"/>
      <c r="H1830" s="508"/>
      <c r="I1830" s="446"/>
      <c r="J1830" s="446" t="s">
        <v>335</v>
      </c>
      <c r="K1830" s="453">
        <f>SUM(K1827:K1829)</f>
        <v>179.51402017424451</v>
      </c>
      <c r="L1830" s="243" t="s">
        <v>8</v>
      </c>
      <c r="M1830" s="173"/>
      <c r="N1830" s="68"/>
      <c r="O1830" s="203"/>
      <c r="P1830" s="218"/>
      <c r="Q1830" s="68"/>
      <c r="R1830" s="217"/>
    </row>
    <row r="1831" spans="1:24" ht="30" customHeight="1" x14ac:dyDescent="0.35">
      <c r="A1831" s="241"/>
      <c r="B1831" s="506"/>
      <c r="C1831" s="506"/>
      <c r="D1831" s="506"/>
      <c r="E1831" s="453"/>
      <c r="F1831" s="1029" t="s">
        <v>302</v>
      </c>
      <c r="G1831" s="1058" t="s">
        <v>303</v>
      </c>
      <c r="H1831" s="1058"/>
      <c r="I1831" s="1058"/>
      <c r="J1831" s="1058"/>
      <c r="K1831" s="612">
        <v>1.08</v>
      </c>
      <c r="L1831" s="243"/>
      <c r="M1831" s="173"/>
      <c r="N1831" s="68"/>
      <c r="O1831" s="203"/>
      <c r="P1831" s="218"/>
      <c r="Q1831" s="68"/>
      <c r="R1831" s="217"/>
    </row>
    <row r="1832" spans="1:24" ht="30" customHeight="1" x14ac:dyDescent="0.35">
      <c r="A1832" s="241"/>
      <c r="B1832" s="506"/>
      <c r="C1832" s="506"/>
      <c r="D1832" s="506"/>
      <c r="E1832" s="453"/>
      <c r="F1832" s="1029"/>
      <c r="G1832" s="1073" t="s">
        <v>2374</v>
      </c>
      <c r="H1832" s="1073"/>
      <c r="I1832" s="1073"/>
      <c r="J1832" s="1073"/>
      <c r="K1832" s="612">
        <v>1.08</v>
      </c>
      <c r="L1832" s="243"/>
      <c r="M1832" s="173"/>
      <c r="N1832" s="68"/>
      <c r="O1832" s="203"/>
      <c r="P1832" s="218"/>
      <c r="Q1832" s="68"/>
      <c r="R1832" s="217"/>
    </row>
    <row r="1833" spans="1:24" ht="30" customHeight="1" x14ac:dyDescent="0.35">
      <c r="A1833" s="241"/>
      <c r="B1833" s="446"/>
      <c r="C1833" s="458"/>
      <c r="D1833" s="458"/>
      <c r="E1833" s="458"/>
      <c r="F1833" s="458"/>
      <c r="G1833" s="458"/>
      <c r="H1833" s="458"/>
      <c r="I1833" s="458"/>
      <c r="J1833" s="458" t="s">
        <v>2356</v>
      </c>
      <c r="K1833" s="591">
        <f>+K1830*K1831/K1832</f>
        <v>179.51402017424451</v>
      </c>
      <c r="L1833" s="243" t="s">
        <v>8</v>
      </c>
      <c r="M1833" s="173"/>
      <c r="N1833" s="68"/>
      <c r="O1833" s="203"/>
      <c r="P1833" s="218"/>
      <c r="Q1833" s="68"/>
      <c r="R1833" s="217"/>
    </row>
    <row r="1834" spans="1:24" ht="30" customHeight="1" thickBot="1" x14ac:dyDescent="0.4">
      <c r="A1834" s="241"/>
      <c r="B1834" s="446"/>
      <c r="C1834" s="458"/>
      <c r="D1834" s="458"/>
      <c r="E1834" s="458"/>
      <c r="F1834" s="458"/>
      <c r="G1834" s="592" t="s">
        <v>2358</v>
      </c>
      <c r="H1834" s="458"/>
      <c r="I1834" s="458"/>
      <c r="J1834" s="583">
        <f>VLOOKUP(B1825,'Mil Cost Premiums for PUCs'!$A$4:$R$272,18,FALSE)</f>
        <v>1.1932356231980656</v>
      </c>
      <c r="K1834" s="591">
        <f>+K1833*J1834</f>
        <v>214.20252373540478</v>
      </c>
      <c r="L1834" s="243" t="s">
        <v>8</v>
      </c>
      <c r="M1834" s="173"/>
      <c r="N1834" s="419"/>
      <c r="O1834" s="171"/>
      <c r="P1834" s="216"/>
      <c r="Q1834" s="419"/>
      <c r="R1834" s="219"/>
    </row>
    <row r="1835" spans="1:24" ht="30" customHeight="1" thickBot="1" x14ac:dyDescent="0.4">
      <c r="A1835" s="1086"/>
      <c r="B1835" s="1086"/>
      <c r="C1835" s="1086"/>
      <c r="D1835" s="1086"/>
      <c r="E1835" s="1086"/>
      <c r="F1835" s="1086"/>
      <c r="G1835" s="1086"/>
      <c r="H1835" s="1086"/>
      <c r="I1835" s="1086"/>
      <c r="J1835" s="1086"/>
      <c r="K1835" s="1086"/>
      <c r="L1835" s="1103"/>
      <c r="M1835" s="173"/>
      <c r="N1835" s="419"/>
      <c r="O1835" s="171"/>
      <c r="P1835" s="216"/>
      <c r="Q1835" s="419"/>
      <c r="R1835" s="219"/>
    </row>
    <row r="1836" spans="1:24" ht="30" customHeight="1" x14ac:dyDescent="0.35">
      <c r="A1836" s="465" t="s">
        <v>278</v>
      </c>
      <c r="B1836" s="539">
        <v>2231</v>
      </c>
      <c r="C1836" s="1138" t="s">
        <v>1065</v>
      </c>
      <c r="D1836" s="1138"/>
      <c r="E1836" s="541" t="s">
        <v>280</v>
      </c>
      <c r="F1836" s="542" t="s">
        <v>8</v>
      </c>
      <c r="G1836" s="543" t="s">
        <v>285</v>
      </c>
      <c r="H1836" s="632">
        <v>45940</v>
      </c>
      <c r="I1836" s="541" t="s">
        <v>281</v>
      </c>
      <c r="J1836" s="1019" t="s">
        <v>2371</v>
      </c>
      <c r="K1836" s="1019"/>
      <c r="L1836" s="1020"/>
      <c r="M1836" s="173"/>
      <c r="N1836" s="68"/>
      <c r="O1836" s="203"/>
      <c r="P1836" s="218"/>
      <c r="Q1836" s="68"/>
      <c r="R1836" s="217"/>
    </row>
    <row r="1837" spans="1:24" ht="30" customHeight="1" x14ac:dyDescent="0.35">
      <c r="A1837" s="588" t="s">
        <v>298</v>
      </c>
      <c r="B1837" s="1038" t="s">
        <v>321</v>
      </c>
      <c r="C1837" s="1038"/>
      <c r="D1837" s="1038"/>
      <c r="E1837" s="23" t="s">
        <v>290</v>
      </c>
      <c r="F1837" s="23" t="s">
        <v>322</v>
      </c>
      <c r="G1837" s="1012" t="s">
        <v>323</v>
      </c>
      <c r="H1837" s="1012"/>
      <c r="I1837" s="509" t="s">
        <v>299</v>
      </c>
      <c r="J1837" s="509"/>
      <c r="K1837" s="1012" t="s">
        <v>292</v>
      </c>
      <c r="L1837" s="1023"/>
      <c r="M1837" s="173"/>
      <c r="N1837" s="68"/>
      <c r="O1837" s="203"/>
      <c r="P1837" s="218"/>
      <c r="Q1837" s="68"/>
      <c r="R1837" s="217"/>
    </row>
    <row r="1838" spans="1:24" ht="45" customHeight="1" x14ac:dyDescent="0.35">
      <c r="A1838" s="241" t="s">
        <v>435</v>
      </c>
      <c r="B1838" s="1082" t="s">
        <v>2976</v>
      </c>
      <c r="C1838" s="1082"/>
      <c r="D1838" s="1082"/>
      <c r="E1838" s="453">
        <f>155-2.21</f>
        <v>152.79</v>
      </c>
      <c r="F1838" s="446" t="s">
        <v>8</v>
      </c>
      <c r="G1838" s="454"/>
      <c r="H1838" s="446"/>
      <c r="I1838" s="446">
        <v>1.01</v>
      </c>
      <c r="J1838" s="446"/>
      <c r="K1838" s="453">
        <f>+E1838*I1838</f>
        <v>154.31789999999998</v>
      </c>
      <c r="L1838" s="243" t="s">
        <v>8</v>
      </c>
      <c r="M1838" s="173"/>
      <c r="N1838" s="68"/>
      <c r="O1838" s="203"/>
      <c r="P1838" s="218"/>
      <c r="Q1838" s="68"/>
      <c r="R1838" s="217"/>
      <c r="T1838" s="208"/>
      <c r="U1838" s="208"/>
      <c r="V1838" s="208"/>
      <c r="W1838" s="208"/>
      <c r="X1838" s="208"/>
    </row>
    <row r="1839" spans="1:24" s="208" customFormat="1" ht="30" customHeight="1" x14ac:dyDescent="0.35">
      <c r="A1839" s="241" t="s">
        <v>436</v>
      </c>
      <c r="B1839" s="1082" t="s">
        <v>1066</v>
      </c>
      <c r="C1839" s="1082"/>
      <c r="D1839" s="1082"/>
      <c r="E1839" s="51">
        <v>224000</v>
      </c>
      <c r="F1839" s="446" t="s">
        <v>1067</v>
      </c>
      <c r="G1839" s="778">
        <f>+H1836</f>
        <v>45940</v>
      </c>
      <c r="H1839" s="508" t="s">
        <v>1015</v>
      </c>
      <c r="I1839" s="446">
        <v>1.02</v>
      </c>
      <c r="J1839" s="446"/>
      <c r="K1839" s="453">
        <f>(E1839*2)/G1839*I1839</f>
        <v>9.9468872442316059</v>
      </c>
      <c r="L1839" s="243" t="s">
        <v>8</v>
      </c>
      <c r="M1839" s="173"/>
      <c r="N1839" s="13"/>
      <c r="O1839" s="203"/>
      <c r="P1839" s="218"/>
      <c r="Q1839" s="68"/>
      <c r="R1839" s="217"/>
      <c r="S1839" s="203"/>
      <c r="T1839" s="203"/>
      <c r="U1839" s="203"/>
      <c r="V1839" s="203"/>
      <c r="W1839" s="203"/>
      <c r="X1839" s="203"/>
    </row>
    <row r="1840" spans="1:24" ht="30" customHeight="1" x14ac:dyDescent="0.35">
      <c r="A1840" s="241" t="s">
        <v>360</v>
      </c>
      <c r="B1840" s="1031" t="s">
        <v>2977</v>
      </c>
      <c r="C1840" s="1031"/>
      <c r="D1840" s="1031"/>
      <c r="E1840" s="453">
        <v>3.31</v>
      </c>
      <c r="F1840" s="639" t="s">
        <v>8</v>
      </c>
      <c r="G1840" s="519"/>
      <c r="H1840" s="508"/>
      <c r="I1840" s="446">
        <v>1.01</v>
      </c>
      <c r="J1840" s="446"/>
      <c r="K1840" s="453">
        <f>+E1840*I1840</f>
        <v>3.3431000000000002</v>
      </c>
      <c r="L1840" s="243" t="s">
        <v>8</v>
      </c>
      <c r="M1840" s="173"/>
      <c r="N1840" s="13"/>
      <c r="O1840" s="208"/>
      <c r="P1840" s="218"/>
      <c r="Q1840" s="68"/>
      <c r="R1840" s="217"/>
      <c r="S1840" s="208"/>
    </row>
    <row r="1841" spans="1:24" ht="30" customHeight="1" x14ac:dyDescent="0.35">
      <c r="A1841" s="241"/>
      <c r="B1841" s="1082"/>
      <c r="C1841" s="1082"/>
      <c r="D1841" s="1082"/>
      <c r="E1841" s="453"/>
      <c r="F1841" s="446"/>
      <c r="G1841" s="519"/>
      <c r="H1841" s="508"/>
      <c r="I1841" s="446"/>
      <c r="J1841" s="446" t="s">
        <v>335</v>
      </c>
      <c r="K1841" s="453">
        <f>SUM(K1838:K1840)</f>
        <v>167.60788724423159</v>
      </c>
      <c r="L1841" s="243" t="s">
        <v>8</v>
      </c>
      <c r="M1841" s="173"/>
      <c r="N1841" s="268"/>
      <c r="O1841" s="203"/>
      <c r="P1841" s="218"/>
      <c r="Q1841" s="68"/>
      <c r="R1841" s="217"/>
    </row>
    <row r="1842" spans="1:24" ht="30" customHeight="1" x14ac:dyDescent="0.35">
      <c r="A1842" s="241"/>
      <c r="B1842" s="506"/>
      <c r="C1842" s="506"/>
      <c r="D1842" s="506"/>
      <c r="E1842" s="453"/>
      <c r="F1842" s="1029" t="s">
        <v>302</v>
      </c>
      <c r="G1842" s="1281" t="s">
        <v>303</v>
      </c>
      <c r="H1842" s="1281"/>
      <c r="I1842" s="1281"/>
      <c r="J1842" s="1281"/>
      <c r="K1842" s="612">
        <v>1.1000000000000001</v>
      </c>
      <c r="L1842" s="243"/>
      <c r="M1842" s="173"/>
      <c r="N1842" s="268"/>
      <c r="O1842" s="203"/>
      <c r="P1842" s="218"/>
      <c r="Q1842" s="68"/>
      <c r="R1842" s="217"/>
    </row>
    <row r="1843" spans="1:24" ht="30" customHeight="1" x14ac:dyDescent="0.35">
      <c r="A1843" s="241"/>
      <c r="B1843" s="506"/>
      <c r="C1843" s="506"/>
      <c r="D1843" s="506"/>
      <c r="E1843" s="453"/>
      <c r="F1843" s="1029"/>
      <c r="G1843" s="1073" t="s">
        <v>2374</v>
      </c>
      <c r="H1843" s="1073"/>
      <c r="I1843" s="1073"/>
      <c r="J1843" s="1073"/>
      <c r="K1843" s="612">
        <v>1.08</v>
      </c>
      <c r="L1843" s="243"/>
      <c r="M1843" s="173"/>
      <c r="N1843" s="68"/>
      <c r="O1843" s="203"/>
      <c r="P1843" s="218"/>
      <c r="Q1843" s="68"/>
      <c r="R1843" s="217"/>
    </row>
    <row r="1844" spans="1:24" ht="30" customHeight="1" x14ac:dyDescent="0.35">
      <c r="A1844" s="241"/>
      <c r="B1844" s="1171" t="s">
        <v>2218</v>
      </c>
      <c r="C1844" s="1171"/>
      <c r="D1844" s="1171"/>
      <c r="E1844" s="458"/>
      <c r="F1844" s="458"/>
      <c r="G1844" s="458"/>
      <c r="H1844" s="458"/>
      <c r="I1844" s="458"/>
      <c r="J1844" s="458" t="s">
        <v>2356</v>
      </c>
      <c r="K1844" s="591">
        <f>+K1841*K1842/K1843</f>
        <v>170.71173700801367</v>
      </c>
      <c r="L1844" s="243" t="s">
        <v>8</v>
      </c>
      <c r="M1844" s="173"/>
      <c r="N1844" s="419"/>
      <c r="O1844" s="171"/>
      <c r="P1844" s="216"/>
      <c r="Q1844" s="419"/>
      <c r="R1844" s="219"/>
    </row>
    <row r="1845" spans="1:24" ht="30" customHeight="1" thickBot="1" x14ac:dyDescent="0.4">
      <c r="A1845" s="241"/>
      <c r="B1845" s="446"/>
      <c r="C1845" s="458"/>
      <c r="D1845" s="458"/>
      <c r="E1845" s="458"/>
      <c r="F1845" s="458"/>
      <c r="G1845" s="592" t="s">
        <v>2358</v>
      </c>
      <c r="H1845" s="458"/>
      <c r="I1845" s="458"/>
      <c r="J1845" s="583">
        <f>VLOOKUP(B1836,'Mil Cost Premiums for PUCs'!$A$4:$R$272,18,FALSE)</f>
        <v>1.1932356231980656</v>
      </c>
      <c r="K1845" s="591">
        <f>+K1844*J1845</f>
        <v>203.69932589598147</v>
      </c>
      <c r="L1845" s="243" t="s">
        <v>8</v>
      </c>
      <c r="M1845" s="173"/>
      <c r="N1845" s="419"/>
      <c r="O1845" s="171"/>
      <c r="P1845" s="216"/>
      <c r="Q1845" s="419"/>
      <c r="R1845" s="219"/>
    </row>
    <row r="1846" spans="1:24" ht="30" customHeight="1" thickBot="1" x14ac:dyDescent="0.4">
      <c r="A1846" s="1086"/>
      <c r="B1846" s="1086"/>
      <c r="C1846" s="1086"/>
      <c r="D1846" s="1086"/>
      <c r="E1846" s="1086"/>
      <c r="F1846" s="1086"/>
      <c r="G1846" s="1086"/>
      <c r="H1846" s="1086"/>
      <c r="I1846" s="1086"/>
      <c r="J1846" s="1086"/>
      <c r="K1846" s="1086"/>
      <c r="L1846" s="1103"/>
      <c r="M1846" s="173"/>
      <c r="N1846" s="68"/>
      <c r="O1846" s="203"/>
      <c r="P1846" s="218"/>
      <c r="Q1846" s="68"/>
      <c r="R1846" s="217"/>
    </row>
    <row r="1847" spans="1:24" ht="30" customHeight="1" x14ac:dyDescent="0.35">
      <c r="A1847" s="465" t="s">
        <v>278</v>
      </c>
      <c r="B1847" s="539">
        <v>2241</v>
      </c>
      <c r="C1847" s="1017" t="s">
        <v>1068</v>
      </c>
      <c r="D1847" s="1018"/>
      <c r="E1847" s="541" t="s">
        <v>280</v>
      </c>
      <c r="F1847" s="542" t="s">
        <v>8</v>
      </c>
      <c r="G1847" s="543" t="s">
        <v>285</v>
      </c>
      <c r="H1847" s="632">
        <v>62381</v>
      </c>
      <c r="I1847" s="541" t="s">
        <v>281</v>
      </c>
      <c r="J1847" s="1019" t="s">
        <v>2371</v>
      </c>
      <c r="K1847" s="1019"/>
      <c r="L1847" s="1020"/>
      <c r="M1847" s="173"/>
      <c r="N1847" s="68"/>
      <c r="O1847" s="203"/>
      <c r="P1847" s="218"/>
      <c r="Q1847" s="68"/>
      <c r="R1847" s="217"/>
    </row>
    <row r="1848" spans="1:24" ht="30" customHeight="1" x14ac:dyDescent="0.35">
      <c r="A1848" s="588" t="s">
        <v>298</v>
      </c>
      <c r="B1848" s="1038" t="s">
        <v>321</v>
      </c>
      <c r="C1848" s="1039"/>
      <c r="D1848" s="1040"/>
      <c r="E1848" s="23" t="s">
        <v>290</v>
      </c>
      <c r="F1848" s="23" t="s">
        <v>322</v>
      </c>
      <c r="G1848" s="1034" t="s">
        <v>323</v>
      </c>
      <c r="H1848" s="1035"/>
      <c r="I1848" s="509" t="s">
        <v>299</v>
      </c>
      <c r="J1848" s="509"/>
      <c r="K1848" s="1012" t="s">
        <v>292</v>
      </c>
      <c r="L1848" s="1013"/>
      <c r="M1848" s="173"/>
      <c r="N1848" s="68"/>
      <c r="O1848" s="203"/>
      <c r="P1848" s="218"/>
      <c r="Q1848" s="68"/>
      <c r="R1848" s="217"/>
      <c r="T1848" s="208"/>
      <c r="U1848" s="208"/>
      <c r="V1848" s="208"/>
      <c r="W1848" s="208"/>
      <c r="X1848" s="208"/>
    </row>
    <row r="1849" spans="1:24" s="208" customFormat="1" ht="45" customHeight="1" x14ac:dyDescent="0.35">
      <c r="A1849" s="241" t="s">
        <v>435</v>
      </c>
      <c r="B1849" s="1082" t="s">
        <v>2976</v>
      </c>
      <c r="C1849" s="1083"/>
      <c r="D1849" s="1093"/>
      <c r="E1849" s="453">
        <f>155-2.51</f>
        <v>152.49</v>
      </c>
      <c r="F1849" s="446" t="s">
        <v>8</v>
      </c>
      <c r="G1849" s="454"/>
      <c r="H1849" s="446"/>
      <c r="I1849" s="446">
        <v>1.01</v>
      </c>
      <c r="J1849" s="446"/>
      <c r="K1849" s="453">
        <f>+E1849*I1849</f>
        <v>154.01490000000001</v>
      </c>
      <c r="L1849" s="243" t="s">
        <v>8</v>
      </c>
      <c r="M1849" s="173"/>
      <c r="N1849" s="68"/>
      <c r="O1849" s="203"/>
      <c r="P1849" s="218"/>
      <c r="Q1849" s="68"/>
      <c r="R1849" s="217"/>
      <c r="S1849" s="203"/>
      <c r="T1849" s="203"/>
      <c r="U1849" s="203"/>
      <c r="V1849" s="203"/>
      <c r="W1849" s="203"/>
      <c r="X1849" s="203"/>
    </row>
    <row r="1850" spans="1:24" ht="30" customHeight="1" x14ac:dyDescent="0.35">
      <c r="A1850" s="241" t="s">
        <v>436</v>
      </c>
      <c r="B1850" s="1082" t="s">
        <v>1066</v>
      </c>
      <c r="C1850" s="1083"/>
      <c r="D1850" s="1093"/>
      <c r="E1850" s="51">
        <v>224000</v>
      </c>
      <c r="F1850" s="446" t="s">
        <v>10</v>
      </c>
      <c r="G1850" s="778">
        <f>+H1847</f>
        <v>62381</v>
      </c>
      <c r="H1850" s="508" t="s">
        <v>1015</v>
      </c>
      <c r="I1850" s="446">
        <v>1.02</v>
      </c>
      <c r="J1850" s="446"/>
      <c r="K1850" s="453">
        <f>+E1850/G1850*I1850*2</f>
        <v>7.3253073852615378</v>
      </c>
      <c r="L1850" s="243" t="s">
        <v>8</v>
      </c>
      <c r="M1850" s="173"/>
      <c r="N1850" s="68"/>
      <c r="O1850" s="208"/>
      <c r="P1850" s="218"/>
      <c r="Q1850" s="68"/>
      <c r="R1850" s="217"/>
      <c r="S1850" s="208"/>
    </row>
    <row r="1851" spans="1:24" ht="30" customHeight="1" x14ac:dyDescent="0.35">
      <c r="A1851" s="241" t="s">
        <v>360</v>
      </c>
      <c r="B1851" s="1031" t="s">
        <v>1083</v>
      </c>
      <c r="C1851" s="1032"/>
      <c r="D1851" s="1032"/>
      <c r="E1851" s="453">
        <v>3.2</v>
      </c>
      <c r="F1851" s="639" t="s">
        <v>8</v>
      </c>
      <c r="G1851" s="519"/>
      <c r="H1851" s="508"/>
      <c r="I1851" s="446">
        <v>1.01</v>
      </c>
      <c r="J1851" s="446"/>
      <c r="K1851" s="453">
        <f>+E1851*I1851</f>
        <v>3.2320000000000002</v>
      </c>
      <c r="L1851" s="243" t="s">
        <v>8</v>
      </c>
      <c r="M1851" s="173"/>
      <c r="N1851" s="68"/>
      <c r="O1851" s="203"/>
      <c r="P1851" s="218"/>
      <c r="Q1851" s="68"/>
      <c r="R1851" s="217"/>
      <c r="T1851" s="217"/>
    </row>
    <row r="1852" spans="1:24" ht="30" customHeight="1" x14ac:dyDescent="0.35">
      <c r="A1852" s="241"/>
      <c r="B1852" s="1059"/>
      <c r="C1852" s="1059"/>
      <c r="D1852" s="1059"/>
      <c r="E1852" s="453"/>
      <c r="F1852" s="446"/>
      <c r="G1852" s="519"/>
      <c r="H1852" s="508"/>
      <c r="I1852" s="446"/>
      <c r="J1852" s="446" t="s">
        <v>335</v>
      </c>
      <c r="K1852" s="453">
        <f>SUM(K1849:K1851)</f>
        <v>164.57220738526155</v>
      </c>
      <c r="L1852" s="243" t="s">
        <v>8</v>
      </c>
      <c r="M1852" s="173"/>
      <c r="N1852" s="68"/>
      <c r="O1852" s="203"/>
      <c r="P1852" s="218"/>
      <c r="Q1852" s="68"/>
      <c r="R1852" s="217"/>
    </row>
    <row r="1853" spans="1:24" ht="30" customHeight="1" x14ac:dyDescent="0.35">
      <c r="A1853" s="241"/>
      <c r="B1853" s="506"/>
      <c r="C1853" s="506"/>
      <c r="D1853" s="506"/>
      <c r="E1853" s="453"/>
      <c r="F1853" s="1029" t="s">
        <v>302</v>
      </c>
      <c r="G1853" s="1058" t="s">
        <v>303</v>
      </c>
      <c r="H1853" s="1058"/>
      <c r="I1853" s="1058"/>
      <c r="J1853" s="1058"/>
      <c r="K1853" s="612">
        <v>1.1000000000000001</v>
      </c>
      <c r="L1853" s="243"/>
      <c r="M1853" s="173"/>
      <c r="O1853" s="260"/>
      <c r="P1853" s="68"/>
    </row>
    <row r="1854" spans="1:24" ht="30" customHeight="1" x14ac:dyDescent="0.35">
      <c r="A1854" s="241"/>
      <c r="B1854" s="506"/>
      <c r="C1854" s="506"/>
      <c r="D1854" s="506"/>
      <c r="E1854" s="453"/>
      <c r="F1854" s="1030"/>
      <c r="G1854" s="1073" t="s">
        <v>2374</v>
      </c>
      <c r="H1854" s="1073"/>
      <c r="I1854" s="1073"/>
      <c r="J1854" s="1073"/>
      <c r="K1854" s="612">
        <v>1.08</v>
      </c>
      <c r="L1854" s="243"/>
      <c r="M1854" s="173"/>
      <c r="N1854" s="68"/>
      <c r="O1854" s="203"/>
      <c r="P1854" s="218"/>
      <c r="Q1854" s="68"/>
      <c r="R1854" s="217"/>
    </row>
    <row r="1855" spans="1:24" ht="30" customHeight="1" x14ac:dyDescent="0.35">
      <c r="A1855" s="241"/>
      <c r="B1855" s="1171" t="s">
        <v>2219</v>
      </c>
      <c r="C1855" s="1172"/>
      <c r="D1855" s="1172"/>
      <c r="E1855" s="1173"/>
      <c r="F1855" s="458"/>
      <c r="G1855" s="458"/>
      <c r="H1855" s="458"/>
      <c r="I1855" s="458"/>
      <c r="J1855" s="458" t="s">
        <v>2356</v>
      </c>
      <c r="K1855" s="591">
        <f>+K1852*K1853/K1854</f>
        <v>167.61984085535897</v>
      </c>
      <c r="L1855" s="243" t="s">
        <v>8</v>
      </c>
      <c r="M1855" s="173"/>
      <c r="N1855" s="68"/>
      <c r="O1855" s="203"/>
      <c r="P1855" s="218"/>
      <c r="Q1855" s="68"/>
      <c r="R1855" s="217"/>
    </row>
    <row r="1856" spans="1:24" ht="30" customHeight="1" thickBot="1" x14ac:dyDescent="0.4">
      <c r="A1856" s="241"/>
      <c r="B1856" s="446"/>
      <c r="C1856" s="458"/>
      <c r="D1856" s="458"/>
      <c r="E1856" s="458"/>
      <c r="F1856" s="458"/>
      <c r="G1856" s="592" t="s">
        <v>2358</v>
      </c>
      <c r="H1856" s="458"/>
      <c r="I1856" s="458"/>
      <c r="J1856" s="583">
        <f>VLOOKUP(B1847,'Mil Cost Premiums for PUCs'!$A$4:$R$272,18,FALSE)</f>
        <v>1.1932356231980656</v>
      </c>
      <c r="K1856" s="591">
        <f>+K1855*J1856</f>
        <v>200.00996526340484</v>
      </c>
      <c r="L1856" s="243" t="s">
        <v>8</v>
      </c>
      <c r="M1856" s="173"/>
      <c r="N1856" s="68"/>
      <c r="O1856" s="203"/>
      <c r="P1856" s="218"/>
      <c r="Q1856" s="68"/>
      <c r="R1856" s="217"/>
    </row>
    <row r="1857" spans="1:24" ht="30" customHeight="1" thickBot="1" x14ac:dyDescent="0.4">
      <c r="A1857" s="1086"/>
      <c r="B1857" s="1087"/>
      <c r="C1857" s="1087"/>
      <c r="D1857" s="1087"/>
      <c r="E1857" s="1087"/>
      <c r="F1857" s="1087"/>
      <c r="G1857" s="1087"/>
      <c r="H1857" s="1087"/>
      <c r="I1857" s="1087"/>
      <c r="J1857" s="1087"/>
      <c r="K1857" s="1087"/>
      <c r="L1857" s="1088"/>
      <c r="M1857" s="173"/>
      <c r="N1857" s="419"/>
      <c r="O1857" s="171"/>
      <c r="P1857" s="216"/>
      <c r="Q1857" s="419"/>
      <c r="R1857" s="219"/>
    </row>
    <row r="1858" spans="1:24" ht="30" customHeight="1" x14ac:dyDescent="0.35">
      <c r="A1858" s="465" t="s">
        <v>278</v>
      </c>
      <c r="B1858" s="539">
        <v>2242</v>
      </c>
      <c r="C1858" s="1017" t="s">
        <v>2837</v>
      </c>
      <c r="D1858" s="1018"/>
      <c r="E1858" s="541" t="s">
        <v>280</v>
      </c>
      <c r="F1858" s="542" t="s">
        <v>8</v>
      </c>
      <c r="G1858" s="543" t="s">
        <v>285</v>
      </c>
      <c r="H1858" s="632">
        <v>1649</v>
      </c>
      <c r="I1858" s="541" t="s">
        <v>281</v>
      </c>
      <c r="J1858" s="1019" t="s">
        <v>2371</v>
      </c>
      <c r="K1858" s="1019"/>
      <c r="L1858" s="1020"/>
      <c r="M1858" s="173"/>
      <c r="N1858" s="68"/>
      <c r="O1858" s="203"/>
      <c r="P1858" s="218"/>
      <c r="Q1858" s="68"/>
      <c r="R1858" s="217"/>
    </row>
    <row r="1859" spans="1:24" ht="30" customHeight="1" x14ac:dyDescent="0.35">
      <c r="A1859" s="588" t="s">
        <v>298</v>
      </c>
      <c r="B1859" s="1038" t="s">
        <v>321</v>
      </c>
      <c r="C1859" s="1039"/>
      <c r="D1859" s="1040"/>
      <c r="E1859" s="23" t="s">
        <v>290</v>
      </c>
      <c r="F1859" s="23" t="s">
        <v>322</v>
      </c>
      <c r="G1859" s="1034" t="s">
        <v>323</v>
      </c>
      <c r="H1859" s="1035"/>
      <c r="I1859" s="509" t="s">
        <v>299</v>
      </c>
      <c r="J1859" s="509"/>
      <c r="K1859" s="1012" t="s">
        <v>292</v>
      </c>
      <c r="L1859" s="1013"/>
      <c r="M1859" s="173"/>
      <c r="N1859" s="68"/>
      <c r="O1859" s="203"/>
      <c r="P1859" s="218"/>
      <c r="Q1859" s="68"/>
      <c r="R1859" s="217"/>
      <c r="T1859" s="208"/>
      <c r="U1859" s="208"/>
      <c r="V1859" s="208"/>
      <c r="W1859" s="208"/>
      <c r="X1859" s="208"/>
    </row>
    <row r="1860" spans="1:24" s="208" customFormat="1" ht="30" customHeight="1" x14ac:dyDescent="0.35">
      <c r="A1860" s="241" t="s">
        <v>435</v>
      </c>
      <c r="B1860" s="1082" t="s">
        <v>2981</v>
      </c>
      <c r="C1860" s="1083"/>
      <c r="D1860" s="1093"/>
      <c r="E1860" s="453">
        <f>79.5-2.51</f>
        <v>76.989999999999995</v>
      </c>
      <c r="F1860" s="446" t="s">
        <v>8</v>
      </c>
      <c r="G1860" s="454"/>
      <c r="H1860" s="446"/>
      <c r="I1860" s="573">
        <v>1.03</v>
      </c>
      <c r="J1860" s="446"/>
      <c r="K1860" s="453">
        <f>+E1860*I1860</f>
        <v>79.299700000000001</v>
      </c>
      <c r="L1860" s="243" t="s">
        <v>8</v>
      </c>
      <c r="M1860" s="173"/>
      <c r="N1860" s="68"/>
      <c r="O1860" s="203"/>
      <c r="P1860" s="218"/>
      <c r="Q1860" s="68"/>
      <c r="R1860" s="217"/>
      <c r="S1860" s="203"/>
      <c r="T1860" s="203"/>
      <c r="U1860" s="203"/>
      <c r="V1860" s="203"/>
      <c r="W1860" s="203"/>
      <c r="X1860" s="203"/>
    </row>
    <row r="1861" spans="1:24" ht="30" customHeight="1" x14ac:dyDescent="0.35">
      <c r="A1861" s="241" t="s">
        <v>360</v>
      </c>
      <c r="B1861" s="1031" t="s">
        <v>1070</v>
      </c>
      <c r="C1861" s="1032"/>
      <c r="D1861" s="1032"/>
      <c r="E1861" s="453">
        <v>4.1500000000000004</v>
      </c>
      <c r="F1861" s="639" t="s">
        <v>8</v>
      </c>
      <c r="G1861" s="519"/>
      <c r="H1861" s="508"/>
      <c r="I1861" s="573">
        <v>1.03</v>
      </c>
      <c r="J1861" s="446"/>
      <c r="K1861" s="453">
        <f>+E1861*I1861</f>
        <v>4.2745000000000006</v>
      </c>
      <c r="L1861" s="243" t="s">
        <v>8</v>
      </c>
      <c r="M1861" s="173"/>
      <c r="N1861" s="68"/>
      <c r="O1861" s="208"/>
      <c r="P1861" s="218"/>
      <c r="Q1861" s="68"/>
      <c r="R1861" s="217"/>
      <c r="S1861" s="208"/>
    </row>
    <row r="1862" spans="1:24" ht="30" customHeight="1" x14ac:dyDescent="0.35">
      <c r="A1862" s="241"/>
      <c r="B1862" s="1059"/>
      <c r="C1862" s="1059"/>
      <c r="D1862" s="1059"/>
      <c r="E1862" s="453"/>
      <c r="F1862" s="446"/>
      <c r="G1862" s="519"/>
      <c r="H1862" s="508"/>
      <c r="I1862" s="446"/>
      <c r="J1862" s="446" t="s">
        <v>335</v>
      </c>
      <c r="K1862" s="453">
        <f>SUM(K1860:K1861)</f>
        <v>83.574200000000005</v>
      </c>
      <c r="L1862" s="243" t="s">
        <v>8</v>
      </c>
      <c r="M1862" s="173"/>
      <c r="N1862" s="68"/>
      <c r="O1862" s="203"/>
      <c r="P1862" s="218"/>
      <c r="Q1862" s="68"/>
      <c r="R1862" s="217"/>
    </row>
    <row r="1863" spans="1:24" ht="30" customHeight="1" x14ac:dyDescent="0.35">
      <c r="A1863" s="241"/>
      <c r="B1863" s="506"/>
      <c r="C1863" s="506"/>
      <c r="D1863" s="506"/>
      <c r="E1863" s="453"/>
      <c r="F1863" s="1029" t="s">
        <v>302</v>
      </c>
      <c r="G1863" s="1058" t="s">
        <v>303</v>
      </c>
      <c r="H1863" s="1058"/>
      <c r="I1863" s="1058"/>
      <c r="J1863" s="1058"/>
      <c r="K1863" s="612">
        <v>1.07</v>
      </c>
      <c r="L1863" s="243"/>
      <c r="M1863" s="173"/>
      <c r="N1863" s="68"/>
      <c r="O1863" s="203"/>
      <c r="P1863" s="218"/>
      <c r="Q1863" s="68"/>
      <c r="R1863" s="217"/>
    </row>
    <row r="1864" spans="1:24" ht="30" customHeight="1" x14ac:dyDescent="0.35">
      <c r="A1864" s="241"/>
      <c r="B1864" s="506"/>
      <c r="C1864" s="506"/>
      <c r="D1864" s="506"/>
      <c r="E1864" s="453"/>
      <c r="F1864" s="1030"/>
      <c r="G1864" s="1073" t="s">
        <v>2374</v>
      </c>
      <c r="H1864" s="1073"/>
      <c r="I1864" s="1073"/>
      <c r="J1864" s="1073"/>
      <c r="K1864" s="612">
        <v>1.08</v>
      </c>
      <c r="L1864" s="243"/>
      <c r="M1864" s="173"/>
      <c r="N1864" s="68"/>
      <c r="O1864" s="203"/>
      <c r="P1864" s="218"/>
      <c r="Q1864" s="68"/>
      <c r="R1864" s="217"/>
    </row>
    <row r="1865" spans="1:24" ht="30" customHeight="1" x14ac:dyDescent="0.35">
      <c r="A1865" s="241"/>
      <c r="B1865" s="446"/>
      <c r="C1865" s="458"/>
      <c r="D1865" s="458"/>
      <c r="E1865" s="458"/>
      <c r="F1865" s="458"/>
      <c r="G1865" s="458"/>
      <c r="H1865" s="458"/>
      <c r="I1865" s="458"/>
      <c r="J1865" s="446" t="s">
        <v>2356</v>
      </c>
      <c r="K1865" s="591">
        <f>+K1862*K1863/K1864</f>
        <v>82.800364814814813</v>
      </c>
      <c r="L1865" s="243" t="s">
        <v>8</v>
      </c>
      <c r="M1865" s="173"/>
      <c r="N1865" s="68"/>
      <c r="O1865" s="203"/>
      <c r="P1865" s="218"/>
      <c r="Q1865" s="68"/>
      <c r="R1865" s="217"/>
    </row>
    <row r="1866" spans="1:24" ht="30" customHeight="1" thickBot="1" x14ac:dyDescent="0.4">
      <c r="A1866" s="575"/>
      <c r="B1866" s="1109" t="s">
        <v>2978</v>
      </c>
      <c r="C1866" s="1110"/>
      <c r="D1866" s="1111"/>
      <c r="E1866" s="458"/>
      <c r="F1866" s="458"/>
      <c r="G1866" s="592" t="s">
        <v>2358</v>
      </c>
      <c r="H1866" s="458"/>
      <c r="I1866" s="458"/>
      <c r="J1866" s="583">
        <f>VLOOKUP(B1858,'Mil Cost Premiums for PUCs'!$A$4:$R$272,18,FALSE)</f>
        <v>1.1199953840399997</v>
      </c>
      <c r="K1866" s="591">
        <f>+K1865*J1866</f>
        <v>92.736026389420587</v>
      </c>
      <c r="L1866" s="243" t="s">
        <v>8</v>
      </c>
      <c r="M1866" s="173"/>
      <c r="N1866" s="68"/>
      <c r="O1866" s="203"/>
      <c r="P1866" s="218"/>
      <c r="Q1866" s="68"/>
      <c r="R1866" s="217"/>
    </row>
    <row r="1867" spans="1:24" ht="30" customHeight="1" thickBot="1" x14ac:dyDescent="0.4">
      <c r="A1867" s="1086"/>
      <c r="B1867" s="1087"/>
      <c r="C1867" s="1087"/>
      <c r="D1867" s="1087"/>
      <c r="E1867" s="1087"/>
      <c r="F1867" s="1087"/>
      <c r="G1867" s="1087"/>
      <c r="H1867" s="1087"/>
      <c r="I1867" s="1087"/>
      <c r="J1867" s="1087"/>
      <c r="K1867" s="1087"/>
      <c r="L1867" s="1088"/>
      <c r="M1867" s="173"/>
      <c r="N1867" s="419"/>
      <c r="O1867" s="171"/>
      <c r="P1867" s="216"/>
      <c r="Q1867" s="419"/>
      <c r="R1867" s="219"/>
    </row>
    <row r="1868" spans="1:24" ht="45" customHeight="1" x14ac:dyDescent="0.35">
      <c r="A1868" s="465" t="s">
        <v>278</v>
      </c>
      <c r="B1868" s="539">
        <v>2251</v>
      </c>
      <c r="C1868" s="1017" t="s">
        <v>2979</v>
      </c>
      <c r="D1868" s="1018"/>
      <c r="E1868" s="541" t="s">
        <v>280</v>
      </c>
      <c r="F1868" s="542" t="s">
        <v>8</v>
      </c>
      <c r="G1868" s="543" t="s">
        <v>285</v>
      </c>
      <c r="H1868" s="632">
        <v>50483</v>
      </c>
      <c r="I1868" s="541" t="s">
        <v>281</v>
      </c>
      <c r="J1868" s="1019" t="s">
        <v>2371</v>
      </c>
      <c r="K1868" s="1019"/>
      <c r="L1868" s="1020"/>
      <c r="M1868" s="173"/>
      <c r="N1868" s="419"/>
      <c r="O1868" s="171"/>
      <c r="P1868" s="216"/>
      <c r="Q1868" s="419"/>
      <c r="R1868" s="219"/>
    </row>
    <row r="1869" spans="1:24" ht="30" customHeight="1" x14ac:dyDescent="0.35">
      <c r="A1869" s="588" t="s">
        <v>298</v>
      </c>
      <c r="B1869" s="1038" t="s">
        <v>321</v>
      </c>
      <c r="C1869" s="1039"/>
      <c r="D1869" s="1040"/>
      <c r="E1869" s="23" t="s">
        <v>290</v>
      </c>
      <c r="F1869" s="23" t="s">
        <v>322</v>
      </c>
      <c r="G1869" s="1034" t="s">
        <v>323</v>
      </c>
      <c r="H1869" s="1035"/>
      <c r="I1869" s="509" t="s">
        <v>299</v>
      </c>
      <c r="J1869" s="509"/>
      <c r="K1869" s="1012" t="s">
        <v>292</v>
      </c>
      <c r="L1869" s="1013"/>
      <c r="M1869" s="173"/>
      <c r="N1869" s="68"/>
      <c r="O1869" s="203"/>
      <c r="P1869" s="218"/>
      <c r="Q1869" s="68"/>
      <c r="R1869" s="217"/>
    </row>
    <row r="1870" spans="1:24" ht="30" customHeight="1" x14ac:dyDescent="0.35">
      <c r="A1870" s="241" t="s">
        <v>435</v>
      </c>
      <c r="B1870" s="1082" t="s">
        <v>2982</v>
      </c>
      <c r="C1870" s="1083"/>
      <c r="D1870" s="1093"/>
      <c r="E1870" s="453">
        <f>164-2.51</f>
        <v>161.49</v>
      </c>
      <c r="F1870" s="446" t="s">
        <v>8</v>
      </c>
      <c r="G1870" s="454"/>
      <c r="H1870" s="446"/>
      <c r="I1870" s="446">
        <v>1.01</v>
      </c>
      <c r="J1870" s="446"/>
      <c r="K1870" s="453">
        <f>+E1870*I1870</f>
        <v>163.10490000000001</v>
      </c>
      <c r="L1870" s="243" t="s">
        <v>8</v>
      </c>
      <c r="M1870" s="173"/>
      <c r="N1870" s="68"/>
      <c r="O1870" s="203"/>
      <c r="P1870" s="218"/>
      <c r="Q1870" s="68"/>
      <c r="R1870" s="217"/>
    </row>
    <row r="1871" spans="1:24" ht="30" customHeight="1" x14ac:dyDescent="0.35">
      <c r="A1871" s="241" t="s">
        <v>436</v>
      </c>
      <c r="B1871" s="1082" t="s">
        <v>1066</v>
      </c>
      <c r="C1871" s="1083"/>
      <c r="D1871" s="1093"/>
      <c r="E1871" s="591">
        <v>224000</v>
      </c>
      <c r="F1871" s="446" t="s">
        <v>10</v>
      </c>
      <c r="G1871" s="778">
        <f>+H1868</f>
        <v>50483</v>
      </c>
      <c r="H1871" s="508" t="s">
        <v>1015</v>
      </c>
      <c r="I1871" s="446">
        <v>1.02</v>
      </c>
      <c r="J1871" s="446"/>
      <c r="K1871" s="453">
        <f>+(E1871*2)/G1871*I1871</f>
        <v>9.0517599984153083</v>
      </c>
      <c r="L1871" s="243" t="s">
        <v>8</v>
      </c>
      <c r="M1871" s="173"/>
      <c r="N1871" s="68"/>
      <c r="O1871" s="203"/>
      <c r="P1871" s="218"/>
      <c r="Q1871" s="68"/>
      <c r="R1871" s="217"/>
      <c r="T1871" s="208"/>
      <c r="U1871" s="208"/>
      <c r="V1871" s="208"/>
      <c r="W1871" s="208"/>
      <c r="X1871" s="208"/>
    </row>
    <row r="1872" spans="1:24" s="208" customFormat="1" ht="30" customHeight="1" x14ac:dyDescent="0.35">
      <c r="A1872" s="241" t="s">
        <v>436</v>
      </c>
      <c r="B1872" s="1082" t="s">
        <v>1071</v>
      </c>
      <c r="C1872" s="1083"/>
      <c r="D1872" s="1093"/>
      <c r="E1872" s="51">
        <f>(23.75+47.75)/2</f>
        <v>35.75</v>
      </c>
      <c r="F1872" s="446" t="s">
        <v>6</v>
      </c>
      <c r="G1872" s="605">
        <v>250</v>
      </c>
      <c r="H1872" s="508" t="s">
        <v>1072</v>
      </c>
      <c r="I1872" s="446">
        <v>1.02</v>
      </c>
      <c r="J1872" s="446"/>
      <c r="K1872" s="453">
        <f>+E1872*G1872/G1871*I1872</f>
        <v>0.18058059148624289</v>
      </c>
      <c r="L1872" s="243" t="s">
        <v>8</v>
      </c>
      <c r="M1872" s="173"/>
      <c r="N1872" s="68"/>
      <c r="O1872" s="203"/>
      <c r="P1872" s="218"/>
      <c r="Q1872" s="68"/>
      <c r="R1872" s="217"/>
      <c r="S1872" s="203"/>
      <c r="T1872" s="203"/>
      <c r="U1872" s="203"/>
      <c r="V1872" s="203"/>
      <c r="W1872" s="203"/>
      <c r="X1872" s="203"/>
    </row>
    <row r="1873" spans="1:24" ht="30" customHeight="1" x14ac:dyDescent="0.35">
      <c r="A1873" s="241" t="s">
        <v>360</v>
      </c>
      <c r="B1873" s="1031" t="s">
        <v>1073</v>
      </c>
      <c r="C1873" s="1032"/>
      <c r="D1873" s="1033"/>
      <c r="E1873" s="453">
        <v>3.31</v>
      </c>
      <c r="F1873" s="639" t="s">
        <v>8</v>
      </c>
      <c r="G1873" s="519"/>
      <c r="H1873" s="508"/>
      <c r="I1873" s="446">
        <v>1.01</v>
      </c>
      <c r="J1873" s="446"/>
      <c r="K1873" s="453">
        <f>+E1873*I1873</f>
        <v>3.3431000000000002</v>
      </c>
      <c r="L1873" s="243" t="s">
        <v>8</v>
      </c>
      <c r="M1873" s="173"/>
      <c r="N1873" s="68"/>
      <c r="O1873" s="208"/>
      <c r="P1873" s="218"/>
      <c r="Q1873" s="68"/>
      <c r="R1873" s="217"/>
      <c r="S1873" s="208"/>
    </row>
    <row r="1874" spans="1:24" ht="30" customHeight="1" x14ac:dyDescent="0.35">
      <c r="A1874" s="241" t="s">
        <v>360</v>
      </c>
      <c r="B1874" s="1082" t="s">
        <v>1023</v>
      </c>
      <c r="C1874" s="1083"/>
      <c r="D1874" s="1093"/>
      <c r="E1874" s="453">
        <f>+E1873*0.15</f>
        <v>0.4965</v>
      </c>
      <c r="F1874" s="639" t="s">
        <v>8</v>
      </c>
      <c r="G1874" s="579"/>
      <c r="H1874" s="453"/>
      <c r="I1874" s="446">
        <v>1.01</v>
      </c>
      <c r="J1874" s="446"/>
      <c r="K1874" s="591">
        <f>E1874*I1874</f>
        <v>0.50146500000000005</v>
      </c>
      <c r="L1874" s="243" t="s">
        <v>8</v>
      </c>
      <c r="M1874" s="173"/>
      <c r="N1874" s="68"/>
      <c r="O1874" s="203"/>
      <c r="P1874" s="218"/>
      <c r="Q1874" s="68"/>
      <c r="R1874" s="217"/>
    </row>
    <row r="1875" spans="1:24" ht="30" customHeight="1" x14ac:dyDescent="0.35">
      <c r="A1875" s="241" t="s">
        <v>360</v>
      </c>
      <c r="B1875" s="1082" t="s">
        <v>910</v>
      </c>
      <c r="C1875" s="1083"/>
      <c r="D1875" s="1093"/>
      <c r="E1875" s="591">
        <f xml:space="preserve"> 0.58+((1.15+1.71)/2)</f>
        <v>2.0099999999999998</v>
      </c>
      <c r="F1875" s="639" t="s">
        <v>8</v>
      </c>
      <c r="G1875" s="579"/>
      <c r="H1875" s="591"/>
      <c r="I1875" s="446">
        <v>1.01</v>
      </c>
      <c r="J1875" s="446"/>
      <c r="K1875" s="591">
        <f>E1875*I1875</f>
        <v>2.0301</v>
      </c>
      <c r="L1875" s="243" t="s">
        <v>8</v>
      </c>
      <c r="M1875" s="173"/>
      <c r="N1875" s="68"/>
      <c r="O1875" s="203"/>
      <c r="P1875" s="218"/>
      <c r="Q1875" s="68"/>
      <c r="R1875" s="217"/>
    </row>
    <row r="1876" spans="1:24" ht="30" customHeight="1" x14ac:dyDescent="0.35">
      <c r="A1876" s="241"/>
      <c r="B1876" s="1059"/>
      <c r="C1876" s="1059"/>
      <c r="D1876" s="1059"/>
      <c r="E1876" s="453"/>
      <c r="F1876" s="446"/>
      <c r="G1876" s="519"/>
      <c r="H1876" s="508"/>
      <c r="I1876" s="446"/>
      <c r="J1876" s="446" t="s">
        <v>335</v>
      </c>
      <c r="K1876" s="453">
        <f>SUM(K1870:K1875)</f>
        <v>178.21190558990156</v>
      </c>
      <c r="L1876" s="243" t="s">
        <v>8</v>
      </c>
      <c r="M1876" s="173"/>
      <c r="N1876" s="68"/>
      <c r="O1876" s="203"/>
      <c r="P1876" s="218"/>
      <c r="Q1876" s="68"/>
      <c r="R1876" s="217"/>
    </row>
    <row r="1877" spans="1:24" ht="30" customHeight="1" x14ac:dyDescent="0.35">
      <c r="A1877" s="241"/>
      <c r="B1877" s="506"/>
      <c r="C1877" s="506"/>
      <c r="D1877" s="506"/>
      <c r="E1877" s="453"/>
      <c r="F1877" s="1029" t="s">
        <v>302</v>
      </c>
      <c r="G1877" s="1058" t="s">
        <v>303</v>
      </c>
      <c r="H1877" s="1058"/>
      <c r="I1877" s="1058"/>
      <c r="J1877" s="1058"/>
      <c r="K1877" s="612">
        <v>1.08</v>
      </c>
      <c r="L1877" s="243"/>
      <c r="M1877" s="173"/>
      <c r="N1877" s="68"/>
      <c r="O1877" s="203"/>
      <c r="P1877" s="218"/>
      <c r="Q1877" s="68"/>
      <c r="R1877" s="217"/>
    </row>
    <row r="1878" spans="1:24" ht="30" customHeight="1" x14ac:dyDescent="0.35">
      <c r="A1878" s="241"/>
      <c r="B1878" s="506"/>
      <c r="C1878" s="506"/>
      <c r="D1878" s="506"/>
      <c r="E1878" s="453"/>
      <c r="F1878" s="1030"/>
      <c r="G1878" s="1073" t="s">
        <v>2374</v>
      </c>
      <c r="H1878" s="1073"/>
      <c r="I1878" s="1073"/>
      <c r="J1878" s="1073"/>
      <c r="K1878" s="612">
        <v>1.08</v>
      </c>
      <c r="L1878" s="243"/>
      <c r="M1878" s="173"/>
      <c r="N1878" s="68"/>
      <c r="O1878" s="203"/>
      <c r="P1878" s="218"/>
      <c r="Q1878" s="68"/>
      <c r="R1878" s="217"/>
    </row>
    <row r="1879" spans="1:24" ht="30" customHeight="1" x14ac:dyDescent="0.35">
      <c r="A1879" s="241"/>
      <c r="B1879" s="1193"/>
      <c r="C1879" s="1286"/>
      <c r="D1879" s="1286"/>
      <c r="E1879" s="779"/>
      <c r="F1879" s="458"/>
      <c r="G1879" s="458"/>
      <c r="H1879" s="458"/>
      <c r="I1879" s="458"/>
      <c r="J1879" s="446" t="s">
        <v>2356</v>
      </c>
      <c r="K1879" s="591">
        <f>+K1876*K1877/K1878</f>
        <v>178.21190558990156</v>
      </c>
      <c r="L1879" s="243" t="s">
        <v>8</v>
      </c>
      <c r="M1879" s="173"/>
      <c r="N1879" s="68"/>
      <c r="O1879" s="203"/>
      <c r="P1879" s="218"/>
      <c r="Q1879" s="68"/>
      <c r="R1879" s="217"/>
    </row>
    <row r="1880" spans="1:24" ht="30" customHeight="1" thickBot="1" x14ac:dyDescent="0.4">
      <c r="A1880" s="241"/>
      <c r="B1880" s="58"/>
      <c r="C1880" s="59"/>
      <c r="D1880" s="60"/>
      <c r="E1880" s="458"/>
      <c r="F1880" s="458"/>
      <c r="G1880" s="592" t="s">
        <v>2358</v>
      </c>
      <c r="H1880" s="458"/>
      <c r="I1880" s="458"/>
      <c r="J1880" s="583">
        <f>VLOOKUP(B1868,'Mil Cost Premiums for PUCs'!$A$4:$R$272,18,FALSE)</f>
        <v>1.1932356231980656</v>
      </c>
      <c r="K1880" s="591">
        <f>+K1879*J1880</f>
        <v>212.64879422788104</v>
      </c>
      <c r="L1880" s="243" t="s">
        <v>8</v>
      </c>
      <c r="M1880" s="173"/>
      <c r="N1880" s="68"/>
      <c r="O1880" s="203"/>
      <c r="P1880" s="218"/>
      <c r="Q1880" s="68"/>
      <c r="R1880" s="217"/>
    </row>
    <row r="1881" spans="1:24" ht="30" customHeight="1" thickBot="1" x14ac:dyDescent="0.4">
      <c r="A1881" s="1086"/>
      <c r="B1881" s="1087"/>
      <c r="C1881" s="1087"/>
      <c r="D1881" s="1087"/>
      <c r="E1881" s="1087"/>
      <c r="F1881" s="1087"/>
      <c r="G1881" s="1087"/>
      <c r="H1881" s="1087"/>
      <c r="I1881" s="1087"/>
      <c r="J1881" s="1087"/>
      <c r="K1881" s="1087"/>
      <c r="L1881" s="1088"/>
      <c r="M1881" s="173"/>
      <c r="N1881" s="419"/>
      <c r="O1881" s="171"/>
      <c r="P1881" s="216"/>
      <c r="Q1881" s="419"/>
      <c r="R1881" s="219"/>
    </row>
    <row r="1882" spans="1:24" ht="30" customHeight="1" x14ac:dyDescent="0.35">
      <c r="A1882" s="465" t="s">
        <v>278</v>
      </c>
      <c r="B1882" s="539">
        <v>2252</v>
      </c>
      <c r="C1882" s="1017" t="s">
        <v>2838</v>
      </c>
      <c r="D1882" s="1018"/>
      <c r="E1882" s="541" t="s">
        <v>280</v>
      </c>
      <c r="F1882" s="542" t="s">
        <v>8</v>
      </c>
      <c r="G1882" s="543" t="s">
        <v>285</v>
      </c>
      <c r="H1882" s="632">
        <v>44872</v>
      </c>
      <c r="I1882" s="541" t="s">
        <v>281</v>
      </c>
      <c r="J1882" s="1019" t="s">
        <v>2371</v>
      </c>
      <c r="K1882" s="1019"/>
      <c r="L1882" s="1020"/>
      <c r="M1882" s="173"/>
      <c r="N1882" s="419"/>
      <c r="O1882" s="171"/>
      <c r="P1882" s="216"/>
      <c r="Q1882" s="419"/>
      <c r="R1882" s="219"/>
    </row>
    <row r="1883" spans="1:24" ht="30" customHeight="1" x14ac:dyDescent="0.35">
      <c r="A1883" s="588" t="s">
        <v>298</v>
      </c>
      <c r="B1883" s="1038" t="s">
        <v>321</v>
      </c>
      <c r="C1883" s="1039"/>
      <c r="D1883" s="1040"/>
      <c r="E1883" s="23" t="s">
        <v>290</v>
      </c>
      <c r="F1883" s="23" t="s">
        <v>322</v>
      </c>
      <c r="G1883" s="1034" t="s">
        <v>323</v>
      </c>
      <c r="H1883" s="1035"/>
      <c r="I1883" s="509" t="s">
        <v>299</v>
      </c>
      <c r="J1883" s="509"/>
      <c r="K1883" s="1012" t="s">
        <v>292</v>
      </c>
      <c r="L1883" s="1013"/>
      <c r="M1883" s="173"/>
      <c r="N1883" s="68"/>
      <c r="O1883" s="203"/>
      <c r="P1883" s="218"/>
      <c r="Q1883" s="68"/>
      <c r="R1883" s="217"/>
    </row>
    <row r="1884" spans="1:24" ht="30" customHeight="1" x14ac:dyDescent="0.35">
      <c r="A1884" s="241" t="s">
        <v>435</v>
      </c>
      <c r="B1884" s="1082" t="s">
        <v>2981</v>
      </c>
      <c r="C1884" s="1083"/>
      <c r="D1884" s="1093"/>
      <c r="E1884" s="453">
        <f>79.5-2.51</f>
        <v>76.989999999999995</v>
      </c>
      <c r="F1884" s="446" t="s">
        <v>8</v>
      </c>
      <c r="G1884" s="454"/>
      <c r="H1884" s="446"/>
      <c r="I1884" s="446">
        <v>1.01</v>
      </c>
      <c r="J1884" s="446"/>
      <c r="K1884" s="453">
        <f>+E1884*I1884</f>
        <v>77.759900000000002</v>
      </c>
      <c r="L1884" s="243" t="s">
        <v>8</v>
      </c>
      <c r="M1884" s="173"/>
      <c r="N1884" s="68"/>
      <c r="O1884" s="203"/>
      <c r="P1884" s="218"/>
      <c r="Q1884" s="68"/>
      <c r="R1884" s="217"/>
    </row>
    <row r="1885" spans="1:24" ht="30" customHeight="1" x14ac:dyDescent="0.35">
      <c r="A1885" s="241" t="s">
        <v>360</v>
      </c>
      <c r="B1885" s="1031" t="s">
        <v>2980</v>
      </c>
      <c r="C1885" s="1032"/>
      <c r="D1885" s="1032"/>
      <c r="E1885" s="453">
        <v>2.66</v>
      </c>
      <c r="F1885" s="639" t="s">
        <v>8</v>
      </c>
      <c r="G1885" s="519"/>
      <c r="H1885" s="508"/>
      <c r="I1885" s="446">
        <v>1.01</v>
      </c>
      <c r="J1885" s="446"/>
      <c r="K1885" s="453">
        <f>+E1885*I1885</f>
        <v>2.6866000000000003</v>
      </c>
      <c r="L1885" s="243" t="s">
        <v>8</v>
      </c>
      <c r="M1885" s="173"/>
      <c r="N1885" s="13"/>
      <c r="O1885" s="203"/>
      <c r="P1885" s="218"/>
      <c r="Q1885" s="68"/>
      <c r="R1885" s="217"/>
      <c r="T1885" s="208"/>
      <c r="U1885" s="208"/>
      <c r="V1885" s="208"/>
      <c r="W1885" s="208"/>
      <c r="X1885" s="208"/>
    </row>
    <row r="1886" spans="1:24" s="208" customFormat="1" ht="30" customHeight="1" x14ac:dyDescent="0.35">
      <c r="A1886" s="241" t="s">
        <v>360</v>
      </c>
      <c r="B1886" s="1082" t="s">
        <v>1023</v>
      </c>
      <c r="C1886" s="1083"/>
      <c r="D1886" s="1093"/>
      <c r="E1886" s="453">
        <f>+E1885*0.15</f>
        <v>0.39900000000000002</v>
      </c>
      <c r="F1886" s="639" t="s">
        <v>8</v>
      </c>
      <c r="G1886" s="579"/>
      <c r="H1886" s="591"/>
      <c r="I1886" s="446">
        <v>1.01</v>
      </c>
      <c r="J1886" s="446"/>
      <c r="K1886" s="591">
        <f>E1886*I1886</f>
        <v>0.40299000000000001</v>
      </c>
      <c r="L1886" s="243" t="s">
        <v>8</v>
      </c>
      <c r="M1886" s="173"/>
      <c r="N1886" s="13"/>
      <c r="O1886" s="203"/>
      <c r="P1886" s="218"/>
      <c r="Q1886" s="68"/>
      <c r="R1886" s="217"/>
      <c r="S1886" s="203"/>
      <c r="T1886" s="203"/>
      <c r="U1886" s="203"/>
      <c r="V1886" s="203"/>
      <c r="W1886" s="203"/>
      <c r="X1886" s="203"/>
    </row>
    <row r="1887" spans="1:24" ht="30" customHeight="1" x14ac:dyDescent="0.35">
      <c r="A1887" s="241" t="s">
        <v>360</v>
      </c>
      <c r="B1887" s="1082" t="s">
        <v>910</v>
      </c>
      <c r="C1887" s="1083"/>
      <c r="D1887" s="1093"/>
      <c r="E1887" s="591">
        <f xml:space="preserve"> 0.58+((1.15+1.71)/2)</f>
        <v>2.0099999999999998</v>
      </c>
      <c r="F1887" s="639" t="s">
        <v>8</v>
      </c>
      <c r="G1887" s="579"/>
      <c r="H1887" s="591"/>
      <c r="I1887" s="446">
        <v>1.01</v>
      </c>
      <c r="J1887" s="446"/>
      <c r="K1887" s="591">
        <f>E1887*I1887</f>
        <v>2.0301</v>
      </c>
      <c r="L1887" s="243" t="s">
        <v>8</v>
      </c>
      <c r="M1887" s="173"/>
      <c r="N1887" s="68"/>
      <c r="O1887" s="208"/>
      <c r="P1887" s="218"/>
      <c r="Q1887" s="68"/>
      <c r="R1887" s="217"/>
      <c r="S1887" s="208"/>
    </row>
    <row r="1888" spans="1:24" ht="30" customHeight="1" x14ac:dyDescent="0.35">
      <c r="A1888" s="241"/>
      <c r="B1888" s="1059"/>
      <c r="C1888" s="1059"/>
      <c r="D1888" s="1059"/>
      <c r="E1888" s="453"/>
      <c r="F1888" s="446"/>
      <c r="G1888" s="519"/>
      <c r="H1888" s="508"/>
      <c r="I1888" s="446"/>
      <c r="J1888" s="446" t="s">
        <v>335</v>
      </c>
      <c r="K1888" s="453">
        <f>SUM(K1884:K1887)</f>
        <v>82.879590000000007</v>
      </c>
      <c r="L1888" s="243" t="s">
        <v>8</v>
      </c>
      <c r="M1888" s="173"/>
      <c r="N1888" s="68"/>
      <c r="O1888" s="203"/>
      <c r="P1888" s="218"/>
      <c r="Q1888" s="68"/>
      <c r="R1888" s="217"/>
    </row>
    <row r="1889" spans="1:24" ht="30" customHeight="1" x14ac:dyDescent="0.35">
      <c r="A1889" s="241"/>
      <c r="B1889" s="506"/>
      <c r="C1889" s="506"/>
      <c r="D1889" s="506"/>
      <c r="E1889" s="453"/>
      <c r="F1889" s="1029" t="s">
        <v>302</v>
      </c>
      <c r="G1889" s="1058" t="s">
        <v>303</v>
      </c>
      <c r="H1889" s="1058"/>
      <c r="I1889" s="1058"/>
      <c r="J1889" s="1058"/>
      <c r="K1889" s="612">
        <v>1.07</v>
      </c>
      <c r="L1889" s="243"/>
      <c r="M1889" s="173"/>
      <c r="N1889" s="13"/>
      <c r="O1889" s="203"/>
      <c r="P1889" s="218"/>
      <c r="Q1889" s="68"/>
      <c r="R1889" s="217"/>
    </row>
    <row r="1890" spans="1:24" ht="30" customHeight="1" x14ac:dyDescent="0.35">
      <c r="A1890" s="241"/>
      <c r="B1890" s="506"/>
      <c r="C1890" s="506"/>
      <c r="D1890" s="506"/>
      <c r="E1890" s="453"/>
      <c r="F1890" s="1030"/>
      <c r="G1890" s="1073" t="s">
        <v>2374</v>
      </c>
      <c r="H1890" s="1073"/>
      <c r="I1890" s="1073"/>
      <c r="J1890" s="1073"/>
      <c r="K1890" s="612">
        <v>1.08</v>
      </c>
      <c r="L1890" s="243"/>
      <c r="M1890" s="173"/>
      <c r="N1890" s="13"/>
      <c r="O1890" s="203"/>
      <c r="P1890" s="218"/>
      <c r="Q1890" s="68"/>
      <c r="R1890" s="217"/>
    </row>
    <row r="1891" spans="1:24" ht="30" customHeight="1" x14ac:dyDescent="0.35">
      <c r="A1891" s="241"/>
      <c r="B1891" s="446"/>
      <c r="C1891" s="458"/>
      <c r="D1891" s="458"/>
      <c r="E1891" s="458"/>
      <c r="F1891" s="458"/>
      <c r="G1891" s="458"/>
      <c r="H1891" s="458"/>
      <c r="I1891" s="458"/>
      <c r="J1891" s="458" t="s">
        <v>2356</v>
      </c>
      <c r="K1891" s="591">
        <f>+K1888*K1889/K1890</f>
        <v>82.112186388888901</v>
      </c>
      <c r="L1891" s="243" t="s">
        <v>8</v>
      </c>
      <c r="M1891" s="173"/>
      <c r="O1891" s="203"/>
      <c r="P1891" s="218"/>
      <c r="Q1891" s="68"/>
      <c r="R1891" s="217"/>
    </row>
    <row r="1892" spans="1:24" ht="30" customHeight="1" thickBot="1" x14ac:dyDescent="0.4">
      <c r="A1892" s="241"/>
      <c r="B1892" s="1283"/>
      <c r="C1892" s="1284"/>
      <c r="D1892" s="1285"/>
      <c r="E1892" s="458"/>
      <c r="F1892" s="458"/>
      <c r="G1892" s="592" t="s">
        <v>2358</v>
      </c>
      <c r="H1892" s="458"/>
      <c r="I1892" s="458"/>
      <c r="J1892" s="583">
        <f>VLOOKUP(B1882,'Mil Cost Premiums for PUCs'!$A$4:$R$272,18,FALSE)</f>
        <v>1.1932356231980656</v>
      </c>
      <c r="K1892" s="591">
        <f>+K1891*J1892</f>
        <v>97.979185897901573</v>
      </c>
      <c r="L1892" s="243" t="s">
        <v>8</v>
      </c>
      <c r="M1892" s="363"/>
      <c r="N1892" s="425"/>
      <c r="O1892" s="203"/>
      <c r="P1892" s="218"/>
      <c r="Q1892" s="68"/>
      <c r="R1892" s="217"/>
      <c r="T1892" s="27"/>
      <c r="U1892" s="171"/>
    </row>
    <row r="1893" spans="1:24" ht="30" customHeight="1" thickBot="1" x14ac:dyDescent="0.4">
      <c r="A1893" s="1086"/>
      <c r="B1893" s="1087"/>
      <c r="C1893" s="1087"/>
      <c r="D1893" s="1087"/>
      <c r="E1893" s="1087"/>
      <c r="F1893" s="1087"/>
      <c r="G1893" s="1087"/>
      <c r="H1893" s="1087"/>
      <c r="I1893" s="1087"/>
      <c r="J1893" s="1087"/>
      <c r="K1893" s="1087"/>
      <c r="L1893" s="1088"/>
      <c r="M1893" s="173"/>
      <c r="N1893" s="13"/>
      <c r="O1893" s="203"/>
      <c r="P1893" s="218"/>
      <c r="Q1893" s="68"/>
      <c r="R1893" s="217"/>
      <c r="U1893" s="171"/>
    </row>
    <row r="1894" spans="1:24" ht="30" customHeight="1" x14ac:dyDescent="0.35">
      <c r="A1894" s="465" t="s">
        <v>278</v>
      </c>
      <c r="B1894" s="539">
        <v>2261</v>
      </c>
      <c r="C1894" s="1017" t="s">
        <v>1074</v>
      </c>
      <c r="D1894" s="1018"/>
      <c r="E1894" s="541" t="s">
        <v>280</v>
      </c>
      <c r="F1894" s="542" t="s">
        <v>8</v>
      </c>
      <c r="G1894" s="543" t="s">
        <v>285</v>
      </c>
      <c r="H1894" s="632">
        <v>7500</v>
      </c>
      <c r="I1894" s="541" t="s">
        <v>281</v>
      </c>
      <c r="J1894" s="1019" t="s">
        <v>2371</v>
      </c>
      <c r="K1894" s="1019"/>
      <c r="L1894" s="1020"/>
      <c r="M1894" s="173"/>
      <c r="N1894" s="214"/>
      <c r="O1894" s="207"/>
      <c r="P1894" s="27"/>
      <c r="Q1894" s="27"/>
      <c r="R1894" s="27"/>
      <c r="S1894" s="27"/>
      <c r="U1894" s="27"/>
      <c r="V1894" s="27"/>
      <c r="W1894" s="27"/>
      <c r="X1894" s="27"/>
    </row>
    <row r="1895" spans="1:24" s="27" customFormat="1" ht="30" customHeight="1" x14ac:dyDescent="0.35">
      <c r="A1895" s="588" t="s">
        <v>298</v>
      </c>
      <c r="B1895" s="1038" t="s">
        <v>321</v>
      </c>
      <c r="C1895" s="1039"/>
      <c r="D1895" s="1040"/>
      <c r="E1895" s="23" t="s">
        <v>290</v>
      </c>
      <c r="F1895" s="23" t="s">
        <v>322</v>
      </c>
      <c r="G1895" s="1034" t="s">
        <v>323</v>
      </c>
      <c r="H1895" s="1035"/>
      <c r="I1895" s="509" t="s">
        <v>299</v>
      </c>
      <c r="J1895" s="509"/>
      <c r="K1895" s="1012" t="s">
        <v>292</v>
      </c>
      <c r="L1895" s="1013"/>
      <c r="M1895" s="173"/>
      <c r="N1895" s="203"/>
      <c r="O1895" s="205"/>
      <c r="P1895" s="203"/>
      <c r="Q1895" s="203"/>
      <c r="R1895" s="203"/>
      <c r="S1895" s="203"/>
      <c r="T1895" s="213"/>
      <c r="U1895" s="208"/>
      <c r="V1895" s="208"/>
      <c r="W1895" s="208"/>
      <c r="X1895" s="208"/>
    </row>
    <row r="1896" spans="1:24" s="208" customFormat="1" ht="30" customHeight="1" x14ac:dyDescent="0.35">
      <c r="A1896" s="241" t="s">
        <v>435</v>
      </c>
      <c r="B1896" s="1082" t="s">
        <v>2983</v>
      </c>
      <c r="C1896" s="1083"/>
      <c r="D1896" s="1093"/>
      <c r="E1896" s="453">
        <f>164-2.51</f>
        <v>161.49</v>
      </c>
      <c r="F1896" s="446" t="s">
        <v>8</v>
      </c>
      <c r="G1896" s="454"/>
      <c r="H1896" s="446"/>
      <c r="I1896" s="446">
        <v>1.01</v>
      </c>
      <c r="J1896" s="446"/>
      <c r="K1896" s="453">
        <f>+E1896*I1896</f>
        <v>163.10490000000001</v>
      </c>
      <c r="L1896" s="243" t="s">
        <v>8</v>
      </c>
      <c r="M1896" s="173"/>
      <c r="N1896" s="203"/>
      <c r="O1896" s="205"/>
      <c r="P1896" s="203"/>
      <c r="Q1896" s="203"/>
      <c r="R1896" s="203"/>
      <c r="S1896" s="203"/>
      <c r="T1896" s="51"/>
      <c r="U1896" s="203"/>
      <c r="V1896" s="203"/>
      <c r="W1896" s="203"/>
      <c r="X1896" s="203"/>
    </row>
    <row r="1897" spans="1:24" ht="30" customHeight="1" x14ac:dyDescent="0.35">
      <c r="A1897" s="241" t="s">
        <v>436</v>
      </c>
      <c r="B1897" s="1082" t="s">
        <v>1075</v>
      </c>
      <c r="C1897" s="1083"/>
      <c r="D1897" s="1093"/>
      <c r="E1897" s="591">
        <v>141000</v>
      </c>
      <c r="F1897" s="446" t="s">
        <v>10</v>
      </c>
      <c r="G1897" s="778">
        <f>+H1894</f>
        <v>7500</v>
      </c>
      <c r="H1897" s="508" t="s">
        <v>1015</v>
      </c>
      <c r="I1897" s="446">
        <v>1.02</v>
      </c>
      <c r="J1897" s="446"/>
      <c r="K1897" s="453">
        <f>+E1897/G1897*I1897</f>
        <v>19.176000000000002</v>
      </c>
      <c r="L1897" s="243" t="s">
        <v>8</v>
      </c>
      <c r="M1897" s="364"/>
      <c r="N1897" s="208"/>
      <c r="P1897" s="75"/>
      <c r="Q1897" s="75"/>
      <c r="R1897" s="75"/>
      <c r="S1897" s="213"/>
    </row>
    <row r="1898" spans="1:24" ht="30" customHeight="1" x14ac:dyDescent="0.35">
      <c r="A1898" s="241" t="s">
        <v>436</v>
      </c>
      <c r="B1898" s="1082" t="s">
        <v>1071</v>
      </c>
      <c r="C1898" s="1083"/>
      <c r="D1898" s="1093"/>
      <c r="E1898" s="51">
        <f>(23.75+47.75)/2</f>
        <v>35.75</v>
      </c>
      <c r="F1898" s="446" t="s">
        <v>6</v>
      </c>
      <c r="G1898" s="605">
        <v>200</v>
      </c>
      <c r="H1898" s="508" t="s">
        <v>1072</v>
      </c>
      <c r="I1898" s="446">
        <v>1.02</v>
      </c>
      <c r="J1898" s="446"/>
      <c r="K1898" s="453">
        <f>+E1898*G1898/G1897*I1898</f>
        <v>0.97240000000000004</v>
      </c>
      <c r="L1898" s="243" t="s">
        <v>8</v>
      </c>
      <c r="M1898" s="173"/>
      <c r="P1898" s="171"/>
      <c r="Q1898" s="171"/>
      <c r="R1898" s="171"/>
      <c r="S1898" s="51"/>
    </row>
    <row r="1899" spans="1:24" ht="30" customHeight="1" x14ac:dyDescent="0.35">
      <c r="A1899" s="241" t="s">
        <v>360</v>
      </c>
      <c r="B1899" s="1031" t="s">
        <v>1086</v>
      </c>
      <c r="C1899" s="1032"/>
      <c r="D1899" s="1032"/>
      <c r="E1899" s="453">
        <v>4.38</v>
      </c>
      <c r="F1899" s="639" t="s">
        <v>8</v>
      </c>
      <c r="G1899" s="519"/>
      <c r="H1899" s="508"/>
      <c r="I1899" s="446">
        <v>1.01</v>
      </c>
      <c r="J1899" s="446"/>
      <c r="K1899" s="453">
        <f>+E1899*I1899</f>
        <v>4.4238</v>
      </c>
      <c r="L1899" s="243" t="s">
        <v>8</v>
      </c>
      <c r="M1899" s="173"/>
      <c r="P1899" s="218"/>
      <c r="Q1899" s="68"/>
      <c r="R1899" s="217"/>
    </row>
    <row r="1900" spans="1:24" ht="30" customHeight="1" x14ac:dyDescent="0.35">
      <c r="A1900" s="241" t="s">
        <v>360</v>
      </c>
      <c r="B1900" s="1082" t="s">
        <v>1023</v>
      </c>
      <c r="C1900" s="1083"/>
      <c r="D1900" s="1093"/>
      <c r="E1900" s="453">
        <f>+E1899*0.15</f>
        <v>0.65699999999999992</v>
      </c>
      <c r="F1900" s="639"/>
      <c r="G1900" s="519"/>
      <c r="H1900" s="508"/>
      <c r="I1900" s="446">
        <v>1.01</v>
      </c>
      <c r="J1900" s="446"/>
      <c r="K1900" s="453">
        <f>+E1900*I1900</f>
        <v>0.66356999999999988</v>
      </c>
      <c r="L1900" s="243" t="s">
        <v>8</v>
      </c>
      <c r="M1900" s="173"/>
      <c r="N1900" s="229"/>
      <c r="O1900" s="229"/>
      <c r="P1900" s="218"/>
      <c r="Q1900" s="68"/>
      <c r="R1900" s="217"/>
      <c r="T1900" s="208"/>
      <c r="U1900" s="208"/>
      <c r="V1900" s="208"/>
      <c r="W1900" s="208"/>
      <c r="X1900" s="208"/>
    </row>
    <row r="1901" spans="1:24" s="208" customFormat="1" ht="30" customHeight="1" x14ac:dyDescent="0.35">
      <c r="A1901" s="241" t="s">
        <v>360</v>
      </c>
      <c r="B1901" s="1082" t="s">
        <v>910</v>
      </c>
      <c r="C1901" s="1083"/>
      <c r="D1901" s="1093"/>
      <c r="E1901" s="591">
        <f xml:space="preserve"> 0.58+((1.15+1.71)/2)</f>
        <v>2.0099999999999998</v>
      </c>
      <c r="F1901" s="639" t="s">
        <v>8</v>
      </c>
      <c r="G1901" s="579"/>
      <c r="H1901" s="591"/>
      <c r="I1901" s="446">
        <v>1.01</v>
      </c>
      <c r="J1901" s="446"/>
      <c r="K1901" s="591">
        <f>+E1901*I1901</f>
        <v>2.0301</v>
      </c>
      <c r="L1901" s="243" t="s">
        <v>8</v>
      </c>
      <c r="M1901" s="173"/>
      <c r="N1901" s="229"/>
      <c r="O1901" s="229"/>
      <c r="P1901" s="218"/>
      <c r="Q1901" s="68"/>
      <c r="R1901" s="217"/>
      <c r="S1901" s="203"/>
      <c r="T1901" s="203"/>
      <c r="U1901" s="203"/>
      <c r="V1901" s="203"/>
      <c r="W1901" s="203"/>
      <c r="X1901" s="203"/>
    </row>
    <row r="1902" spans="1:24" ht="30" customHeight="1" x14ac:dyDescent="0.35">
      <c r="A1902" s="241"/>
      <c r="B1902" s="1059"/>
      <c r="C1902" s="1059"/>
      <c r="D1902" s="1059"/>
      <c r="E1902" s="453"/>
      <c r="F1902" s="446"/>
      <c r="G1902" s="519"/>
      <c r="H1902" s="508"/>
      <c r="I1902" s="446"/>
      <c r="J1902" s="446" t="s">
        <v>335</v>
      </c>
      <c r="K1902" s="453">
        <f>SUM(K1896:K1901)</f>
        <v>190.37077000000002</v>
      </c>
      <c r="L1902" s="243" t="s">
        <v>8</v>
      </c>
      <c r="M1902" s="173"/>
      <c r="N1902" s="229"/>
      <c r="O1902" s="229"/>
      <c r="P1902" s="218"/>
      <c r="Q1902" s="68"/>
      <c r="R1902" s="217"/>
      <c r="S1902" s="208"/>
    </row>
    <row r="1903" spans="1:24" ht="30" customHeight="1" x14ac:dyDescent="0.35">
      <c r="A1903" s="241"/>
      <c r="B1903" s="506"/>
      <c r="C1903" s="506"/>
      <c r="D1903" s="506"/>
      <c r="E1903" s="453"/>
      <c r="F1903" s="1029" t="s">
        <v>302</v>
      </c>
      <c r="G1903" s="1058" t="s">
        <v>303</v>
      </c>
      <c r="H1903" s="1058"/>
      <c r="I1903" s="1058"/>
      <c r="J1903" s="1058"/>
      <c r="K1903" s="612">
        <v>1.0900000000000001</v>
      </c>
      <c r="L1903" s="243"/>
      <c r="M1903" s="173"/>
      <c r="N1903" s="228"/>
      <c r="O1903" s="228"/>
      <c r="P1903" s="218"/>
      <c r="Q1903" s="68"/>
      <c r="R1903" s="217"/>
    </row>
    <row r="1904" spans="1:24" ht="30" customHeight="1" x14ac:dyDescent="0.35">
      <c r="A1904" s="241"/>
      <c r="B1904" s="506"/>
      <c r="C1904" s="506"/>
      <c r="D1904" s="506"/>
      <c r="E1904" s="453"/>
      <c r="F1904" s="1030"/>
      <c r="G1904" s="1073" t="s">
        <v>2374</v>
      </c>
      <c r="H1904" s="1073"/>
      <c r="I1904" s="1073"/>
      <c r="J1904" s="1073"/>
      <c r="K1904" s="612">
        <v>1.08</v>
      </c>
      <c r="L1904" s="243"/>
      <c r="M1904" s="173"/>
      <c r="N1904" s="228"/>
      <c r="O1904" s="228"/>
      <c r="P1904" s="218"/>
      <c r="Q1904" s="68"/>
      <c r="R1904" s="217"/>
    </row>
    <row r="1905" spans="1:24" ht="30" customHeight="1" x14ac:dyDescent="0.35">
      <c r="A1905" s="241"/>
      <c r="B1905" s="1259" t="s">
        <v>2220</v>
      </c>
      <c r="C1905" s="1259"/>
      <c r="D1905" s="1259"/>
      <c r="E1905" s="458"/>
      <c r="F1905" s="458"/>
      <c r="G1905" s="458"/>
      <c r="H1905" s="458"/>
      <c r="I1905" s="458"/>
      <c r="J1905" s="458" t="s">
        <v>2356</v>
      </c>
      <c r="K1905" s="591">
        <f>+K1902*K1903/K1904</f>
        <v>192.13346231481484</v>
      </c>
      <c r="L1905" s="243" t="s">
        <v>8</v>
      </c>
      <c r="M1905" s="173"/>
      <c r="N1905" s="68"/>
      <c r="O1905" s="203"/>
      <c r="P1905" s="218"/>
      <c r="Q1905" s="68"/>
      <c r="R1905" s="217"/>
    </row>
    <row r="1906" spans="1:24" ht="30" customHeight="1" thickBot="1" x14ac:dyDescent="0.4">
      <c r="A1906" s="241"/>
      <c r="B1906" s="1212" t="s">
        <v>2839</v>
      </c>
      <c r="C1906" s="1213"/>
      <c r="D1906" s="1214"/>
      <c r="E1906" s="458"/>
      <c r="F1906" s="458"/>
      <c r="G1906" s="592" t="s">
        <v>2358</v>
      </c>
      <c r="H1906" s="458"/>
      <c r="I1906" s="458"/>
      <c r="J1906" s="583">
        <f>VLOOKUP(B1894,'Mil Cost Premiums for PUCs'!$A$4:$R$272,18,FALSE)</f>
        <v>1.1932356231980656</v>
      </c>
      <c r="K1906" s="591">
        <f>+K1905*J1906</f>
        <v>229.26049164242013</v>
      </c>
      <c r="L1906" s="243" t="s">
        <v>8</v>
      </c>
      <c r="M1906" s="173"/>
      <c r="N1906" s="68"/>
      <c r="O1906" s="203"/>
      <c r="P1906" s="218"/>
      <c r="Q1906" s="68"/>
      <c r="R1906" s="217"/>
    </row>
    <row r="1907" spans="1:24" ht="30" customHeight="1" thickBot="1" x14ac:dyDescent="0.4">
      <c r="A1907" s="1086"/>
      <c r="B1907" s="1087"/>
      <c r="C1907" s="1087"/>
      <c r="D1907" s="1087"/>
      <c r="E1907" s="1087"/>
      <c r="F1907" s="1087"/>
      <c r="G1907" s="1087"/>
      <c r="H1907" s="1087"/>
      <c r="I1907" s="1087"/>
      <c r="J1907" s="1087"/>
      <c r="K1907" s="1087"/>
      <c r="L1907" s="1088"/>
      <c r="M1907" s="173"/>
      <c r="N1907" s="68"/>
      <c r="O1907" s="203"/>
      <c r="P1907" s="218"/>
      <c r="Q1907" s="68"/>
      <c r="R1907" s="217"/>
    </row>
    <row r="1908" spans="1:24" ht="30" customHeight="1" x14ac:dyDescent="0.35">
      <c r="A1908" s="465" t="s">
        <v>278</v>
      </c>
      <c r="B1908" s="539">
        <v>2262</v>
      </c>
      <c r="C1908" s="1017" t="s">
        <v>3167</v>
      </c>
      <c r="D1908" s="1018"/>
      <c r="E1908" s="541" t="s">
        <v>280</v>
      </c>
      <c r="F1908" s="542" t="s">
        <v>8</v>
      </c>
      <c r="G1908" s="543" t="s">
        <v>285</v>
      </c>
      <c r="H1908" s="632">
        <v>3112</v>
      </c>
      <c r="I1908" s="541" t="s">
        <v>281</v>
      </c>
      <c r="J1908" s="1019" t="s">
        <v>2371</v>
      </c>
      <c r="K1908" s="1019"/>
      <c r="L1908" s="1020"/>
      <c r="M1908" s="173"/>
      <c r="N1908" s="68"/>
      <c r="O1908" s="203"/>
      <c r="P1908" s="218"/>
      <c r="Q1908" s="68"/>
      <c r="R1908" s="217"/>
    </row>
    <row r="1909" spans="1:24" ht="30" customHeight="1" x14ac:dyDescent="0.35">
      <c r="A1909" s="588" t="s">
        <v>298</v>
      </c>
      <c r="B1909" s="1038" t="s">
        <v>321</v>
      </c>
      <c r="C1909" s="1039"/>
      <c r="D1909" s="1040"/>
      <c r="E1909" s="23" t="s">
        <v>290</v>
      </c>
      <c r="F1909" s="23" t="s">
        <v>322</v>
      </c>
      <c r="G1909" s="1034" t="s">
        <v>323</v>
      </c>
      <c r="H1909" s="1035"/>
      <c r="I1909" s="509" t="s">
        <v>299</v>
      </c>
      <c r="J1909" s="509"/>
      <c r="K1909" s="1012" t="s">
        <v>292</v>
      </c>
      <c r="L1909" s="1013"/>
      <c r="M1909" s="173"/>
      <c r="N1909" s="68"/>
      <c r="O1909" s="203"/>
      <c r="P1909" s="218"/>
      <c r="Q1909" s="68"/>
      <c r="R1909" s="217"/>
      <c r="T1909" s="208"/>
      <c r="U1909" s="208"/>
      <c r="V1909" s="208"/>
      <c r="W1909" s="208"/>
      <c r="X1909" s="208"/>
    </row>
    <row r="1910" spans="1:24" s="208" customFormat="1" ht="30" customHeight="1" x14ac:dyDescent="0.35">
      <c r="A1910" s="241" t="s">
        <v>435</v>
      </c>
      <c r="B1910" s="1082" t="s">
        <v>2984</v>
      </c>
      <c r="C1910" s="1083"/>
      <c r="D1910" s="1093"/>
      <c r="E1910" s="453">
        <f>164-2.51</f>
        <v>161.49</v>
      </c>
      <c r="F1910" s="446" t="s">
        <v>8</v>
      </c>
      <c r="G1910" s="454"/>
      <c r="H1910" s="446"/>
      <c r="I1910" s="446">
        <v>1.01</v>
      </c>
      <c r="J1910" s="446"/>
      <c r="K1910" s="453">
        <f>+E1910*I1910</f>
        <v>163.10490000000001</v>
      </c>
      <c r="L1910" s="243" t="s">
        <v>8</v>
      </c>
      <c r="M1910" s="173"/>
      <c r="N1910" s="68"/>
      <c r="O1910" s="203"/>
      <c r="P1910" s="218"/>
      <c r="Q1910" s="68"/>
      <c r="R1910" s="217"/>
      <c r="S1910" s="203"/>
      <c r="T1910" s="203"/>
      <c r="U1910" s="203"/>
      <c r="V1910" s="203"/>
      <c r="W1910" s="203"/>
      <c r="X1910" s="203"/>
    </row>
    <row r="1911" spans="1:24" ht="30" customHeight="1" x14ac:dyDescent="0.35">
      <c r="A1911" s="241" t="s">
        <v>360</v>
      </c>
      <c r="B1911" s="1031" t="s">
        <v>1070</v>
      </c>
      <c r="C1911" s="1032"/>
      <c r="D1911" s="1032"/>
      <c r="E1911" s="453">
        <v>3.95</v>
      </c>
      <c r="F1911" s="639" t="s">
        <v>8</v>
      </c>
      <c r="G1911" s="519"/>
      <c r="H1911" s="508"/>
      <c r="I1911" s="446">
        <v>1.01</v>
      </c>
      <c r="J1911" s="446"/>
      <c r="K1911" s="453">
        <f>+E1911*I1911</f>
        <v>3.9895</v>
      </c>
      <c r="L1911" s="243" t="s">
        <v>8</v>
      </c>
      <c r="M1911" s="173"/>
      <c r="N1911" s="68"/>
      <c r="O1911" s="208"/>
      <c r="P1911" s="218"/>
      <c r="Q1911" s="68"/>
      <c r="R1911" s="217"/>
      <c r="S1911" s="208"/>
    </row>
    <row r="1912" spans="1:24" ht="30" customHeight="1" x14ac:dyDescent="0.35">
      <c r="A1912" s="241" t="s">
        <v>360</v>
      </c>
      <c r="B1912" s="1082" t="s">
        <v>1023</v>
      </c>
      <c r="C1912" s="1083"/>
      <c r="D1912" s="1093"/>
      <c r="E1912" s="453">
        <f>+E1911*0.15</f>
        <v>0.59250000000000003</v>
      </c>
      <c r="F1912" s="639" t="s">
        <v>8</v>
      </c>
      <c r="G1912" s="579"/>
      <c r="H1912" s="591">
        <f>E1912</f>
        <v>0.59250000000000003</v>
      </c>
      <c r="I1912" s="446">
        <v>1.01</v>
      </c>
      <c r="J1912" s="446"/>
      <c r="K1912" s="591">
        <f>+H1912*I1912</f>
        <v>0.59842499999999998</v>
      </c>
      <c r="L1912" s="243" t="s">
        <v>8</v>
      </c>
      <c r="M1912" s="173"/>
      <c r="N1912" s="68"/>
      <c r="O1912" s="203"/>
      <c r="P1912" s="218"/>
      <c r="Q1912" s="68"/>
      <c r="R1912" s="217"/>
    </row>
    <row r="1913" spans="1:24" ht="30" customHeight="1" x14ac:dyDescent="0.35">
      <c r="A1913" s="241" t="s">
        <v>360</v>
      </c>
      <c r="B1913" s="1082" t="s">
        <v>910</v>
      </c>
      <c r="C1913" s="1083"/>
      <c r="D1913" s="1093"/>
      <c r="E1913" s="591">
        <f xml:space="preserve"> 0.58+((1.15+1.71)/2)</f>
        <v>2.0099999999999998</v>
      </c>
      <c r="F1913" s="639" t="s">
        <v>8</v>
      </c>
      <c r="G1913" s="579"/>
      <c r="H1913" s="591">
        <f>E1913</f>
        <v>2.0099999999999998</v>
      </c>
      <c r="I1913" s="446">
        <v>1.01</v>
      </c>
      <c r="J1913" s="446"/>
      <c r="K1913" s="591">
        <f>+H1913*I1913</f>
        <v>2.0301</v>
      </c>
      <c r="L1913" s="243" t="s">
        <v>8</v>
      </c>
      <c r="M1913" s="173"/>
      <c r="N1913" s="68"/>
      <c r="O1913" s="203"/>
      <c r="P1913" s="218"/>
      <c r="Q1913" s="68"/>
      <c r="R1913" s="217"/>
    </row>
    <row r="1914" spans="1:24" ht="30" customHeight="1" x14ac:dyDescent="0.35">
      <c r="A1914" s="241"/>
      <c r="B1914" s="1059"/>
      <c r="C1914" s="1059"/>
      <c r="D1914" s="1059"/>
      <c r="E1914" s="453"/>
      <c r="F1914" s="446"/>
      <c r="G1914" s="519"/>
      <c r="H1914" s="508"/>
      <c r="I1914" s="446"/>
      <c r="J1914" s="446" t="s">
        <v>335</v>
      </c>
      <c r="K1914" s="453">
        <f>SUM(K1910:K1911)</f>
        <v>167.09440000000001</v>
      </c>
      <c r="L1914" s="243" t="s">
        <v>8</v>
      </c>
      <c r="M1914" s="173"/>
      <c r="N1914" s="68"/>
      <c r="O1914" s="203"/>
      <c r="P1914" s="218"/>
      <c r="Q1914" s="68"/>
      <c r="R1914" s="217"/>
    </row>
    <row r="1915" spans="1:24" ht="30" customHeight="1" x14ac:dyDescent="0.35">
      <c r="A1915" s="241"/>
      <c r="B1915" s="506"/>
      <c r="C1915" s="506"/>
      <c r="D1915" s="506"/>
      <c r="E1915" s="453"/>
      <c r="F1915" s="1029" t="s">
        <v>302</v>
      </c>
      <c r="G1915" s="1058" t="s">
        <v>303</v>
      </c>
      <c r="H1915" s="1058"/>
      <c r="I1915" s="1058"/>
      <c r="J1915" s="1058"/>
      <c r="K1915" s="612">
        <v>1.08</v>
      </c>
      <c r="L1915" s="243"/>
      <c r="M1915" s="173"/>
      <c r="N1915" s="419"/>
      <c r="O1915" s="171"/>
      <c r="P1915" s="216"/>
      <c r="Q1915" s="419"/>
      <c r="R1915" s="219"/>
    </row>
    <row r="1916" spans="1:24" ht="30" customHeight="1" x14ac:dyDescent="0.35">
      <c r="A1916" s="241"/>
      <c r="B1916" s="506"/>
      <c r="C1916" s="506"/>
      <c r="D1916" s="506"/>
      <c r="E1916" s="453"/>
      <c r="F1916" s="1030"/>
      <c r="G1916" s="1073" t="s">
        <v>2374</v>
      </c>
      <c r="H1916" s="1073"/>
      <c r="I1916" s="1073"/>
      <c r="J1916" s="1073"/>
      <c r="K1916" s="612">
        <v>1.08</v>
      </c>
      <c r="L1916" s="243"/>
      <c r="M1916" s="173"/>
      <c r="N1916" s="419"/>
      <c r="O1916" s="171"/>
      <c r="P1916" s="216"/>
      <c r="Q1916" s="419"/>
      <c r="R1916" s="219"/>
    </row>
    <row r="1917" spans="1:24" ht="30" customHeight="1" x14ac:dyDescent="0.35">
      <c r="A1917" s="241"/>
      <c r="B1917" s="446"/>
      <c r="C1917" s="458"/>
      <c r="D1917" s="458"/>
      <c r="E1917" s="458"/>
      <c r="F1917" s="458"/>
      <c r="G1917" s="458"/>
      <c r="H1917" s="458"/>
      <c r="I1917" s="458"/>
      <c r="J1917" s="458" t="s">
        <v>2356</v>
      </c>
      <c r="K1917" s="591">
        <f>+K1914*K1915/K1916</f>
        <v>167.09440000000001</v>
      </c>
      <c r="L1917" s="243" t="s">
        <v>8</v>
      </c>
      <c r="M1917" s="173"/>
      <c r="N1917" s="222"/>
      <c r="O1917" s="203"/>
      <c r="P1917" s="218"/>
      <c r="Q1917" s="68"/>
      <c r="R1917" s="217"/>
    </row>
    <row r="1918" spans="1:24" ht="30" customHeight="1" thickBot="1" x14ac:dyDescent="0.4">
      <c r="A1918" s="241"/>
      <c r="B1918" s="446"/>
      <c r="C1918" s="458"/>
      <c r="D1918" s="458"/>
      <c r="E1918" s="458"/>
      <c r="F1918" s="458"/>
      <c r="G1918" s="592" t="s">
        <v>2358</v>
      </c>
      <c r="H1918" s="458"/>
      <c r="I1918" s="458"/>
      <c r="J1918" s="583">
        <f>VLOOKUP(B1908,'Mil Cost Premiums for PUCs'!$A$4:$R$272,18,FALSE)</f>
        <v>1.0905505199999999</v>
      </c>
      <c r="K1918" s="591">
        <f>+K1917*J1918</f>
        <v>182.224884809088</v>
      </c>
      <c r="L1918" s="243" t="s">
        <v>8</v>
      </c>
      <c r="M1918" s="173"/>
      <c r="N1918" s="222"/>
      <c r="O1918" s="203"/>
      <c r="P1918" s="218"/>
      <c r="Q1918" s="68"/>
      <c r="R1918" s="217"/>
    </row>
    <row r="1919" spans="1:24" ht="30" customHeight="1" thickBot="1" x14ac:dyDescent="0.4">
      <c r="A1919" s="1086"/>
      <c r="B1919" s="1087"/>
      <c r="C1919" s="1087"/>
      <c r="D1919" s="1087"/>
      <c r="E1919" s="1087"/>
      <c r="F1919" s="1087"/>
      <c r="G1919" s="1087"/>
      <c r="H1919" s="1087"/>
      <c r="I1919" s="1087"/>
      <c r="J1919" s="1087"/>
      <c r="K1919" s="1087"/>
      <c r="L1919" s="1088"/>
      <c r="M1919" s="173"/>
      <c r="N1919" s="68"/>
      <c r="O1919" s="203"/>
      <c r="P1919" s="218"/>
      <c r="Q1919" s="68"/>
      <c r="R1919" s="217"/>
      <c r="T1919" s="208"/>
      <c r="U1919" s="208"/>
      <c r="V1919" s="208"/>
      <c r="W1919" s="208"/>
      <c r="X1919" s="208"/>
    </row>
    <row r="1920" spans="1:24" s="208" customFormat="1" ht="30" customHeight="1" x14ac:dyDescent="0.35">
      <c r="A1920" s="465" t="s">
        <v>278</v>
      </c>
      <c r="B1920" s="539">
        <v>2264</v>
      </c>
      <c r="C1920" s="1060" t="s">
        <v>1076</v>
      </c>
      <c r="D1920" s="1061"/>
      <c r="E1920" s="541" t="s">
        <v>280</v>
      </c>
      <c r="F1920" s="542" t="s">
        <v>8</v>
      </c>
      <c r="G1920" s="543" t="s">
        <v>285</v>
      </c>
      <c r="H1920" s="569">
        <v>5822</v>
      </c>
      <c r="I1920" s="541" t="s">
        <v>281</v>
      </c>
      <c r="J1920" s="1019" t="s">
        <v>1077</v>
      </c>
      <c r="K1920" s="1019"/>
      <c r="L1920" s="1020"/>
      <c r="M1920" s="173"/>
      <c r="N1920" s="68"/>
      <c r="O1920" s="203"/>
      <c r="P1920" s="218"/>
      <c r="Q1920" s="68"/>
      <c r="R1920" s="217"/>
      <c r="S1920" s="203"/>
      <c r="T1920" s="203"/>
      <c r="U1920" s="203"/>
      <c r="V1920" s="203"/>
      <c r="W1920" s="203"/>
      <c r="X1920" s="203"/>
    </row>
    <row r="1921" spans="1:24" ht="30" customHeight="1" x14ac:dyDescent="0.35">
      <c r="A1921" s="545" t="s">
        <v>288</v>
      </c>
      <c r="B1921" s="1051" t="s">
        <v>282</v>
      </c>
      <c r="C1921" s="1051"/>
      <c r="D1921" s="1051"/>
      <c r="E1921" s="561" t="s">
        <v>290</v>
      </c>
      <c r="F1921" s="509" t="s">
        <v>289</v>
      </c>
      <c r="G1921" s="1094" t="s">
        <v>2</v>
      </c>
      <c r="H1921" s="1095"/>
      <c r="I1921" s="1052" t="s">
        <v>405</v>
      </c>
      <c r="J1921" s="1053"/>
      <c r="K1921" s="1012" t="s">
        <v>292</v>
      </c>
      <c r="L1921" s="1013"/>
      <c r="M1921" s="173"/>
      <c r="N1921" s="68"/>
      <c r="O1921" s="208"/>
      <c r="P1921" s="218"/>
      <c r="Q1921" s="68"/>
      <c r="R1921" s="217"/>
      <c r="S1921" s="208"/>
    </row>
    <row r="1922" spans="1:24" ht="30" customHeight="1" x14ac:dyDescent="0.35">
      <c r="A1922" s="241">
        <v>21630</v>
      </c>
      <c r="B1922" s="1031" t="s">
        <v>1078</v>
      </c>
      <c r="C1922" s="1032"/>
      <c r="D1922" s="1033"/>
      <c r="E1922" s="453">
        <v>1064</v>
      </c>
      <c r="F1922" s="694">
        <v>82500</v>
      </c>
      <c r="G1922" s="462" t="s">
        <v>8</v>
      </c>
      <c r="H1922" s="462"/>
      <c r="I1922" s="1091">
        <f>+'2021 MILCON Inflation Table'!F8</f>
        <v>1.3794561933534744</v>
      </c>
      <c r="J1922" s="1092"/>
      <c r="K1922" s="463">
        <f>+E1922*I1922</f>
        <v>1467.7413897280967</v>
      </c>
      <c r="L1922" s="564" t="s">
        <v>8</v>
      </c>
      <c r="M1922" s="173"/>
      <c r="N1922" s="205"/>
      <c r="O1922" s="203"/>
      <c r="P1922" s="218"/>
      <c r="Q1922" s="68"/>
      <c r="R1922" s="217"/>
    </row>
    <row r="1923" spans="1:24" ht="30" customHeight="1" thickBot="1" x14ac:dyDescent="0.4">
      <c r="A1923" s="241"/>
      <c r="B1923" s="1031"/>
      <c r="C1923" s="1032"/>
      <c r="D1923" s="1033"/>
      <c r="E1923" s="553"/>
      <c r="F1923" s="706"/>
      <c r="G1923" s="553"/>
      <c r="H1923" s="707"/>
      <c r="I1923" s="458"/>
      <c r="J1923" s="458" t="s">
        <v>2356</v>
      </c>
      <c r="K1923" s="459">
        <f>AVERAGE(K1922:K1922)</f>
        <v>1467.7413897280967</v>
      </c>
      <c r="L1923" s="564" t="s">
        <v>8</v>
      </c>
      <c r="M1923" s="173"/>
      <c r="N1923" s="68"/>
      <c r="O1923" s="203"/>
      <c r="P1923" s="218"/>
      <c r="Q1923" s="68"/>
      <c r="R1923" s="217"/>
    </row>
    <row r="1924" spans="1:24" ht="30" customHeight="1" thickBot="1" x14ac:dyDescent="0.4">
      <c r="A1924" s="1086"/>
      <c r="B1924" s="1087"/>
      <c r="C1924" s="1087"/>
      <c r="D1924" s="1087"/>
      <c r="E1924" s="1087"/>
      <c r="F1924" s="1087"/>
      <c r="G1924" s="1087"/>
      <c r="H1924" s="1087"/>
      <c r="I1924" s="1087"/>
      <c r="J1924" s="1087"/>
      <c r="K1924" s="1087"/>
      <c r="L1924" s="1088"/>
      <c r="M1924" s="173"/>
      <c r="O1924" s="218"/>
      <c r="P1924" s="68"/>
      <c r="Q1924" s="217"/>
    </row>
    <row r="1925" spans="1:24" ht="30" customHeight="1" x14ac:dyDescent="0.35">
      <c r="A1925" s="465" t="s">
        <v>278</v>
      </c>
      <c r="B1925" s="539">
        <v>2265</v>
      </c>
      <c r="C1925" s="1060" t="s">
        <v>3168</v>
      </c>
      <c r="D1925" s="1061"/>
      <c r="E1925" s="541" t="s">
        <v>280</v>
      </c>
      <c r="F1925" s="542" t="s">
        <v>10</v>
      </c>
      <c r="G1925" s="553" t="s">
        <v>279</v>
      </c>
      <c r="H1925" s="569">
        <v>1</v>
      </c>
      <c r="I1925" s="541" t="s">
        <v>281</v>
      </c>
      <c r="J1925" s="1019" t="s">
        <v>2749</v>
      </c>
      <c r="K1925" s="1019"/>
      <c r="L1925" s="1020"/>
      <c r="M1925" s="173"/>
      <c r="N1925" s="68"/>
      <c r="O1925" s="203"/>
      <c r="P1925" s="218"/>
      <c r="Q1925" s="68"/>
      <c r="R1925" s="217"/>
    </row>
    <row r="1926" spans="1:24" ht="30" customHeight="1" x14ac:dyDescent="0.35">
      <c r="A1926" s="588" t="s">
        <v>298</v>
      </c>
      <c r="B1926" s="1038" t="s">
        <v>321</v>
      </c>
      <c r="C1926" s="1039"/>
      <c r="D1926" s="1040"/>
      <c r="E1926" s="23" t="s">
        <v>290</v>
      </c>
      <c r="F1926" s="23" t="s">
        <v>322</v>
      </c>
      <c r="G1926" s="1034" t="s">
        <v>323</v>
      </c>
      <c r="H1926" s="1035"/>
      <c r="I1926" s="1052" t="s">
        <v>405</v>
      </c>
      <c r="J1926" s="1053"/>
      <c r="K1926" s="1012" t="s">
        <v>292</v>
      </c>
      <c r="L1926" s="1013"/>
      <c r="M1926" s="173"/>
      <c r="N1926" s="68"/>
      <c r="O1926" s="203"/>
      <c r="P1926" s="218"/>
      <c r="Q1926" s="68"/>
      <c r="R1926" s="217"/>
    </row>
    <row r="1927" spans="1:24" ht="30" customHeight="1" x14ac:dyDescent="0.35">
      <c r="A1927" s="241">
        <v>93210</v>
      </c>
      <c r="B1927" s="1082" t="s">
        <v>1079</v>
      </c>
      <c r="C1927" s="1083"/>
      <c r="D1927" s="1093"/>
      <c r="E1927" s="38">
        <v>33.799999999999997</v>
      </c>
      <c r="F1927" s="3" t="s">
        <v>283</v>
      </c>
      <c r="G1927" s="39">
        <f>+E1931/3</f>
        <v>3303.5555555555552</v>
      </c>
      <c r="H1927" s="498" t="s">
        <v>457</v>
      </c>
      <c r="I1927" s="1015">
        <f>+'2021 MILCON Inflation Table'!$F$20</f>
        <v>0.9432470865927236</v>
      </c>
      <c r="J1927" s="1016"/>
      <c r="K1927" s="49">
        <f>+E1927*G1927*I1927</f>
        <v>105323.13737731444</v>
      </c>
      <c r="L1927" s="676" t="s">
        <v>10</v>
      </c>
      <c r="M1927" s="173"/>
      <c r="N1927" s="68"/>
      <c r="O1927" s="203"/>
      <c r="P1927" s="218"/>
      <c r="Q1927" s="68"/>
      <c r="R1927" s="217"/>
    </row>
    <row r="1928" spans="1:24" ht="30" customHeight="1" x14ac:dyDescent="0.35">
      <c r="A1928" s="241">
        <v>93410</v>
      </c>
      <c r="B1928" s="1082" t="s">
        <v>2388</v>
      </c>
      <c r="C1928" s="1083"/>
      <c r="D1928" s="1093"/>
      <c r="E1928" s="38">
        <v>8.5</v>
      </c>
      <c r="F1928" s="3" t="s">
        <v>283</v>
      </c>
      <c r="G1928" s="39">
        <f>+E1931/3</f>
        <v>3303.5555555555552</v>
      </c>
      <c r="H1928" s="498" t="s">
        <v>457</v>
      </c>
      <c r="I1928" s="1015">
        <f>+'2021 MILCON Inflation Table'!$F$20</f>
        <v>0.9432470865927236</v>
      </c>
      <c r="J1928" s="1016"/>
      <c r="K1928" s="49">
        <f>+E1928*G1928*I1928</f>
        <v>26486.587801987363</v>
      </c>
      <c r="L1928" s="676" t="s">
        <v>10</v>
      </c>
      <c r="M1928" s="173"/>
      <c r="N1928" s="419"/>
      <c r="O1928" s="171"/>
      <c r="P1928" s="216"/>
      <c r="Q1928" s="419"/>
      <c r="R1928" s="219"/>
    </row>
    <row r="1929" spans="1:24" ht="30" customHeight="1" x14ac:dyDescent="0.35">
      <c r="A1929" s="241">
        <v>93410</v>
      </c>
      <c r="B1929" s="1082" t="s">
        <v>1080</v>
      </c>
      <c r="C1929" s="1083"/>
      <c r="D1929" s="1093"/>
      <c r="E1929" s="38">
        <v>3.6</v>
      </c>
      <c r="F1929" s="3" t="s">
        <v>3</v>
      </c>
      <c r="G1929" s="39">
        <f>+E1931</f>
        <v>9910.6666666666661</v>
      </c>
      <c r="H1929" s="498" t="s">
        <v>460</v>
      </c>
      <c r="I1929" s="1015">
        <f>+'2021 MILCON Inflation Table'!$F$20</f>
        <v>0.9432470865927236</v>
      </c>
      <c r="J1929" s="1016"/>
      <c r="K1929" s="49">
        <f>+E1929*G1929*I1929</f>
        <v>33653.546854289831</v>
      </c>
      <c r="L1929" s="676" t="s">
        <v>10</v>
      </c>
      <c r="M1929" s="173"/>
      <c r="N1929" s="419"/>
      <c r="O1929" s="171"/>
      <c r="P1929" s="216"/>
      <c r="Q1929" s="419"/>
      <c r="R1929" s="219"/>
    </row>
    <row r="1930" spans="1:24" ht="30" customHeight="1" x14ac:dyDescent="0.35">
      <c r="A1930" s="241">
        <v>93210</v>
      </c>
      <c r="B1930" s="1082" t="s">
        <v>1081</v>
      </c>
      <c r="C1930" s="1083"/>
      <c r="D1930" s="1093"/>
      <c r="E1930" s="38">
        <v>47.6</v>
      </c>
      <c r="F1930" s="3" t="s">
        <v>283</v>
      </c>
      <c r="G1930" s="39">
        <f>+E1931*2/9</f>
        <v>2202.3703703703704</v>
      </c>
      <c r="H1930" s="498" t="s">
        <v>457</v>
      </c>
      <c r="I1930" s="1015">
        <f>+'2021 MILCON Inflation Table'!$F$20</f>
        <v>0.9432470865927236</v>
      </c>
      <c r="J1930" s="1016"/>
      <c r="K1930" s="49">
        <f>+E1930*G1930*I1930</f>
        <v>98883.261127419508</v>
      </c>
      <c r="L1930" s="676" t="s">
        <v>10</v>
      </c>
      <c r="M1930" s="173"/>
      <c r="N1930" s="68"/>
      <c r="O1930" s="203"/>
      <c r="P1930" s="218"/>
      <c r="Q1930" s="68"/>
      <c r="R1930" s="217"/>
    </row>
    <row r="1931" spans="1:24" ht="30" customHeight="1" x14ac:dyDescent="0.35">
      <c r="A1931" s="241"/>
      <c r="B1931" s="1082" t="s">
        <v>2985</v>
      </c>
      <c r="C1931" s="1083"/>
      <c r="D1931" s="1093"/>
      <c r="E1931" s="61">
        <f>89196/9</f>
        <v>9910.6666666666661</v>
      </c>
      <c r="F1931" s="3" t="s">
        <v>3</v>
      </c>
      <c r="G1931" s="496"/>
      <c r="H1931" s="498"/>
      <c r="I1931" s="446"/>
      <c r="J1931" s="446" t="s">
        <v>362</v>
      </c>
      <c r="K1931" s="645">
        <f>SUM(K1927:K1930)</f>
        <v>264346.53316101118</v>
      </c>
      <c r="L1931" s="243" t="s">
        <v>10</v>
      </c>
      <c r="M1931" s="363"/>
      <c r="N1931" s="68"/>
      <c r="O1931" s="203"/>
      <c r="P1931" s="218"/>
      <c r="Q1931" s="68"/>
      <c r="R1931" s="217"/>
    </row>
    <row r="1932" spans="1:24" ht="30" customHeight="1" thickBot="1" x14ac:dyDescent="0.4">
      <c r="A1932" s="603"/>
      <c r="B1932" s="1059"/>
      <c r="C1932" s="1059"/>
      <c r="D1932" s="1059"/>
      <c r="E1932" s="61"/>
      <c r="F1932" s="3"/>
      <c r="G1932" s="446"/>
      <c r="H1932" s="446"/>
      <c r="I1932" s="446"/>
      <c r="J1932" s="510" t="s">
        <v>2356</v>
      </c>
      <c r="K1932" s="645">
        <f>+K1931</f>
        <v>264346.53316101118</v>
      </c>
      <c r="L1932" s="243" t="s">
        <v>10</v>
      </c>
      <c r="M1932" s="173"/>
      <c r="N1932" s="68"/>
      <c r="O1932" s="203"/>
      <c r="P1932" s="218"/>
      <c r="Q1932" s="68"/>
      <c r="R1932" s="217"/>
      <c r="T1932" s="208"/>
      <c r="U1932" s="208"/>
      <c r="V1932" s="208"/>
      <c r="W1932" s="208"/>
      <c r="X1932" s="208"/>
    </row>
    <row r="1933" spans="1:24" s="208" customFormat="1" ht="30" customHeight="1" thickBot="1" x14ac:dyDescent="0.4">
      <c r="A1933" s="1086"/>
      <c r="B1933" s="1087"/>
      <c r="C1933" s="1087"/>
      <c r="D1933" s="1087"/>
      <c r="E1933" s="1087"/>
      <c r="F1933" s="1087"/>
      <c r="G1933" s="1087"/>
      <c r="H1933" s="1087"/>
      <c r="I1933" s="1087"/>
      <c r="J1933" s="1087"/>
      <c r="K1933" s="1087"/>
      <c r="L1933" s="1088"/>
      <c r="M1933" s="173"/>
      <c r="N1933" s="68"/>
      <c r="O1933" s="203"/>
      <c r="P1933" s="218"/>
      <c r="Q1933" s="68"/>
      <c r="R1933" s="217"/>
      <c r="S1933" s="203"/>
      <c r="T1933" s="203"/>
      <c r="U1933" s="203"/>
      <c r="V1933" s="203"/>
      <c r="W1933" s="203"/>
      <c r="X1933" s="203"/>
    </row>
    <row r="1934" spans="1:24" ht="30" customHeight="1" x14ac:dyDescent="0.35">
      <c r="A1934" s="465" t="s">
        <v>278</v>
      </c>
      <c r="B1934" s="539">
        <v>2271</v>
      </c>
      <c r="C1934" s="1060" t="s">
        <v>1082</v>
      </c>
      <c r="D1934" s="1061"/>
      <c r="E1934" s="541" t="s">
        <v>280</v>
      </c>
      <c r="F1934" s="542" t="s">
        <v>8</v>
      </c>
      <c r="G1934" s="543" t="s">
        <v>285</v>
      </c>
      <c r="H1934" s="632">
        <v>56474</v>
      </c>
      <c r="I1934" s="541" t="s">
        <v>281</v>
      </c>
      <c r="J1934" s="1019" t="s">
        <v>2371</v>
      </c>
      <c r="K1934" s="1019"/>
      <c r="L1934" s="1020"/>
      <c r="M1934" s="173"/>
      <c r="N1934" s="68"/>
      <c r="O1934" s="208"/>
      <c r="P1934" s="218"/>
      <c r="Q1934" s="68"/>
      <c r="R1934" s="217"/>
      <c r="S1934" s="208"/>
    </row>
    <row r="1935" spans="1:24" ht="30" customHeight="1" x14ac:dyDescent="0.35">
      <c r="A1935" s="588" t="s">
        <v>298</v>
      </c>
      <c r="B1935" s="1038" t="s">
        <v>321</v>
      </c>
      <c r="C1935" s="1039"/>
      <c r="D1935" s="1040"/>
      <c r="E1935" s="23" t="s">
        <v>290</v>
      </c>
      <c r="F1935" s="23" t="s">
        <v>322</v>
      </c>
      <c r="G1935" s="1034" t="s">
        <v>323</v>
      </c>
      <c r="H1935" s="1035"/>
      <c r="I1935" s="509" t="s">
        <v>299</v>
      </c>
      <c r="J1935" s="509"/>
      <c r="K1935" s="1012" t="s">
        <v>292</v>
      </c>
      <c r="L1935" s="1013"/>
      <c r="M1935" s="173"/>
      <c r="N1935" s="68"/>
      <c r="O1935" s="203"/>
      <c r="P1935" s="218"/>
      <c r="Q1935" s="68"/>
      <c r="R1935" s="217"/>
    </row>
    <row r="1936" spans="1:24" ht="30" customHeight="1" x14ac:dyDescent="0.35">
      <c r="A1936" s="241" t="s">
        <v>902</v>
      </c>
      <c r="B1936" s="1082" t="s">
        <v>2986</v>
      </c>
      <c r="C1936" s="1083"/>
      <c r="D1936" s="1093"/>
      <c r="E1936" s="453">
        <f>80-2.4</f>
        <v>77.599999999999994</v>
      </c>
      <c r="F1936" s="446" t="s">
        <v>8</v>
      </c>
      <c r="G1936" s="454"/>
      <c r="H1936" s="446"/>
      <c r="I1936" s="446">
        <v>1.01</v>
      </c>
      <c r="J1936" s="665"/>
      <c r="K1936" s="453">
        <f>+E1936*I1936</f>
        <v>78.375999999999991</v>
      </c>
      <c r="L1936" s="243" t="s">
        <v>8</v>
      </c>
      <c r="M1936" s="364"/>
      <c r="N1936" s="68"/>
      <c r="O1936" s="203"/>
      <c r="P1936" s="218"/>
      <c r="Q1936" s="68"/>
      <c r="R1936" s="217"/>
    </row>
    <row r="1937" spans="1:24" ht="30" customHeight="1" x14ac:dyDescent="0.35">
      <c r="A1937" s="241" t="s">
        <v>360</v>
      </c>
      <c r="B1937" s="1031" t="s">
        <v>1083</v>
      </c>
      <c r="C1937" s="1032"/>
      <c r="D1937" s="1032"/>
      <c r="E1937" s="453">
        <v>3.2</v>
      </c>
      <c r="F1937" s="639" t="s">
        <v>8</v>
      </c>
      <c r="G1937" s="519"/>
      <c r="H1937" s="508"/>
      <c r="I1937" s="446">
        <v>1.01</v>
      </c>
      <c r="J1937" s="665"/>
      <c r="K1937" s="453">
        <f>+E1937*I1937</f>
        <v>3.2320000000000002</v>
      </c>
      <c r="L1937" s="243" t="s">
        <v>8</v>
      </c>
      <c r="M1937" s="173"/>
      <c r="N1937" s="419"/>
      <c r="O1937" s="171"/>
      <c r="P1937" s="216"/>
      <c r="Q1937" s="419"/>
      <c r="R1937" s="219"/>
    </row>
    <row r="1938" spans="1:24" ht="30" customHeight="1" x14ac:dyDescent="0.35">
      <c r="A1938" s="241"/>
      <c r="B1938" s="1059"/>
      <c r="C1938" s="1059"/>
      <c r="D1938" s="1059"/>
      <c r="E1938" s="453"/>
      <c r="F1938" s="446"/>
      <c r="G1938" s="519"/>
      <c r="H1938" s="508"/>
      <c r="I1938" s="446"/>
      <c r="J1938" s="446" t="s">
        <v>335</v>
      </c>
      <c r="K1938" s="453">
        <f>SUM(K1936:K1937)</f>
        <v>81.60799999999999</v>
      </c>
      <c r="L1938" s="243" t="s">
        <v>8</v>
      </c>
      <c r="M1938" s="173"/>
      <c r="N1938" s="419"/>
      <c r="O1938" s="171"/>
      <c r="P1938" s="216"/>
      <c r="Q1938" s="419"/>
      <c r="R1938" s="219"/>
    </row>
    <row r="1939" spans="1:24" ht="30" customHeight="1" x14ac:dyDescent="0.35">
      <c r="A1939" s="241"/>
      <c r="B1939" s="506"/>
      <c r="C1939" s="506"/>
      <c r="D1939" s="506"/>
      <c r="E1939" s="453"/>
      <c r="F1939" s="1029" t="s">
        <v>302</v>
      </c>
      <c r="G1939" s="1058" t="s">
        <v>303</v>
      </c>
      <c r="H1939" s="1058"/>
      <c r="I1939" s="1058"/>
      <c r="J1939" s="1058"/>
      <c r="K1939" s="612">
        <v>1.1000000000000001</v>
      </c>
      <c r="L1939" s="243"/>
      <c r="M1939" s="173"/>
      <c r="N1939" s="68"/>
      <c r="O1939" s="203"/>
      <c r="P1939" s="218"/>
      <c r="Q1939" s="68"/>
      <c r="R1939" s="217"/>
    </row>
    <row r="1940" spans="1:24" ht="30" customHeight="1" x14ac:dyDescent="0.35">
      <c r="A1940" s="241"/>
      <c r="B1940" s="506"/>
      <c r="C1940" s="506"/>
      <c r="D1940" s="506"/>
      <c r="E1940" s="453"/>
      <c r="F1940" s="1030"/>
      <c r="G1940" s="1073" t="s">
        <v>2374</v>
      </c>
      <c r="H1940" s="1073"/>
      <c r="I1940" s="1073"/>
      <c r="J1940" s="1073"/>
      <c r="K1940" s="612">
        <v>1.08</v>
      </c>
      <c r="L1940" s="243"/>
      <c r="M1940" s="173"/>
      <c r="O1940" s="218"/>
      <c r="P1940" s="68"/>
    </row>
    <row r="1941" spans="1:24" ht="30" customHeight="1" x14ac:dyDescent="0.35">
      <c r="A1941" s="241"/>
      <c r="B1941" s="446"/>
      <c r="C1941" s="458"/>
      <c r="D1941" s="458"/>
      <c r="E1941" s="458"/>
      <c r="F1941" s="458"/>
      <c r="G1941" s="458"/>
      <c r="H1941" s="458"/>
      <c r="I1941" s="458"/>
      <c r="J1941" s="458" t="s">
        <v>2356</v>
      </c>
      <c r="K1941" s="591">
        <f>+K1938*K1939/K1940</f>
        <v>83.119259259259252</v>
      </c>
      <c r="L1941" s="243" t="s">
        <v>8</v>
      </c>
      <c r="M1941" s="173"/>
      <c r="O1941" s="218"/>
      <c r="P1941" s="68"/>
      <c r="T1941" s="208"/>
      <c r="U1941" s="208"/>
      <c r="V1941" s="208"/>
      <c r="W1941" s="208"/>
      <c r="X1941" s="208"/>
    </row>
    <row r="1942" spans="1:24" s="208" customFormat="1" ht="30" customHeight="1" thickBot="1" x14ac:dyDescent="0.4">
      <c r="A1942" s="241"/>
      <c r="B1942" s="446"/>
      <c r="C1942" s="458"/>
      <c r="D1942" s="458"/>
      <c r="E1942" s="458"/>
      <c r="F1942" s="458"/>
      <c r="G1942" s="592" t="s">
        <v>2358</v>
      </c>
      <c r="H1942" s="458"/>
      <c r="I1942" s="458"/>
      <c r="J1942" s="583">
        <f>VLOOKUP(B1934,'Mil Cost Premiums for PUCs'!$A$4:$R$272,18,FALSE)</f>
        <v>1.1932356231980656</v>
      </c>
      <c r="K1942" s="591">
        <f>+K1941*J1942</f>
        <v>99.180861121983796</v>
      </c>
      <c r="L1942" s="243" t="s">
        <v>8</v>
      </c>
      <c r="M1942" s="173"/>
      <c r="N1942" s="203"/>
      <c r="O1942" s="218"/>
      <c r="P1942" s="68"/>
      <c r="Q1942" s="203"/>
      <c r="R1942" s="203"/>
      <c r="S1942" s="203"/>
      <c r="T1942" s="203"/>
      <c r="U1942" s="203"/>
      <c r="V1942" s="203"/>
      <c r="W1942" s="203"/>
      <c r="X1942" s="203"/>
    </row>
    <row r="1943" spans="1:24" ht="30" customHeight="1" thickBot="1" x14ac:dyDescent="0.4">
      <c r="A1943" s="1086"/>
      <c r="B1943" s="1087"/>
      <c r="C1943" s="1087"/>
      <c r="D1943" s="1087"/>
      <c r="E1943" s="1087"/>
      <c r="F1943" s="1087"/>
      <c r="G1943" s="1087"/>
      <c r="H1943" s="1087"/>
      <c r="I1943" s="1087"/>
      <c r="J1943" s="1087"/>
      <c r="K1943" s="1087"/>
      <c r="L1943" s="1088"/>
      <c r="M1943" s="173"/>
      <c r="N1943" s="208"/>
      <c r="O1943" s="218"/>
      <c r="P1943" s="68"/>
      <c r="Q1943" s="208"/>
      <c r="R1943" s="208"/>
      <c r="S1943" s="208"/>
    </row>
    <row r="1944" spans="1:24" ht="30" customHeight="1" x14ac:dyDescent="0.35">
      <c r="A1944" s="465" t="s">
        <v>278</v>
      </c>
      <c r="B1944" s="539">
        <v>2281</v>
      </c>
      <c r="C1944" s="1017" t="s">
        <v>1084</v>
      </c>
      <c r="D1944" s="1018"/>
      <c r="E1944" s="541" t="s">
        <v>280</v>
      </c>
      <c r="F1944" s="542" t="s">
        <v>8</v>
      </c>
      <c r="G1944" s="543" t="s">
        <v>285</v>
      </c>
      <c r="H1944" s="632">
        <v>6551</v>
      </c>
      <c r="I1944" s="541" t="s">
        <v>281</v>
      </c>
      <c r="J1944" s="1019" t="s">
        <v>2371</v>
      </c>
      <c r="K1944" s="1019"/>
      <c r="L1944" s="1020"/>
      <c r="M1944" s="173"/>
      <c r="O1944" s="218"/>
      <c r="P1944" s="68"/>
    </row>
    <row r="1945" spans="1:24" ht="30" customHeight="1" x14ac:dyDescent="0.35">
      <c r="A1945" s="588" t="s">
        <v>298</v>
      </c>
      <c r="B1945" s="1038" t="s">
        <v>321</v>
      </c>
      <c r="C1945" s="1039"/>
      <c r="D1945" s="1040"/>
      <c r="E1945" s="23" t="s">
        <v>290</v>
      </c>
      <c r="F1945" s="23" t="s">
        <v>322</v>
      </c>
      <c r="G1945" s="1034" t="s">
        <v>323</v>
      </c>
      <c r="H1945" s="1035"/>
      <c r="I1945" s="509" t="s">
        <v>299</v>
      </c>
      <c r="J1945" s="509"/>
      <c r="K1945" s="1012" t="s">
        <v>292</v>
      </c>
      <c r="L1945" s="1013"/>
      <c r="M1945" s="173"/>
      <c r="O1945" s="218"/>
      <c r="P1945" s="68"/>
      <c r="Q1945" s="217"/>
    </row>
    <row r="1946" spans="1:24" ht="30" customHeight="1" x14ac:dyDescent="0.35">
      <c r="A1946" s="241" t="s">
        <v>902</v>
      </c>
      <c r="B1946" s="1082" t="s">
        <v>2986</v>
      </c>
      <c r="C1946" s="1083"/>
      <c r="D1946" s="1093"/>
      <c r="E1946" s="453">
        <f>80-2.4</f>
        <v>77.599999999999994</v>
      </c>
      <c r="F1946" s="446" t="s">
        <v>8</v>
      </c>
      <c r="G1946" s="454"/>
      <c r="H1946" s="446"/>
      <c r="I1946" s="446">
        <v>1.01</v>
      </c>
      <c r="J1946" s="665"/>
      <c r="K1946" s="453">
        <f>+E1946*I1946</f>
        <v>78.375999999999991</v>
      </c>
      <c r="L1946" s="243" t="s">
        <v>8</v>
      </c>
      <c r="O1946" s="218"/>
      <c r="P1946" s="68"/>
    </row>
    <row r="1947" spans="1:24" ht="30" customHeight="1" x14ac:dyDescent="0.35">
      <c r="A1947" s="241" t="s">
        <v>436</v>
      </c>
      <c r="B1947" s="1082" t="s">
        <v>2221</v>
      </c>
      <c r="C1947" s="1083"/>
      <c r="D1947" s="1093"/>
      <c r="E1947" s="591">
        <v>141000</v>
      </c>
      <c r="F1947" s="446" t="s">
        <v>10</v>
      </c>
      <c r="G1947" s="778">
        <f>+H1944</f>
        <v>6551</v>
      </c>
      <c r="H1947" s="508" t="s">
        <v>1015</v>
      </c>
      <c r="I1947" s="446">
        <v>1.02</v>
      </c>
      <c r="J1947" s="665"/>
      <c r="K1947" s="453">
        <f>+E1947/G1947*I1947</f>
        <v>21.953900167913297</v>
      </c>
      <c r="L1947" s="243" t="s">
        <v>8</v>
      </c>
      <c r="M1947" s="173"/>
      <c r="O1947" s="218"/>
      <c r="P1947" s="68"/>
    </row>
    <row r="1948" spans="1:24" ht="30" customHeight="1" x14ac:dyDescent="0.35">
      <c r="A1948" s="241" t="s">
        <v>436</v>
      </c>
      <c r="B1948" s="1082" t="s">
        <v>1085</v>
      </c>
      <c r="C1948" s="1083"/>
      <c r="D1948" s="1093"/>
      <c r="E1948" s="453">
        <f>+(244+267)/2</f>
        <v>255.5</v>
      </c>
      <c r="F1948" s="639" t="s">
        <v>6</v>
      </c>
      <c r="G1948" s="781">
        <v>288</v>
      </c>
      <c r="H1948" s="608" t="s">
        <v>932</v>
      </c>
      <c r="I1948" s="446">
        <v>1.02</v>
      </c>
      <c r="J1948" s="446"/>
      <c r="K1948" s="453">
        <f>+E1948/G1948*I1948</f>
        <v>0.90489583333333334</v>
      </c>
      <c r="L1948" s="243" t="s">
        <v>8</v>
      </c>
      <c r="M1948" s="173"/>
      <c r="N1948" s="419"/>
      <c r="O1948" s="171"/>
      <c r="P1948" s="216"/>
      <c r="Q1948" s="419"/>
      <c r="R1948" s="219"/>
    </row>
    <row r="1949" spans="1:24" ht="30" customHeight="1" x14ac:dyDescent="0.35">
      <c r="A1949" s="241" t="s">
        <v>436</v>
      </c>
      <c r="B1949" s="1082" t="s">
        <v>1071</v>
      </c>
      <c r="C1949" s="1083"/>
      <c r="D1949" s="1093"/>
      <c r="E1949" s="453">
        <f>(23.75+47.75)/2</f>
        <v>35.75</v>
      </c>
      <c r="F1949" s="639"/>
      <c r="G1949" s="519"/>
      <c r="H1949" s="508"/>
      <c r="I1949" s="446">
        <v>1.02</v>
      </c>
      <c r="J1949" s="665"/>
      <c r="K1949" s="453">
        <f>+E1949*I1949</f>
        <v>36.465000000000003</v>
      </c>
      <c r="L1949" s="243"/>
      <c r="M1949" s="173"/>
      <c r="N1949" s="68"/>
      <c r="O1949" s="203"/>
      <c r="P1949" s="218"/>
      <c r="Q1949" s="68"/>
      <c r="R1949" s="217"/>
    </row>
    <row r="1950" spans="1:24" ht="30" customHeight="1" x14ac:dyDescent="0.35">
      <c r="A1950" s="241" t="s">
        <v>360</v>
      </c>
      <c r="B1950" s="1031" t="s">
        <v>1086</v>
      </c>
      <c r="C1950" s="1032"/>
      <c r="D1950" s="1032"/>
      <c r="E1950" s="453">
        <v>4.38</v>
      </c>
      <c r="F1950" s="639" t="s">
        <v>8</v>
      </c>
      <c r="G1950" s="519"/>
      <c r="H1950" s="508"/>
      <c r="I1950" s="446">
        <v>1.01</v>
      </c>
      <c r="J1950" s="665"/>
      <c r="K1950" s="453">
        <f>+E1950*I1950</f>
        <v>4.4238</v>
      </c>
      <c r="L1950" s="243" t="s">
        <v>8</v>
      </c>
      <c r="M1950" s="173"/>
      <c r="N1950" s="68"/>
      <c r="O1950" s="203"/>
      <c r="P1950" s="218"/>
      <c r="Q1950" s="68"/>
      <c r="R1950" s="217"/>
    </row>
    <row r="1951" spans="1:24" ht="30" customHeight="1" x14ac:dyDescent="0.35">
      <c r="A1951" s="241"/>
      <c r="B1951" s="1059"/>
      <c r="C1951" s="1059"/>
      <c r="D1951" s="1059"/>
      <c r="E1951" s="453"/>
      <c r="F1951" s="446"/>
      <c r="G1951" s="519"/>
      <c r="H1951" s="508"/>
      <c r="I1951" s="446"/>
      <c r="J1951" s="446" t="s">
        <v>335</v>
      </c>
      <c r="K1951" s="453">
        <f>SUM(K1946:K1950)</f>
        <v>142.12359600124663</v>
      </c>
      <c r="L1951" s="243" t="s">
        <v>8</v>
      </c>
      <c r="M1951" s="173"/>
      <c r="N1951" s="68"/>
      <c r="O1951" s="203"/>
      <c r="P1951" s="218"/>
      <c r="Q1951" s="68"/>
      <c r="R1951" s="217"/>
    </row>
    <row r="1952" spans="1:24" ht="30" customHeight="1" x14ac:dyDescent="0.35">
      <c r="A1952" s="241"/>
      <c r="B1952" s="506"/>
      <c r="C1952" s="506"/>
      <c r="D1952" s="506"/>
      <c r="E1952" s="453"/>
      <c r="F1952" s="1029" t="s">
        <v>302</v>
      </c>
      <c r="G1952" s="1058" t="s">
        <v>303</v>
      </c>
      <c r="H1952" s="1058"/>
      <c r="I1952" s="1058"/>
      <c r="J1952" s="1058"/>
      <c r="K1952" s="612">
        <v>1.1000000000000001</v>
      </c>
      <c r="L1952" s="243"/>
      <c r="M1952" s="173"/>
      <c r="N1952" s="68"/>
      <c r="O1952" s="203"/>
      <c r="P1952" s="218"/>
      <c r="Q1952" s="68"/>
      <c r="R1952" s="217"/>
    </row>
    <row r="1953" spans="1:18" ht="30" customHeight="1" x14ac:dyDescent="0.35">
      <c r="A1953" s="241"/>
      <c r="B1953" s="506"/>
      <c r="C1953" s="506"/>
      <c r="D1953" s="506"/>
      <c r="E1953" s="453"/>
      <c r="F1953" s="1030"/>
      <c r="G1953" s="1073" t="s">
        <v>2374</v>
      </c>
      <c r="H1953" s="1073"/>
      <c r="I1953" s="1073"/>
      <c r="J1953" s="1073"/>
      <c r="K1953" s="612">
        <v>1.08</v>
      </c>
      <c r="L1953" s="243"/>
      <c r="M1953" s="173"/>
      <c r="N1953" s="68"/>
      <c r="O1953" s="203"/>
      <c r="P1953" s="218"/>
      <c r="Q1953" s="68"/>
      <c r="R1953" s="217"/>
    </row>
    <row r="1954" spans="1:18" ht="30" customHeight="1" x14ac:dyDescent="0.35">
      <c r="A1954" s="241"/>
      <c r="B1954" s="446"/>
      <c r="C1954" s="458"/>
      <c r="D1954" s="458"/>
      <c r="E1954" s="458"/>
      <c r="F1954" s="458"/>
      <c r="G1954" s="458"/>
      <c r="H1954" s="458"/>
      <c r="I1954" s="458"/>
      <c r="J1954" s="458" t="s">
        <v>2356</v>
      </c>
      <c r="K1954" s="591">
        <f>+K1951*K1952/K1953</f>
        <v>144.75551444571414</v>
      </c>
      <c r="L1954" s="243" t="s">
        <v>8</v>
      </c>
      <c r="M1954" s="173"/>
      <c r="N1954" s="68"/>
      <c r="O1954" s="203"/>
      <c r="P1954" s="218"/>
      <c r="Q1954" s="68"/>
      <c r="R1954" s="217"/>
    </row>
    <row r="1955" spans="1:18" ht="30" customHeight="1" thickBot="1" x14ac:dyDescent="0.4">
      <c r="A1955" s="241"/>
      <c r="B1955" s="446"/>
      <c r="C1955" s="458"/>
      <c r="D1955" s="458"/>
      <c r="E1955" s="458"/>
      <c r="F1955" s="458"/>
      <c r="G1955" s="592" t="s">
        <v>2358</v>
      </c>
      <c r="H1955" s="458"/>
      <c r="I1955" s="458"/>
      <c r="J1955" s="583">
        <f>VLOOKUP(B1944,'Mil Cost Premiums for PUCs'!$A$4:$R$272,18,FALSE)</f>
        <v>1.1932356231980656</v>
      </c>
      <c r="K1955" s="591">
        <f>+K1954*J1955</f>
        <v>172.72743649098831</v>
      </c>
      <c r="L1955" s="243" t="s">
        <v>8</v>
      </c>
      <c r="M1955" s="173"/>
      <c r="N1955" s="419"/>
      <c r="O1955" s="171"/>
      <c r="P1955" s="216"/>
      <c r="Q1955" s="419"/>
      <c r="R1955" s="219"/>
    </row>
    <row r="1956" spans="1:18" ht="30" customHeight="1" thickBot="1" x14ac:dyDescent="0.4">
      <c r="A1956" s="1086"/>
      <c r="B1956" s="1087"/>
      <c r="C1956" s="1087"/>
      <c r="D1956" s="1087"/>
      <c r="E1956" s="1087"/>
      <c r="F1956" s="1087"/>
      <c r="G1956" s="1087"/>
      <c r="H1956" s="1087"/>
      <c r="I1956" s="1087"/>
      <c r="J1956" s="1087"/>
      <c r="K1956" s="1087"/>
      <c r="L1956" s="1088"/>
      <c r="M1956" s="173"/>
      <c r="N1956" s="419"/>
      <c r="O1956" s="171"/>
      <c r="P1956" s="216"/>
      <c r="Q1956" s="419"/>
      <c r="R1956" s="219"/>
    </row>
    <row r="1957" spans="1:18" ht="30" customHeight="1" x14ac:dyDescent="0.35">
      <c r="A1957" s="465" t="s">
        <v>278</v>
      </c>
      <c r="B1957" s="539">
        <v>2291</v>
      </c>
      <c r="C1957" s="1017" t="s">
        <v>2987</v>
      </c>
      <c r="D1957" s="1018"/>
      <c r="E1957" s="541" t="s">
        <v>280</v>
      </c>
      <c r="F1957" s="542" t="s">
        <v>10</v>
      </c>
      <c r="G1957" s="553" t="s">
        <v>279</v>
      </c>
      <c r="H1957" s="587">
        <v>1</v>
      </c>
      <c r="I1957" s="541" t="s">
        <v>281</v>
      </c>
      <c r="J1957" s="1019" t="s">
        <v>2425</v>
      </c>
      <c r="K1957" s="1019"/>
      <c r="L1957" s="1020"/>
      <c r="M1957" s="173"/>
      <c r="N1957" s="68"/>
      <c r="O1957" s="203"/>
      <c r="P1957" s="218"/>
      <c r="Q1957" s="68"/>
      <c r="R1957" s="217"/>
    </row>
    <row r="1958" spans="1:18" ht="30" customHeight="1" x14ac:dyDescent="0.35">
      <c r="A1958" s="588" t="s">
        <v>298</v>
      </c>
      <c r="B1958" s="1038" t="s">
        <v>321</v>
      </c>
      <c r="C1958" s="1039"/>
      <c r="D1958" s="1040"/>
      <c r="E1958" s="23" t="s">
        <v>290</v>
      </c>
      <c r="F1958" s="23" t="s">
        <v>322</v>
      </c>
      <c r="G1958" s="1034" t="s">
        <v>323</v>
      </c>
      <c r="H1958" s="1035"/>
      <c r="I1958" s="509" t="s">
        <v>299</v>
      </c>
      <c r="J1958" s="509" t="s">
        <v>2222</v>
      </c>
      <c r="K1958" s="1012" t="s">
        <v>292</v>
      </c>
      <c r="L1958" s="1013"/>
      <c r="M1958" s="173"/>
      <c r="N1958" s="68"/>
      <c r="O1958" s="203"/>
      <c r="P1958" s="218"/>
      <c r="Q1958" s="68"/>
      <c r="R1958" s="217"/>
    </row>
    <row r="1959" spans="1:18" ht="30" customHeight="1" x14ac:dyDescent="0.35">
      <c r="A1959" s="241" t="s">
        <v>1087</v>
      </c>
      <c r="B1959" s="1082" t="s">
        <v>2389</v>
      </c>
      <c r="C1959" s="1083"/>
      <c r="D1959" s="1093"/>
      <c r="E1959" s="453">
        <f>+(7200+10800)/2</f>
        <v>9000</v>
      </c>
      <c r="F1959" s="446" t="s">
        <v>234</v>
      </c>
      <c r="G1959" s="454">
        <v>180</v>
      </c>
      <c r="H1959" s="548" t="s">
        <v>234</v>
      </c>
      <c r="I1959" s="446">
        <v>1.01</v>
      </c>
      <c r="J1959" s="782">
        <f>+'2021 MILCON Inflation Table'!F13</f>
        <v>1.1643998639918394</v>
      </c>
      <c r="K1959" s="453">
        <f>+E1959*I1959*G1959*J1959</f>
        <v>1905191.0574634476</v>
      </c>
      <c r="L1959" s="243" t="s">
        <v>10</v>
      </c>
      <c r="M1959" s="173"/>
      <c r="N1959" s="68"/>
      <c r="O1959" s="203"/>
      <c r="P1959" s="218"/>
      <c r="Q1959" s="68"/>
      <c r="R1959" s="217"/>
    </row>
    <row r="1960" spans="1:18" ht="30" customHeight="1" x14ac:dyDescent="0.35">
      <c r="A1960" s="241"/>
      <c r="B1960" s="1059"/>
      <c r="C1960" s="1059"/>
      <c r="D1960" s="1059"/>
      <c r="E1960" s="453"/>
      <c r="F1960" s="446"/>
      <c r="G1960" s="519"/>
      <c r="H1960" s="508"/>
      <c r="I1960" s="446"/>
      <c r="J1960" s="446" t="s">
        <v>335</v>
      </c>
      <c r="K1960" s="453">
        <f>SUM(K1959:K1959)</f>
        <v>1905191.0574634476</v>
      </c>
      <c r="L1960" s="243" t="s">
        <v>10</v>
      </c>
      <c r="M1960" s="173"/>
      <c r="N1960" s="68"/>
      <c r="O1960" s="203"/>
      <c r="P1960" s="218"/>
      <c r="Q1960" s="68"/>
      <c r="R1960" s="217"/>
    </row>
    <row r="1961" spans="1:18" ht="30" customHeight="1" x14ac:dyDescent="0.35">
      <c r="A1961" s="241"/>
      <c r="B1961" s="506"/>
      <c r="C1961" s="506"/>
      <c r="D1961" s="506"/>
      <c r="E1961" s="453"/>
      <c r="F1961" s="1029" t="s">
        <v>302</v>
      </c>
      <c r="G1961" s="1058" t="s">
        <v>303</v>
      </c>
      <c r="H1961" s="1058"/>
      <c r="I1961" s="1058"/>
      <c r="J1961" s="1058"/>
      <c r="K1961" s="446">
        <v>1.07</v>
      </c>
      <c r="L1961" s="243"/>
      <c r="M1961" s="173"/>
      <c r="N1961" s="68"/>
      <c r="O1961" s="203"/>
      <c r="P1961" s="218"/>
      <c r="Q1961" s="68"/>
      <c r="R1961" s="217"/>
    </row>
    <row r="1962" spans="1:18" ht="30" customHeight="1" x14ac:dyDescent="0.35">
      <c r="A1962" s="241"/>
      <c r="B1962" s="506"/>
      <c r="C1962" s="506"/>
      <c r="D1962" s="506"/>
      <c r="E1962" s="453"/>
      <c r="F1962" s="1030"/>
      <c r="G1962" s="1073" t="s">
        <v>2374</v>
      </c>
      <c r="H1962" s="1073"/>
      <c r="I1962" s="1073"/>
      <c r="J1962" s="1073"/>
      <c r="K1962" s="612">
        <v>1.08</v>
      </c>
      <c r="L1962" s="243"/>
      <c r="M1962" s="173"/>
      <c r="N1962" s="68"/>
      <c r="O1962" s="203"/>
      <c r="P1962" s="218"/>
      <c r="Q1962" s="68"/>
      <c r="R1962" s="217"/>
    </row>
    <row r="1963" spans="1:18" ht="30" customHeight="1" x14ac:dyDescent="0.35">
      <c r="A1963" s="241"/>
      <c r="B1963" s="446"/>
      <c r="C1963" s="458"/>
      <c r="D1963" s="458"/>
      <c r="E1963" s="458"/>
      <c r="F1963" s="458"/>
      <c r="G1963" s="458"/>
      <c r="H1963" s="458"/>
      <c r="I1963" s="458"/>
      <c r="J1963" s="458" t="s">
        <v>2356</v>
      </c>
      <c r="K1963" s="591">
        <f>+K1960*K1961/K1962</f>
        <v>1887550.3995239711</v>
      </c>
      <c r="L1963" s="243" t="s">
        <v>10</v>
      </c>
      <c r="M1963" s="173"/>
      <c r="N1963" s="68"/>
      <c r="O1963" s="203"/>
      <c r="P1963" s="218"/>
      <c r="Q1963" s="68"/>
      <c r="R1963" s="217"/>
    </row>
    <row r="1964" spans="1:18" ht="30" customHeight="1" thickBot="1" x14ac:dyDescent="0.4">
      <c r="A1964" s="241"/>
      <c r="B1964" s="446"/>
      <c r="C1964" s="458"/>
      <c r="D1964" s="458"/>
      <c r="E1964" s="458"/>
      <c r="F1964" s="458"/>
      <c r="G1964" s="592" t="s">
        <v>2358</v>
      </c>
      <c r="H1964" s="458"/>
      <c r="I1964" s="458"/>
      <c r="J1964" s="583">
        <f>VLOOKUP(B1957,'Mil Cost Premiums for PUCs'!$A$4:$R$272,18,FALSE)</f>
        <v>1.1233553701921195</v>
      </c>
      <c r="K1964" s="591">
        <f>+K1963*J1964</f>
        <v>2120389.8778135339</v>
      </c>
      <c r="L1964" s="243" t="s">
        <v>10</v>
      </c>
      <c r="M1964" s="173"/>
      <c r="N1964" s="68"/>
      <c r="O1964" s="203"/>
      <c r="P1964" s="218"/>
      <c r="Q1964" s="68"/>
      <c r="R1964" s="217"/>
    </row>
    <row r="1965" spans="1:18" ht="30" customHeight="1" thickBot="1" x14ac:dyDescent="0.4">
      <c r="A1965" s="1086"/>
      <c r="B1965" s="1087"/>
      <c r="C1965" s="1087"/>
      <c r="D1965" s="1087"/>
      <c r="E1965" s="1087"/>
      <c r="F1965" s="1087"/>
      <c r="G1965" s="1087"/>
      <c r="H1965" s="1087"/>
      <c r="I1965" s="1087"/>
      <c r="J1965" s="1087"/>
      <c r="K1965" s="1087"/>
      <c r="L1965" s="1088"/>
      <c r="M1965" s="173"/>
      <c r="N1965" s="68"/>
      <c r="O1965" s="203"/>
      <c r="P1965" s="218"/>
      <c r="Q1965" s="68"/>
      <c r="R1965" s="217"/>
    </row>
    <row r="1966" spans="1:18" ht="30" customHeight="1" x14ac:dyDescent="0.35">
      <c r="A1966" s="465" t="s">
        <v>278</v>
      </c>
      <c r="B1966" s="539">
        <v>3101</v>
      </c>
      <c r="C1966" s="1017" t="s">
        <v>1088</v>
      </c>
      <c r="D1966" s="1018"/>
      <c r="E1966" s="541" t="s">
        <v>280</v>
      </c>
      <c r="F1966" s="542" t="s">
        <v>8</v>
      </c>
      <c r="G1966" s="543" t="s">
        <v>285</v>
      </c>
      <c r="H1966" s="632">
        <v>16490</v>
      </c>
      <c r="I1966" s="541" t="s">
        <v>281</v>
      </c>
      <c r="J1966" s="1019" t="s">
        <v>2371</v>
      </c>
      <c r="K1966" s="1019"/>
      <c r="L1966" s="1020"/>
      <c r="M1966" s="173"/>
      <c r="N1966" s="68"/>
      <c r="O1966" s="203"/>
      <c r="P1966" s="218"/>
      <c r="Q1966" s="68"/>
      <c r="R1966" s="217"/>
    </row>
    <row r="1967" spans="1:18" ht="30" customHeight="1" x14ac:dyDescent="0.35">
      <c r="A1967" s="588" t="s">
        <v>298</v>
      </c>
      <c r="B1967" s="1038" t="s">
        <v>321</v>
      </c>
      <c r="C1967" s="1039"/>
      <c r="D1967" s="1040"/>
      <c r="E1967" s="23" t="s">
        <v>290</v>
      </c>
      <c r="F1967" s="23" t="s">
        <v>322</v>
      </c>
      <c r="G1967" s="1034" t="s">
        <v>323</v>
      </c>
      <c r="H1967" s="1035"/>
      <c r="I1967" s="509" t="s">
        <v>299</v>
      </c>
      <c r="J1967" s="509"/>
      <c r="K1967" s="1012" t="s">
        <v>292</v>
      </c>
      <c r="L1967" s="1013"/>
      <c r="M1967" s="173"/>
      <c r="N1967" s="68"/>
      <c r="O1967" s="203"/>
      <c r="P1967" s="218"/>
      <c r="Q1967" s="68"/>
      <c r="R1967" s="217"/>
    </row>
    <row r="1968" spans="1:18" ht="30" customHeight="1" x14ac:dyDescent="0.35">
      <c r="A1968" s="241" t="s">
        <v>365</v>
      </c>
      <c r="B1968" s="1082" t="s">
        <v>2310</v>
      </c>
      <c r="C1968" s="1083"/>
      <c r="D1968" s="1093"/>
      <c r="E1968" s="453">
        <v>242</v>
      </c>
      <c r="F1968" s="446" t="s">
        <v>8</v>
      </c>
      <c r="G1968" s="454"/>
      <c r="H1968" s="446"/>
      <c r="I1968" s="446">
        <v>1.01</v>
      </c>
      <c r="J1968" s="665"/>
      <c r="K1968" s="453">
        <f>+E1968*I1968</f>
        <v>244.42000000000002</v>
      </c>
      <c r="L1968" s="243" t="s">
        <v>8</v>
      </c>
      <c r="M1968" s="293"/>
      <c r="N1968" s="68"/>
      <c r="O1968" s="203"/>
      <c r="P1968" s="218"/>
      <c r="Q1968" s="68"/>
      <c r="R1968" s="217"/>
    </row>
    <row r="1969" spans="1:24" ht="30" customHeight="1" x14ac:dyDescent="0.35">
      <c r="A1969" s="241" t="s">
        <v>365</v>
      </c>
      <c r="B1969" s="1031" t="s">
        <v>2223</v>
      </c>
      <c r="C1969" s="1032"/>
      <c r="D1969" s="1033"/>
      <c r="E1969" s="453">
        <v>37.5</v>
      </c>
      <c r="F1969" s="639" t="s">
        <v>8</v>
      </c>
      <c r="G1969" s="519"/>
      <c r="H1969" s="508"/>
      <c r="I1969" s="446">
        <v>1.01</v>
      </c>
      <c r="J1969" s="665"/>
      <c r="K1969" s="453">
        <f>+E1969*I1969</f>
        <v>37.875</v>
      </c>
      <c r="L1969" s="243" t="s">
        <v>8</v>
      </c>
      <c r="M1969" s="293"/>
      <c r="N1969" s="293"/>
      <c r="O1969" s="203"/>
      <c r="P1969" s="218"/>
      <c r="Q1969" s="68"/>
      <c r="R1969" s="217"/>
      <c r="T1969" s="208"/>
      <c r="U1969" s="208"/>
      <c r="V1969" s="208"/>
      <c r="W1969" s="208"/>
      <c r="X1969" s="208"/>
    </row>
    <row r="1970" spans="1:24" s="208" customFormat="1" ht="30" customHeight="1" x14ac:dyDescent="0.35">
      <c r="A1970" s="241" t="s">
        <v>360</v>
      </c>
      <c r="B1970" s="1031" t="s">
        <v>1295</v>
      </c>
      <c r="C1970" s="1032"/>
      <c r="D1970" s="1033"/>
      <c r="E1970" s="453">
        <v>3.85</v>
      </c>
      <c r="F1970" s="639" t="s">
        <v>8</v>
      </c>
      <c r="G1970" s="519"/>
      <c r="H1970" s="508"/>
      <c r="I1970" s="446">
        <v>1.01</v>
      </c>
      <c r="J1970" s="665"/>
      <c r="K1970" s="453">
        <f>+E1970*I1970</f>
        <v>3.8885000000000001</v>
      </c>
      <c r="L1970" s="243" t="s">
        <v>8</v>
      </c>
      <c r="M1970" s="293"/>
      <c r="N1970" s="293"/>
      <c r="O1970" s="203"/>
      <c r="P1970" s="218"/>
      <c r="Q1970" s="68"/>
      <c r="R1970" s="217"/>
      <c r="S1970" s="203"/>
      <c r="T1970" s="203"/>
      <c r="U1970" s="203"/>
      <c r="V1970" s="203"/>
      <c r="W1970" s="203"/>
      <c r="X1970" s="203"/>
    </row>
    <row r="1971" spans="1:24" ht="30" customHeight="1" x14ac:dyDescent="0.35">
      <c r="A1971" s="241"/>
      <c r="B1971" s="446"/>
      <c r="C1971" s="508"/>
      <c r="D1971" s="508"/>
      <c r="E1971" s="508"/>
      <c r="F1971" s="453"/>
      <c r="G1971" s="446"/>
      <c r="H1971" s="519"/>
      <c r="I1971" s="446"/>
      <c r="J1971" s="446" t="s">
        <v>335</v>
      </c>
      <c r="K1971" s="453">
        <f>SUM(K1968:K1970)</f>
        <v>286.18350000000004</v>
      </c>
      <c r="L1971" s="243" t="s">
        <v>8</v>
      </c>
      <c r="M1971" s="173"/>
      <c r="N1971" s="293"/>
      <c r="O1971" s="269"/>
      <c r="P1971" s="218"/>
      <c r="Q1971" s="68"/>
      <c r="R1971" s="217"/>
      <c r="S1971" s="208"/>
    </row>
    <row r="1972" spans="1:24" ht="30" customHeight="1" x14ac:dyDescent="0.35">
      <c r="A1972" s="241"/>
      <c r="B1972" s="506"/>
      <c r="C1972" s="506"/>
      <c r="D1972" s="506"/>
      <c r="E1972" s="453"/>
      <c r="F1972" s="1029" t="s">
        <v>302</v>
      </c>
      <c r="G1972" s="1058" t="s">
        <v>303</v>
      </c>
      <c r="H1972" s="1058"/>
      <c r="I1972" s="1058"/>
      <c r="J1972" s="1058"/>
      <c r="K1972" s="665">
        <f>(1.08+1.1)/2</f>
        <v>1.0900000000000001</v>
      </c>
      <c r="L1972" s="243"/>
      <c r="M1972" s="173"/>
      <c r="N1972" s="68"/>
      <c r="O1972" s="203"/>
      <c r="P1972" s="218"/>
      <c r="Q1972" s="68"/>
      <c r="R1972" s="217"/>
    </row>
    <row r="1973" spans="1:24" ht="30" customHeight="1" x14ac:dyDescent="0.35">
      <c r="A1973" s="241"/>
      <c r="B1973" s="506"/>
      <c r="C1973" s="506"/>
      <c r="D1973" s="506"/>
      <c r="E1973" s="453"/>
      <c r="F1973" s="1030"/>
      <c r="G1973" s="1073" t="s">
        <v>2374</v>
      </c>
      <c r="H1973" s="1073"/>
      <c r="I1973" s="1073"/>
      <c r="J1973" s="1073"/>
      <c r="K1973" s="612">
        <v>1.08</v>
      </c>
      <c r="L1973" s="243"/>
      <c r="M1973" s="173"/>
      <c r="N1973" s="68"/>
      <c r="O1973" s="203"/>
      <c r="P1973" s="218"/>
      <c r="Q1973" s="68"/>
      <c r="R1973" s="217"/>
    </row>
    <row r="1974" spans="1:24" ht="30" customHeight="1" x14ac:dyDescent="0.35">
      <c r="A1974" s="241"/>
      <c r="B1974" s="446"/>
      <c r="C1974" s="446"/>
      <c r="D1974" s="458"/>
      <c r="E1974" s="458"/>
      <c r="F1974" s="458"/>
      <c r="G1974" s="458"/>
      <c r="H1974" s="458"/>
      <c r="I1974" s="458"/>
      <c r="J1974" s="446" t="s">
        <v>2356</v>
      </c>
      <c r="K1974" s="591">
        <f>+K1971*K1972/K1973</f>
        <v>288.83334722222224</v>
      </c>
      <c r="L1974" s="243" t="s">
        <v>8</v>
      </c>
      <c r="M1974" s="173"/>
      <c r="N1974" s="68"/>
      <c r="O1974" s="203"/>
      <c r="P1974" s="218"/>
      <c r="Q1974" s="68"/>
      <c r="R1974" s="217"/>
    </row>
    <row r="1975" spans="1:24" ht="30" customHeight="1" x14ac:dyDescent="0.35">
      <c r="A1975" s="241"/>
      <c r="B1975" s="446"/>
      <c r="C1975" s="446"/>
      <c r="D1975" s="458"/>
      <c r="E1975" s="458"/>
      <c r="F1975" s="458"/>
      <c r="G1975" s="613" t="s">
        <v>2359</v>
      </c>
      <c r="H1975" s="458"/>
      <c r="I1975" s="458"/>
      <c r="J1975" s="583">
        <f>VLOOKUP(B1966,'Mil Cost Premiums for PUCs'!$A$4:$R$272,18,FALSE)</f>
        <v>1.3319480854780448</v>
      </c>
      <c r="K1975" s="591">
        <f>+K1974*J1975</f>
        <v>384.71102385485426</v>
      </c>
      <c r="L1975" s="243" t="s">
        <v>8</v>
      </c>
      <c r="M1975" s="173"/>
      <c r="N1975" s="68"/>
      <c r="O1975" s="203"/>
      <c r="P1975" s="218"/>
      <c r="Q1975" s="68"/>
      <c r="R1975" s="217"/>
    </row>
    <row r="1976" spans="1:24" ht="60" customHeight="1" x14ac:dyDescent="0.35">
      <c r="A1976" s="1064" t="s">
        <v>305</v>
      </c>
      <c r="B1976" s="1065"/>
      <c r="C1976" s="1065"/>
      <c r="D1976" s="1065"/>
      <c r="E1976" s="1065"/>
      <c r="F1976" s="1065"/>
      <c r="G1976" s="1065"/>
      <c r="H1976" s="1065"/>
      <c r="I1976" s="1065"/>
      <c r="J1976" s="1065"/>
      <c r="K1976" s="1065"/>
      <c r="L1976" s="1066"/>
      <c r="M1976" s="173"/>
      <c r="N1976" s="68"/>
      <c r="O1976" s="203"/>
      <c r="P1976" s="218"/>
      <c r="Q1976" s="68"/>
      <c r="R1976" s="217"/>
    </row>
    <row r="1977" spans="1:24" ht="30" customHeight="1" x14ac:dyDescent="0.35">
      <c r="A1977" s="1077" t="s">
        <v>306</v>
      </c>
      <c r="B1977" s="1042"/>
      <c r="C1977" s="1043"/>
      <c r="D1977" s="1067" t="s">
        <v>1090</v>
      </c>
      <c r="E1977" s="1065"/>
      <c r="F1977" s="1065"/>
      <c r="G1977" s="1065"/>
      <c r="H1977" s="1065"/>
      <c r="I1977" s="1065"/>
      <c r="J1977" s="1065"/>
      <c r="K1977" s="1065"/>
      <c r="L1977" s="1066"/>
      <c r="M1977" s="173"/>
      <c r="N1977" s="419"/>
      <c r="O1977" s="171"/>
      <c r="P1977" s="216"/>
      <c r="Q1977" s="419"/>
      <c r="R1977" s="219"/>
    </row>
    <row r="1978" spans="1:24" ht="45" customHeight="1" x14ac:dyDescent="0.35">
      <c r="A1978" s="1077" t="s">
        <v>307</v>
      </c>
      <c r="B1978" s="1042"/>
      <c r="C1978" s="1043"/>
      <c r="D1978" s="1067" t="s">
        <v>1091</v>
      </c>
      <c r="E1978" s="1065"/>
      <c r="F1978" s="1065"/>
      <c r="G1978" s="1065"/>
      <c r="H1978" s="1065"/>
      <c r="I1978" s="1065"/>
      <c r="J1978" s="1065"/>
      <c r="K1978" s="1065"/>
      <c r="L1978" s="1066"/>
      <c r="M1978" s="173"/>
      <c r="N1978" s="419"/>
      <c r="O1978" s="171"/>
      <c r="P1978" s="216"/>
      <c r="Q1978" s="419"/>
      <c r="R1978" s="219"/>
    </row>
    <row r="1979" spans="1:24" ht="30" customHeight="1" x14ac:dyDescent="0.35">
      <c r="A1979" s="1077" t="s">
        <v>308</v>
      </c>
      <c r="B1979" s="1042"/>
      <c r="C1979" s="1043"/>
      <c r="D1979" s="1067" t="s">
        <v>2988</v>
      </c>
      <c r="E1979" s="1065"/>
      <c r="F1979" s="1065"/>
      <c r="G1979" s="1065"/>
      <c r="H1979" s="1065"/>
      <c r="I1979" s="1065"/>
      <c r="J1979" s="1065"/>
      <c r="K1979" s="1065"/>
      <c r="L1979" s="1066"/>
      <c r="M1979" s="173"/>
      <c r="N1979" s="68"/>
      <c r="O1979" s="203"/>
      <c r="P1979" s="218"/>
      <c r="Q1979" s="68"/>
      <c r="R1979" s="217"/>
    </row>
    <row r="1980" spans="1:24" ht="45" customHeight="1" x14ac:dyDescent="0.35">
      <c r="A1980" s="1077" t="s">
        <v>309</v>
      </c>
      <c r="B1980" s="1042"/>
      <c r="C1980" s="1043"/>
      <c r="D1980" s="1067" t="s">
        <v>1092</v>
      </c>
      <c r="E1980" s="1065"/>
      <c r="F1980" s="1065"/>
      <c r="G1980" s="1065"/>
      <c r="H1980" s="1065"/>
      <c r="I1980" s="1065"/>
      <c r="J1980" s="1065"/>
      <c r="K1980" s="1065"/>
      <c r="L1980" s="1066"/>
      <c r="M1980" s="173"/>
      <c r="N1980" s="68"/>
      <c r="O1980" s="203"/>
      <c r="P1980" s="218"/>
      <c r="Q1980" s="68"/>
      <c r="R1980" s="217"/>
    </row>
    <row r="1981" spans="1:24" ht="30" customHeight="1" x14ac:dyDescent="0.35">
      <c r="A1981" s="1077" t="s">
        <v>311</v>
      </c>
      <c r="B1981" s="1042"/>
      <c r="C1981" s="1043"/>
      <c r="D1981" s="1067" t="s">
        <v>1093</v>
      </c>
      <c r="E1981" s="1065"/>
      <c r="F1981" s="1065"/>
      <c r="G1981" s="1065"/>
      <c r="H1981" s="1065"/>
      <c r="I1981" s="1065"/>
      <c r="J1981" s="1065"/>
      <c r="K1981" s="1065"/>
      <c r="L1981" s="1066"/>
      <c r="M1981" s="173"/>
      <c r="N1981" s="68"/>
      <c r="O1981" s="203"/>
      <c r="P1981" s="218"/>
      <c r="Q1981" s="68"/>
      <c r="R1981" s="217"/>
    </row>
    <row r="1982" spans="1:24" ht="30" customHeight="1" x14ac:dyDescent="0.35">
      <c r="A1982" s="1077" t="s">
        <v>313</v>
      </c>
      <c r="B1982" s="1042"/>
      <c r="C1982" s="1043"/>
      <c r="D1982" s="1067" t="s">
        <v>314</v>
      </c>
      <c r="E1982" s="1065"/>
      <c r="F1982" s="1065"/>
      <c r="G1982" s="1065"/>
      <c r="H1982" s="1065"/>
      <c r="I1982" s="1065"/>
      <c r="J1982" s="1065"/>
      <c r="K1982" s="1065"/>
      <c r="L1982" s="1066"/>
      <c r="M1982" s="173"/>
      <c r="N1982" s="68"/>
      <c r="O1982" s="203"/>
      <c r="P1982" s="218"/>
      <c r="Q1982" s="68"/>
      <c r="R1982" s="217"/>
      <c r="T1982" s="208"/>
      <c r="U1982" s="208"/>
      <c r="V1982" s="208"/>
      <c r="W1982" s="208"/>
      <c r="X1982" s="208"/>
    </row>
    <row r="1983" spans="1:24" s="208" customFormat="1" ht="30" customHeight="1" x14ac:dyDescent="0.35">
      <c r="A1983" s="1077" t="s">
        <v>315</v>
      </c>
      <c r="B1983" s="1042"/>
      <c r="C1983" s="1043"/>
      <c r="D1983" s="1067" t="s">
        <v>1094</v>
      </c>
      <c r="E1983" s="1065"/>
      <c r="F1983" s="1065"/>
      <c r="G1983" s="1065"/>
      <c r="H1983" s="1065"/>
      <c r="I1983" s="1065"/>
      <c r="J1983" s="1065"/>
      <c r="K1983" s="1065"/>
      <c r="L1983" s="1066"/>
      <c r="M1983" s="173"/>
      <c r="N1983" s="68"/>
      <c r="O1983" s="203"/>
      <c r="P1983" s="218"/>
      <c r="Q1983" s="68"/>
      <c r="R1983" s="217"/>
      <c r="S1983" s="203"/>
      <c r="T1983" s="203"/>
      <c r="U1983" s="203"/>
      <c r="V1983" s="203"/>
      <c r="W1983" s="203"/>
      <c r="X1983" s="203"/>
    </row>
    <row r="1984" spans="1:24" ht="75" customHeight="1" x14ac:dyDescent="0.35">
      <c r="A1984" s="1077" t="s">
        <v>316</v>
      </c>
      <c r="B1984" s="1042"/>
      <c r="C1984" s="1043"/>
      <c r="D1984" s="1067" t="s">
        <v>373</v>
      </c>
      <c r="E1984" s="1065"/>
      <c r="F1984" s="1065"/>
      <c r="G1984" s="1065"/>
      <c r="H1984" s="1065"/>
      <c r="I1984" s="1065"/>
      <c r="J1984" s="1065"/>
      <c r="K1984" s="1065"/>
      <c r="L1984" s="1066"/>
      <c r="M1984" s="173"/>
      <c r="N1984" s="68"/>
      <c r="O1984" s="208"/>
      <c r="P1984" s="218"/>
      <c r="Q1984" s="68"/>
      <c r="R1984" s="217"/>
      <c r="S1984" s="208"/>
    </row>
    <row r="1985" spans="1:24" ht="45" customHeight="1" thickBot="1" x14ac:dyDescent="0.4">
      <c r="A1985" s="1077" t="s">
        <v>2590</v>
      </c>
      <c r="B1985" s="1042"/>
      <c r="C1985" s="1043"/>
      <c r="D1985" s="1068" t="s">
        <v>2989</v>
      </c>
      <c r="E1985" s="1069"/>
      <c r="F1985" s="1069"/>
      <c r="G1985" s="1069"/>
      <c r="H1985" s="1069"/>
      <c r="I1985" s="1069"/>
      <c r="J1985" s="1069"/>
      <c r="K1985" s="1069"/>
      <c r="L1985" s="1070"/>
      <c r="M1985" s="173"/>
      <c r="N1985" s="68"/>
      <c r="O1985" s="203"/>
      <c r="P1985" s="218"/>
      <c r="Q1985" s="68"/>
      <c r="R1985" s="217"/>
    </row>
    <row r="1986" spans="1:24" ht="30" customHeight="1" thickBot="1" x14ac:dyDescent="0.4">
      <c r="A1986" s="1086"/>
      <c r="B1986" s="1087"/>
      <c r="C1986" s="1087"/>
      <c r="D1986" s="1087"/>
      <c r="E1986" s="1087"/>
      <c r="F1986" s="1087"/>
      <c r="G1986" s="1087"/>
      <c r="H1986" s="1087"/>
      <c r="I1986" s="1087"/>
      <c r="J1986" s="1087"/>
      <c r="K1986" s="1087"/>
      <c r="L1986" s="1088"/>
      <c r="M1986" s="173"/>
      <c r="N1986" s="68"/>
      <c r="O1986" s="203"/>
      <c r="P1986" s="218"/>
      <c r="Q1986" s="68"/>
      <c r="R1986" s="217"/>
    </row>
    <row r="1987" spans="1:24" ht="30" customHeight="1" x14ac:dyDescent="0.35">
      <c r="A1987" s="465" t="s">
        <v>278</v>
      </c>
      <c r="B1987" s="539">
        <v>3102</v>
      </c>
      <c r="C1987" s="1036" t="s">
        <v>1095</v>
      </c>
      <c r="D1987" s="1037"/>
      <c r="E1987" s="541" t="s">
        <v>280</v>
      </c>
      <c r="F1987" s="542" t="s">
        <v>8</v>
      </c>
      <c r="G1987" s="543" t="s">
        <v>285</v>
      </c>
      <c r="H1987" s="632">
        <v>35389</v>
      </c>
      <c r="I1987" s="541" t="s">
        <v>281</v>
      </c>
      <c r="J1987" s="1019" t="s">
        <v>2371</v>
      </c>
      <c r="K1987" s="1019"/>
      <c r="L1987" s="1020"/>
      <c r="M1987" s="173"/>
      <c r="N1987" s="68"/>
      <c r="O1987" s="203"/>
      <c r="P1987" s="218"/>
      <c r="Q1987" s="68"/>
      <c r="R1987" s="217"/>
    </row>
    <row r="1988" spans="1:24" ht="30" customHeight="1" x14ac:dyDescent="0.35">
      <c r="A1988" s="588" t="s">
        <v>298</v>
      </c>
      <c r="B1988" s="1038" t="s">
        <v>321</v>
      </c>
      <c r="C1988" s="1039"/>
      <c r="D1988" s="1040"/>
      <c r="E1988" s="23" t="s">
        <v>290</v>
      </c>
      <c r="F1988" s="23" t="s">
        <v>322</v>
      </c>
      <c r="G1988" s="1034" t="s">
        <v>323</v>
      </c>
      <c r="H1988" s="1035"/>
      <c r="I1988" s="509" t="s">
        <v>299</v>
      </c>
      <c r="J1988" s="509"/>
      <c r="K1988" s="1012" t="s">
        <v>292</v>
      </c>
      <c r="L1988" s="1013"/>
      <c r="M1988" s="173"/>
      <c r="N1988" s="68"/>
      <c r="O1988" s="203"/>
      <c r="P1988" s="218"/>
      <c r="Q1988" s="68"/>
      <c r="R1988" s="217"/>
    </row>
    <row r="1989" spans="1:24" ht="30" customHeight="1" x14ac:dyDescent="0.35">
      <c r="A1989" s="241" t="s">
        <v>365</v>
      </c>
      <c r="B1989" s="1082" t="s">
        <v>2310</v>
      </c>
      <c r="C1989" s="1083"/>
      <c r="D1989" s="1093"/>
      <c r="E1989" s="453">
        <v>242</v>
      </c>
      <c r="F1989" s="446" t="s">
        <v>8</v>
      </c>
      <c r="G1989" s="454"/>
      <c r="H1989" s="446"/>
      <c r="I1989" s="446">
        <v>1.01</v>
      </c>
      <c r="J1989" s="665"/>
      <c r="K1989" s="453">
        <f>+E1989*I1989</f>
        <v>244.42000000000002</v>
      </c>
      <c r="L1989" s="243" t="s">
        <v>8</v>
      </c>
      <c r="M1989" s="173"/>
      <c r="N1989" s="68"/>
      <c r="O1989" s="203"/>
      <c r="P1989" s="218"/>
      <c r="Q1989" s="68"/>
      <c r="R1989" s="217"/>
    </row>
    <row r="1990" spans="1:24" ht="30" customHeight="1" x14ac:dyDescent="0.35">
      <c r="A1990" s="241" t="s">
        <v>365</v>
      </c>
      <c r="B1990" s="1031" t="s">
        <v>2223</v>
      </c>
      <c r="C1990" s="1032"/>
      <c r="D1990" s="1032"/>
      <c r="E1990" s="453">
        <v>37.5</v>
      </c>
      <c r="F1990" s="639" t="s">
        <v>8</v>
      </c>
      <c r="G1990" s="519"/>
      <c r="H1990" s="508"/>
      <c r="I1990" s="446">
        <v>1.01</v>
      </c>
      <c r="J1990" s="665"/>
      <c r="K1990" s="453">
        <f>+E1990*I1990</f>
        <v>37.875</v>
      </c>
      <c r="L1990" s="243" t="s">
        <v>8</v>
      </c>
      <c r="M1990" s="173"/>
      <c r="N1990" s="419"/>
      <c r="O1990" s="171"/>
      <c r="P1990" s="216"/>
      <c r="Q1990" s="419"/>
      <c r="R1990" s="219"/>
    </row>
    <row r="1991" spans="1:24" ht="30" customHeight="1" x14ac:dyDescent="0.35">
      <c r="A1991" s="241" t="s">
        <v>365</v>
      </c>
      <c r="B1991" s="1031" t="s">
        <v>1096</v>
      </c>
      <c r="C1991" s="1032"/>
      <c r="D1991" s="1033"/>
      <c r="E1991" s="453">
        <v>37.5</v>
      </c>
      <c r="F1991" s="639" t="s">
        <v>8</v>
      </c>
      <c r="G1991" s="519"/>
      <c r="H1991" s="508"/>
      <c r="I1991" s="446">
        <v>1.01</v>
      </c>
      <c r="J1991" s="665"/>
      <c r="K1991" s="453">
        <f>+E1991*I1991</f>
        <v>37.875</v>
      </c>
      <c r="L1991" s="243" t="s">
        <v>8</v>
      </c>
      <c r="M1991" s="173"/>
      <c r="N1991" s="419"/>
      <c r="O1991" s="171"/>
      <c r="P1991" s="216"/>
      <c r="Q1991" s="419"/>
      <c r="R1991" s="219"/>
      <c r="T1991" s="27"/>
      <c r="U1991" s="171"/>
    </row>
    <row r="1992" spans="1:24" ht="30" customHeight="1" x14ac:dyDescent="0.35">
      <c r="A1992" s="241" t="s">
        <v>360</v>
      </c>
      <c r="B1992" s="1031" t="s">
        <v>2992</v>
      </c>
      <c r="C1992" s="1032"/>
      <c r="D1992" s="1032"/>
      <c r="E1992" s="453">
        <v>3.44</v>
      </c>
      <c r="F1992" s="639" t="s">
        <v>8</v>
      </c>
      <c r="G1992" s="519"/>
      <c r="H1992" s="508"/>
      <c r="I1992" s="446">
        <v>1.01</v>
      </c>
      <c r="J1992" s="665"/>
      <c r="K1992" s="453">
        <f>+E1992*I1992</f>
        <v>3.4744000000000002</v>
      </c>
      <c r="L1992" s="243" t="s">
        <v>8</v>
      </c>
      <c r="M1992" s="173"/>
      <c r="N1992" s="68"/>
      <c r="O1992" s="203"/>
      <c r="P1992" s="218"/>
      <c r="Q1992" s="68"/>
      <c r="R1992" s="217"/>
      <c r="T1992" s="27"/>
      <c r="U1992" s="171"/>
    </row>
    <row r="1993" spans="1:24" ht="30" customHeight="1" x14ac:dyDescent="0.35">
      <c r="A1993" s="241"/>
      <c r="B1993" s="1059"/>
      <c r="C1993" s="1059"/>
      <c r="D1993" s="1059"/>
      <c r="E1993" s="453"/>
      <c r="F1993" s="446"/>
      <c r="G1993" s="519"/>
      <c r="H1993" s="508"/>
      <c r="I1993" s="446"/>
      <c r="J1993" s="446" t="s">
        <v>335</v>
      </c>
      <c r="K1993" s="453">
        <f>SUM(K1989:K1992)</f>
        <v>323.64440000000002</v>
      </c>
      <c r="L1993" s="243" t="s">
        <v>8</v>
      </c>
      <c r="M1993" s="173"/>
      <c r="N1993" s="214"/>
      <c r="O1993" s="207"/>
      <c r="P1993" s="27"/>
      <c r="Q1993" s="27"/>
      <c r="R1993" s="27"/>
      <c r="S1993" s="27"/>
      <c r="T1993" s="27"/>
      <c r="U1993" s="27"/>
      <c r="V1993" s="27"/>
      <c r="W1993" s="27"/>
      <c r="X1993" s="27"/>
    </row>
    <row r="1994" spans="1:24" s="27" customFormat="1" ht="30" customHeight="1" x14ac:dyDescent="0.35">
      <c r="A1994" s="241"/>
      <c r="B1994" s="506"/>
      <c r="C1994" s="506"/>
      <c r="D1994" s="506"/>
      <c r="E1994" s="453"/>
      <c r="F1994" s="1029" t="s">
        <v>302</v>
      </c>
      <c r="G1994" s="1058" t="s">
        <v>303</v>
      </c>
      <c r="H1994" s="1058"/>
      <c r="I1994" s="1058"/>
      <c r="J1994" s="1058"/>
      <c r="K1994" s="665">
        <f>(1.08+1.1)/2</f>
        <v>1.0900000000000001</v>
      </c>
      <c r="L1994" s="243"/>
      <c r="M1994" s="173"/>
      <c r="N1994" s="214"/>
      <c r="O1994" s="207"/>
      <c r="T1994" s="208"/>
      <c r="U1994" s="208"/>
      <c r="V1994" s="208"/>
      <c r="W1994" s="208"/>
      <c r="X1994" s="208"/>
    </row>
    <row r="1995" spans="1:24" s="208" customFormat="1" ht="30" customHeight="1" x14ac:dyDescent="0.35">
      <c r="A1995" s="241"/>
      <c r="B1995" s="506"/>
      <c r="C1995" s="506"/>
      <c r="D1995" s="506"/>
      <c r="E1995" s="453"/>
      <c r="F1995" s="1030"/>
      <c r="G1995" s="1073" t="s">
        <v>2374</v>
      </c>
      <c r="H1995" s="1073"/>
      <c r="I1995" s="1073"/>
      <c r="J1995" s="1073"/>
      <c r="K1995" s="612">
        <v>1.08</v>
      </c>
      <c r="L1995" s="243"/>
      <c r="M1995" s="173"/>
      <c r="N1995" s="214"/>
      <c r="O1995" s="207"/>
      <c r="P1995" s="27"/>
      <c r="Q1995" s="27"/>
      <c r="R1995" s="27"/>
      <c r="S1995" s="27"/>
      <c r="T1995" s="203"/>
      <c r="U1995" s="27"/>
      <c r="V1995" s="27"/>
      <c r="W1995" s="27"/>
      <c r="X1995" s="27"/>
    </row>
    <row r="1996" spans="1:24" s="27" customFormat="1" ht="30" customHeight="1" x14ac:dyDescent="0.35">
      <c r="A1996" s="241"/>
      <c r="B1996" s="446"/>
      <c r="C1996" s="458"/>
      <c r="D1996" s="458"/>
      <c r="E1996" s="458"/>
      <c r="F1996" s="458"/>
      <c r="G1996" s="458"/>
      <c r="H1996" s="458"/>
      <c r="I1996" s="458"/>
      <c r="J1996" s="446" t="s">
        <v>2356</v>
      </c>
      <c r="K1996" s="591">
        <f>+K1993*K1994/K1995</f>
        <v>326.64110740740745</v>
      </c>
      <c r="L1996" s="243" t="s">
        <v>8</v>
      </c>
      <c r="M1996" s="173"/>
      <c r="N1996" s="230"/>
      <c r="O1996" s="205"/>
      <c r="P1996" s="208"/>
      <c r="Q1996" s="208"/>
      <c r="R1996" s="208"/>
      <c r="S1996" s="208"/>
      <c r="T1996" s="203"/>
    </row>
    <row r="1997" spans="1:24" s="27" customFormat="1" ht="30" customHeight="1" x14ac:dyDescent="0.35">
      <c r="A1997" s="241"/>
      <c r="B1997" s="446"/>
      <c r="C1997" s="458"/>
      <c r="D1997" s="458"/>
      <c r="E1997" s="458"/>
      <c r="F1997" s="458"/>
      <c r="G1997" s="613" t="s">
        <v>2359</v>
      </c>
      <c r="H1997" s="613"/>
      <c r="I1997" s="458"/>
      <c r="J1997" s="583">
        <f>VLOOKUP(B1987,'Mil Cost Premiums for PUCs'!$A$4:$R$272,18,FALSE)</f>
        <v>1.3319480854780448</v>
      </c>
      <c r="K1997" s="591">
        <f>+K1996*J1997</f>
        <v>435.06899764972474</v>
      </c>
      <c r="L1997" s="243" t="s">
        <v>8</v>
      </c>
      <c r="M1997" s="173"/>
      <c r="N1997" s="203"/>
      <c r="O1997" s="205"/>
      <c r="P1997" s="203"/>
      <c r="Q1997" s="203"/>
      <c r="R1997" s="203"/>
      <c r="S1997" s="203"/>
      <c r="T1997" s="203"/>
    </row>
    <row r="1998" spans="1:24" s="27" customFormat="1" ht="60" customHeight="1" x14ac:dyDescent="0.35">
      <c r="A1998" s="1064" t="s">
        <v>305</v>
      </c>
      <c r="B1998" s="1065"/>
      <c r="C1998" s="1065"/>
      <c r="D1998" s="1065"/>
      <c r="E1998" s="1065"/>
      <c r="F1998" s="1065"/>
      <c r="G1998" s="1065"/>
      <c r="H1998" s="1065"/>
      <c r="I1998" s="1065"/>
      <c r="J1998" s="1065"/>
      <c r="K1998" s="1065"/>
      <c r="L1998" s="1066"/>
      <c r="M1998" s="173"/>
      <c r="N1998" s="203"/>
      <c r="O1998" s="205"/>
      <c r="P1998" s="203"/>
      <c r="Q1998" s="203"/>
      <c r="R1998" s="203"/>
      <c r="S1998" s="203"/>
      <c r="T1998" s="51"/>
      <c r="U1998" s="203"/>
      <c r="V1998" s="203"/>
      <c r="W1998" s="203"/>
      <c r="X1998" s="203"/>
    </row>
    <row r="1999" spans="1:24" ht="30" customHeight="1" x14ac:dyDescent="0.35">
      <c r="A1999" s="1077" t="s">
        <v>306</v>
      </c>
      <c r="B1999" s="1042"/>
      <c r="C1999" s="1043"/>
      <c r="D1999" s="1067" t="s">
        <v>1090</v>
      </c>
      <c r="E1999" s="1065"/>
      <c r="F1999" s="1065"/>
      <c r="G1999" s="1065"/>
      <c r="H1999" s="1065"/>
      <c r="I1999" s="1065"/>
      <c r="J1999" s="1065"/>
      <c r="K1999" s="1065"/>
      <c r="L1999" s="1066"/>
      <c r="M1999" s="173"/>
      <c r="T1999" s="51"/>
    </row>
    <row r="2000" spans="1:24" ht="45" customHeight="1" x14ac:dyDescent="0.35">
      <c r="A2000" s="1077" t="s">
        <v>307</v>
      </c>
      <c r="B2000" s="1042"/>
      <c r="C2000" s="1043"/>
      <c r="D2000" s="1067" t="s">
        <v>1097</v>
      </c>
      <c r="E2000" s="1065"/>
      <c r="F2000" s="1065"/>
      <c r="G2000" s="1065"/>
      <c r="H2000" s="1065"/>
      <c r="I2000" s="1065"/>
      <c r="J2000" s="1065"/>
      <c r="K2000" s="1065"/>
      <c r="L2000" s="1066"/>
      <c r="M2000" s="173"/>
      <c r="P2000" s="171"/>
      <c r="Q2000" s="171"/>
      <c r="R2000" s="171"/>
      <c r="S2000" s="51"/>
      <c r="T2000" s="27"/>
      <c r="U2000" s="171"/>
    </row>
    <row r="2001" spans="1:24" ht="30" customHeight="1" x14ac:dyDescent="0.35">
      <c r="A2001" s="1077" t="s">
        <v>308</v>
      </c>
      <c r="B2001" s="1042"/>
      <c r="C2001" s="1043"/>
      <c r="D2001" s="1067" t="s">
        <v>2990</v>
      </c>
      <c r="E2001" s="1065"/>
      <c r="F2001" s="1065"/>
      <c r="G2001" s="1065"/>
      <c r="H2001" s="1065"/>
      <c r="I2001" s="1065"/>
      <c r="J2001" s="1065"/>
      <c r="K2001" s="1065"/>
      <c r="L2001" s="1066"/>
      <c r="M2001" s="173"/>
      <c r="P2001" s="171"/>
      <c r="Q2001" s="171"/>
      <c r="R2001" s="171"/>
      <c r="S2001" s="51"/>
      <c r="T2001" s="27"/>
      <c r="U2001" s="171"/>
    </row>
    <row r="2002" spans="1:24" ht="45" customHeight="1" x14ac:dyDescent="0.35">
      <c r="A2002" s="1077" t="s">
        <v>309</v>
      </c>
      <c r="B2002" s="1042"/>
      <c r="C2002" s="1043"/>
      <c r="D2002" s="1067" t="s">
        <v>1098</v>
      </c>
      <c r="E2002" s="1065"/>
      <c r="F2002" s="1065"/>
      <c r="G2002" s="1065"/>
      <c r="H2002" s="1065"/>
      <c r="I2002" s="1065"/>
      <c r="J2002" s="1065"/>
      <c r="K2002" s="1065"/>
      <c r="L2002" s="1066"/>
      <c r="M2002" s="173"/>
      <c r="N2002" s="214"/>
      <c r="O2002" s="207"/>
      <c r="P2002" s="27"/>
      <c r="Q2002" s="27"/>
      <c r="R2002" s="27"/>
      <c r="S2002" s="27"/>
      <c r="T2002" s="27"/>
      <c r="U2002" s="27"/>
      <c r="V2002" s="27"/>
      <c r="W2002" s="27"/>
      <c r="X2002" s="27"/>
    </row>
    <row r="2003" spans="1:24" s="27" customFormat="1" ht="45" customHeight="1" x14ac:dyDescent="0.35">
      <c r="A2003" s="1077" t="s">
        <v>311</v>
      </c>
      <c r="B2003" s="1042"/>
      <c r="C2003" s="1043"/>
      <c r="D2003" s="1067" t="s">
        <v>1099</v>
      </c>
      <c r="E2003" s="1065"/>
      <c r="F2003" s="1065"/>
      <c r="G2003" s="1065"/>
      <c r="H2003" s="1065"/>
      <c r="I2003" s="1065"/>
      <c r="J2003" s="1065"/>
      <c r="K2003" s="1065"/>
      <c r="L2003" s="1066"/>
      <c r="M2003" s="173"/>
      <c r="N2003" s="214"/>
      <c r="O2003" s="207"/>
      <c r="T2003" s="208"/>
      <c r="U2003" s="208"/>
      <c r="V2003" s="208"/>
      <c r="W2003" s="208"/>
      <c r="X2003" s="208"/>
    </row>
    <row r="2004" spans="1:24" s="208" customFormat="1" ht="30" customHeight="1" x14ac:dyDescent="0.35">
      <c r="A2004" s="1077" t="s">
        <v>313</v>
      </c>
      <c r="B2004" s="1042"/>
      <c r="C2004" s="1043"/>
      <c r="D2004" s="1067" t="s">
        <v>851</v>
      </c>
      <c r="E2004" s="1065"/>
      <c r="F2004" s="1065"/>
      <c r="G2004" s="1065"/>
      <c r="H2004" s="1065"/>
      <c r="I2004" s="1065"/>
      <c r="J2004" s="1065"/>
      <c r="K2004" s="1065"/>
      <c r="L2004" s="1066"/>
      <c r="M2004" s="173"/>
      <c r="N2004" s="13"/>
      <c r="O2004" s="207"/>
      <c r="P2004" s="27"/>
      <c r="Q2004" s="27"/>
      <c r="R2004" s="27"/>
      <c r="S2004" s="27"/>
      <c r="T2004" s="203"/>
      <c r="U2004" s="27"/>
      <c r="V2004" s="27"/>
      <c r="W2004" s="27"/>
      <c r="X2004" s="27"/>
    </row>
    <row r="2005" spans="1:24" s="27" customFormat="1" ht="30" customHeight="1" x14ac:dyDescent="0.35">
      <c r="A2005" s="1077" t="s">
        <v>315</v>
      </c>
      <c r="B2005" s="1042"/>
      <c r="C2005" s="1043"/>
      <c r="D2005" s="1067" t="s">
        <v>1100</v>
      </c>
      <c r="E2005" s="1065"/>
      <c r="F2005" s="1065"/>
      <c r="G2005" s="1065"/>
      <c r="H2005" s="1065"/>
      <c r="I2005" s="1065"/>
      <c r="J2005" s="1065"/>
      <c r="K2005" s="1065"/>
      <c r="L2005" s="1066"/>
      <c r="M2005" s="363"/>
      <c r="N2005" s="13"/>
      <c r="O2005" s="205"/>
      <c r="P2005" s="208"/>
      <c r="Q2005" s="208"/>
      <c r="R2005" s="208"/>
      <c r="S2005" s="208"/>
      <c r="T2005" s="203"/>
    </row>
    <row r="2006" spans="1:24" s="27" customFormat="1" ht="75" customHeight="1" x14ac:dyDescent="0.35">
      <c r="A2006" s="1077" t="s">
        <v>316</v>
      </c>
      <c r="B2006" s="1042"/>
      <c r="C2006" s="1043"/>
      <c r="D2006" s="1067" t="s">
        <v>373</v>
      </c>
      <c r="E2006" s="1065"/>
      <c r="F2006" s="1065"/>
      <c r="G2006" s="1065"/>
      <c r="H2006" s="1065"/>
      <c r="I2006" s="1065"/>
      <c r="J2006" s="1065"/>
      <c r="K2006" s="1065"/>
      <c r="L2006" s="1066"/>
      <c r="M2006" s="173"/>
      <c r="N2006" s="13"/>
      <c r="O2006" s="205"/>
      <c r="P2006" s="203"/>
      <c r="Q2006" s="203"/>
      <c r="R2006" s="203"/>
      <c r="S2006" s="203"/>
      <c r="T2006" s="203"/>
    </row>
    <row r="2007" spans="1:24" s="27" customFormat="1" ht="45" customHeight="1" thickBot="1" x14ac:dyDescent="0.4">
      <c r="A2007" s="1077" t="s">
        <v>318</v>
      </c>
      <c r="B2007" s="1042"/>
      <c r="C2007" s="1043"/>
      <c r="D2007" s="1068" t="s">
        <v>2991</v>
      </c>
      <c r="E2007" s="1069"/>
      <c r="F2007" s="1069"/>
      <c r="G2007" s="1069"/>
      <c r="H2007" s="1069"/>
      <c r="I2007" s="1069"/>
      <c r="J2007" s="1069"/>
      <c r="K2007" s="1069"/>
      <c r="L2007" s="1070"/>
      <c r="M2007" s="173"/>
      <c r="N2007" s="203"/>
      <c r="O2007" s="205"/>
      <c r="P2007" s="203"/>
      <c r="Q2007" s="203"/>
      <c r="R2007" s="203"/>
      <c r="S2007" s="203"/>
      <c r="T2007" s="51"/>
      <c r="U2007" s="203"/>
      <c r="V2007" s="203"/>
      <c r="W2007" s="203"/>
      <c r="X2007" s="203"/>
    </row>
    <row r="2008" spans="1:24" ht="30" customHeight="1" thickBot="1" x14ac:dyDescent="0.4">
      <c r="A2008" s="1086"/>
      <c r="B2008" s="1087"/>
      <c r="C2008" s="1087"/>
      <c r="D2008" s="1087"/>
      <c r="E2008" s="1087"/>
      <c r="F2008" s="1087"/>
      <c r="G2008" s="1087"/>
      <c r="H2008" s="1087"/>
      <c r="I2008" s="1087"/>
      <c r="J2008" s="1087"/>
      <c r="K2008" s="1087"/>
      <c r="L2008" s="1088"/>
      <c r="M2008" s="173"/>
      <c r="T2008" s="51"/>
    </row>
    <row r="2009" spans="1:24" ht="30" customHeight="1" x14ac:dyDescent="0.35">
      <c r="A2009" s="465" t="s">
        <v>278</v>
      </c>
      <c r="B2009" s="539">
        <v>3103</v>
      </c>
      <c r="C2009" s="1017" t="s">
        <v>1101</v>
      </c>
      <c r="D2009" s="1018"/>
      <c r="E2009" s="541" t="s">
        <v>280</v>
      </c>
      <c r="F2009" s="542" t="s">
        <v>8</v>
      </c>
      <c r="G2009" s="543" t="s">
        <v>285</v>
      </c>
      <c r="H2009" s="632">
        <v>8154</v>
      </c>
      <c r="I2009" s="541" t="s">
        <v>281</v>
      </c>
      <c r="J2009" s="1019" t="s">
        <v>2371</v>
      </c>
      <c r="K2009" s="1019"/>
      <c r="L2009" s="1020"/>
      <c r="M2009" s="173"/>
      <c r="P2009" s="171"/>
      <c r="Q2009" s="171"/>
      <c r="R2009" s="171"/>
      <c r="S2009" s="51"/>
    </row>
    <row r="2010" spans="1:24" ht="30" customHeight="1" x14ac:dyDescent="0.35">
      <c r="A2010" s="588" t="s">
        <v>298</v>
      </c>
      <c r="B2010" s="1038" t="s">
        <v>321</v>
      </c>
      <c r="C2010" s="1039"/>
      <c r="D2010" s="1040"/>
      <c r="E2010" s="23" t="s">
        <v>290</v>
      </c>
      <c r="F2010" s="23" t="s">
        <v>322</v>
      </c>
      <c r="G2010" s="1034" t="s">
        <v>323</v>
      </c>
      <c r="H2010" s="1035"/>
      <c r="I2010" s="509" t="s">
        <v>299</v>
      </c>
      <c r="J2010" s="509"/>
      <c r="K2010" s="1012" t="s">
        <v>292</v>
      </c>
      <c r="L2010" s="1013"/>
      <c r="M2010" s="173"/>
      <c r="P2010" s="171"/>
      <c r="Q2010" s="171"/>
      <c r="R2010" s="171"/>
      <c r="S2010" s="51"/>
    </row>
    <row r="2011" spans="1:24" ht="30" customHeight="1" x14ac:dyDescent="0.35">
      <c r="A2011" s="241" t="s">
        <v>365</v>
      </c>
      <c r="B2011" s="1082" t="s">
        <v>2994</v>
      </c>
      <c r="C2011" s="1083"/>
      <c r="D2011" s="1093"/>
      <c r="E2011" s="453">
        <f>242-2.64</f>
        <v>239.36</v>
      </c>
      <c r="F2011" s="446" t="s">
        <v>8</v>
      </c>
      <c r="G2011" s="727"/>
      <c r="H2011" s="659"/>
      <c r="I2011" s="446">
        <v>1.01</v>
      </c>
      <c r="J2011" s="665"/>
      <c r="K2011" s="453">
        <f>+E2011*I2011</f>
        <v>241.75360000000001</v>
      </c>
      <c r="L2011" s="243" t="s">
        <v>8</v>
      </c>
      <c r="M2011" s="173"/>
      <c r="N2011" s="419"/>
      <c r="O2011" s="203"/>
      <c r="P2011" s="218"/>
      <c r="Q2011" s="68"/>
      <c r="R2011" s="217"/>
    </row>
    <row r="2012" spans="1:24" ht="30" customHeight="1" x14ac:dyDescent="0.35">
      <c r="A2012" s="241" t="s">
        <v>365</v>
      </c>
      <c r="B2012" s="1031" t="s">
        <v>1102</v>
      </c>
      <c r="C2012" s="1032"/>
      <c r="D2012" s="1032"/>
      <c r="E2012" s="453">
        <v>37.5</v>
      </c>
      <c r="F2012" s="639" t="s">
        <v>8</v>
      </c>
      <c r="G2012" s="700"/>
      <c r="H2012" s="608"/>
      <c r="I2012" s="446">
        <v>1.01</v>
      </c>
      <c r="J2012" s="665"/>
      <c r="K2012" s="453">
        <f>+E2012*I2012</f>
        <v>37.875</v>
      </c>
      <c r="L2012" s="243" t="s">
        <v>8</v>
      </c>
      <c r="M2012" s="173"/>
      <c r="N2012" s="419"/>
      <c r="O2012" s="203"/>
      <c r="P2012" s="218"/>
      <c r="Q2012" s="68"/>
      <c r="R2012" s="217"/>
      <c r="T2012" s="208"/>
      <c r="U2012" s="208"/>
      <c r="V2012" s="208"/>
      <c r="W2012" s="208"/>
      <c r="X2012" s="208"/>
    </row>
    <row r="2013" spans="1:24" s="208" customFormat="1" ht="30" customHeight="1" x14ac:dyDescent="0.35">
      <c r="A2013" s="241" t="s">
        <v>1103</v>
      </c>
      <c r="B2013" s="1082" t="s">
        <v>2390</v>
      </c>
      <c r="C2013" s="1083"/>
      <c r="D2013" s="1083"/>
      <c r="E2013" s="453">
        <v>165000</v>
      </c>
      <c r="F2013" s="639" t="s">
        <v>10</v>
      </c>
      <c r="G2013" s="663">
        <f>+H2009</f>
        <v>8154</v>
      </c>
      <c r="H2013" s="608" t="s">
        <v>1015</v>
      </c>
      <c r="I2013" s="665">
        <v>1.02</v>
      </c>
      <c r="J2013" s="665"/>
      <c r="K2013" s="453">
        <f>+(E2013*6)/G2013*I2013</f>
        <v>123.841059602649</v>
      </c>
      <c r="L2013" s="243" t="s">
        <v>8</v>
      </c>
      <c r="M2013" s="173"/>
      <c r="N2013" s="203"/>
      <c r="O2013" s="218"/>
      <c r="P2013" s="68"/>
      <c r="Q2013" s="217"/>
      <c r="R2013" s="203"/>
      <c r="S2013" s="203"/>
      <c r="T2013" s="203"/>
      <c r="U2013" s="203"/>
      <c r="V2013" s="203"/>
      <c r="W2013" s="203"/>
      <c r="X2013" s="203"/>
    </row>
    <row r="2014" spans="1:24" ht="30" customHeight="1" x14ac:dyDescent="0.35">
      <c r="A2014" s="241" t="s">
        <v>360</v>
      </c>
      <c r="B2014" s="1031" t="s">
        <v>1086</v>
      </c>
      <c r="C2014" s="1032"/>
      <c r="D2014" s="1032"/>
      <c r="E2014" s="453">
        <v>4.38</v>
      </c>
      <c r="F2014" s="639" t="s">
        <v>8</v>
      </c>
      <c r="G2014" s="700"/>
      <c r="H2014" s="608"/>
      <c r="I2014" s="446">
        <v>1.01</v>
      </c>
      <c r="J2014" s="665"/>
      <c r="K2014" s="453">
        <f>+E2014*I2014</f>
        <v>4.4238</v>
      </c>
      <c r="L2014" s="243" t="s">
        <v>8</v>
      </c>
      <c r="M2014" s="173"/>
      <c r="N2014" s="208"/>
      <c r="O2014" s="218"/>
      <c r="P2014" s="68"/>
      <c r="Q2014" s="217"/>
      <c r="R2014" s="208"/>
      <c r="S2014" s="208"/>
    </row>
    <row r="2015" spans="1:24" ht="30" customHeight="1" x14ac:dyDescent="0.35">
      <c r="A2015" s="241"/>
      <c r="B2015" s="1059"/>
      <c r="C2015" s="1059"/>
      <c r="D2015" s="1059"/>
      <c r="E2015" s="453"/>
      <c r="F2015" s="446"/>
      <c r="G2015" s="519"/>
      <c r="H2015" s="508"/>
      <c r="I2015" s="446"/>
      <c r="J2015" s="446" t="s">
        <v>335</v>
      </c>
      <c r="K2015" s="453">
        <f>SUM(K2011:K2014)</f>
        <v>407.89345960264905</v>
      </c>
      <c r="L2015" s="243" t="s">
        <v>8</v>
      </c>
      <c r="M2015" s="173"/>
      <c r="O2015" s="218"/>
      <c r="P2015" s="68"/>
      <c r="Q2015" s="217"/>
    </row>
    <row r="2016" spans="1:24" ht="30" customHeight="1" x14ac:dyDescent="0.35">
      <c r="A2016" s="241"/>
      <c r="B2016" s="506"/>
      <c r="C2016" s="506"/>
      <c r="D2016" s="506"/>
      <c r="E2016" s="453"/>
      <c r="F2016" s="1029" t="s">
        <v>302</v>
      </c>
      <c r="G2016" s="1058" t="s">
        <v>303</v>
      </c>
      <c r="H2016" s="1058"/>
      <c r="I2016" s="1058"/>
      <c r="J2016" s="1058"/>
      <c r="K2016" s="665">
        <f>(1.08+1.1)/2</f>
        <v>1.0900000000000001</v>
      </c>
      <c r="L2016" s="243"/>
      <c r="M2016" s="173"/>
      <c r="O2016" s="218"/>
      <c r="P2016" s="68"/>
      <c r="Q2016" s="217"/>
    </row>
    <row r="2017" spans="1:18" ht="30" customHeight="1" x14ac:dyDescent="0.35">
      <c r="A2017" s="241"/>
      <c r="B2017" s="506"/>
      <c r="C2017" s="506"/>
      <c r="D2017" s="506"/>
      <c r="E2017" s="453"/>
      <c r="F2017" s="1030"/>
      <c r="G2017" s="1073" t="s">
        <v>2374</v>
      </c>
      <c r="H2017" s="1073"/>
      <c r="I2017" s="1073"/>
      <c r="J2017" s="1073"/>
      <c r="K2017" s="612">
        <v>1.08</v>
      </c>
      <c r="L2017" s="243"/>
      <c r="M2017" s="173"/>
      <c r="O2017" s="218"/>
      <c r="P2017" s="68"/>
      <c r="Q2017" s="217"/>
    </row>
    <row r="2018" spans="1:18" ht="30" customHeight="1" x14ac:dyDescent="0.35">
      <c r="A2018" s="241"/>
      <c r="B2018" s="1171"/>
      <c r="C2018" s="1172"/>
      <c r="D2018" s="1173"/>
      <c r="E2018" s="458"/>
      <c r="F2018" s="458"/>
      <c r="G2018" s="458"/>
      <c r="H2018" s="458"/>
      <c r="I2018" s="458"/>
      <c r="J2018" s="458" t="s">
        <v>2356</v>
      </c>
      <c r="K2018" s="591">
        <f>+K2015*K2016/K2017</f>
        <v>411.67025089526618</v>
      </c>
      <c r="L2018" s="243" t="s">
        <v>8</v>
      </c>
      <c r="M2018" s="173"/>
      <c r="O2018" s="218"/>
      <c r="P2018" s="68"/>
      <c r="Q2018" s="217"/>
    </row>
    <row r="2019" spans="1:18" ht="30" customHeight="1" thickBot="1" x14ac:dyDescent="0.4">
      <c r="A2019" s="241"/>
      <c r="B2019" s="446"/>
      <c r="C2019" s="458"/>
      <c r="D2019" s="458"/>
      <c r="E2019" s="458"/>
      <c r="F2019" s="458"/>
      <c r="G2019" s="592" t="s">
        <v>2358</v>
      </c>
      <c r="H2019" s="458"/>
      <c r="I2019" s="458"/>
      <c r="J2019" s="583">
        <f>VLOOKUP(B2009,'Mil Cost Premiums for PUCs'!$A$4:$R$272,18,FALSE)</f>
        <v>1.3319480854780448</v>
      </c>
      <c r="K2019" s="591">
        <f>+K2018*J2019</f>
        <v>548.32340252821609</v>
      </c>
      <c r="L2019" s="243" t="s">
        <v>8</v>
      </c>
      <c r="M2019" s="173"/>
      <c r="O2019" s="218"/>
      <c r="P2019" s="68"/>
      <c r="Q2019" s="217"/>
    </row>
    <row r="2020" spans="1:18" ht="30" customHeight="1" thickBot="1" x14ac:dyDescent="0.4">
      <c r="A2020" s="1086"/>
      <c r="B2020" s="1087"/>
      <c r="C2020" s="1087"/>
      <c r="D2020" s="1087"/>
      <c r="E2020" s="1087"/>
      <c r="F2020" s="1087"/>
      <c r="G2020" s="1087"/>
      <c r="H2020" s="1087"/>
      <c r="I2020" s="1087"/>
      <c r="J2020" s="1087"/>
      <c r="K2020" s="1087"/>
      <c r="L2020" s="1088"/>
      <c r="M2020" s="173"/>
      <c r="O2020" s="218"/>
      <c r="P2020" s="68"/>
      <c r="Q2020" s="217"/>
    </row>
    <row r="2021" spans="1:18" ht="30" customHeight="1" x14ac:dyDescent="0.35">
      <c r="A2021" s="465" t="s">
        <v>278</v>
      </c>
      <c r="B2021" s="539">
        <v>3104</v>
      </c>
      <c r="C2021" s="1017" t="s">
        <v>1104</v>
      </c>
      <c r="D2021" s="1018"/>
      <c r="E2021" s="541" t="s">
        <v>280</v>
      </c>
      <c r="F2021" s="542" t="s">
        <v>8</v>
      </c>
      <c r="G2021" s="543" t="s">
        <v>285</v>
      </c>
      <c r="H2021" s="587">
        <v>417</v>
      </c>
      <c r="I2021" s="541" t="s">
        <v>281</v>
      </c>
      <c r="J2021" s="1019" t="s">
        <v>2371</v>
      </c>
      <c r="K2021" s="1019"/>
      <c r="L2021" s="1020"/>
      <c r="M2021" s="173"/>
      <c r="O2021" s="218"/>
      <c r="P2021" s="68"/>
      <c r="Q2021" s="217"/>
    </row>
    <row r="2022" spans="1:18" ht="30" customHeight="1" x14ac:dyDescent="0.35">
      <c r="A2022" s="588" t="s">
        <v>298</v>
      </c>
      <c r="B2022" s="1038" t="s">
        <v>321</v>
      </c>
      <c r="C2022" s="1039"/>
      <c r="D2022" s="1040"/>
      <c r="E2022" s="23" t="s">
        <v>290</v>
      </c>
      <c r="F2022" s="23" t="s">
        <v>322</v>
      </c>
      <c r="G2022" s="1034" t="s">
        <v>323</v>
      </c>
      <c r="H2022" s="1035"/>
      <c r="I2022" s="509" t="s">
        <v>299</v>
      </c>
      <c r="J2022" s="509"/>
      <c r="K2022" s="1012" t="s">
        <v>292</v>
      </c>
      <c r="L2022" s="1013"/>
      <c r="M2022" s="173"/>
      <c r="O2022" s="218"/>
      <c r="P2022" s="68"/>
      <c r="Q2022" s="217"/>
    </row>
    <row r="2023" spans="1:18" ht="30" customHeight="1" x14ac:dyDescent="0.35">
      <c r="A2023" s="241" t="s">
        <v>365</v>
      </c>
      <c r="B2023" s="1082" t="s">
        <v>2994</v>
      </c>
      <c r="C2023" s="1083"/>
      <c r="D2023" s="1093"/>
      <c r="E2023" s="453">
        <f>242-2.64</f>
        <v>239.36</v>
      </c>
      <c r="F2023" s="446" t="s">
        <v>8</v>
      </c>
      <c r="G2023" s="727"/>
      <c r="H2023" s="659"/>
      <c r="I2023" s="446">
        <v>1.01</v>
      </c>
      <c r="J2023" s="665"/>
      <c r="K2023" s="453">
        <f>+E2023*I2023</f>
        <v>241.75360000000001</v>
      </c>
      <c r="L2023" s="243" t="s">
        <v>8</v>
      </c>
      <c r="M2023" s="173"/>
      <c r="O2023" s="218"/>
      <c r="P2023" s="68"/>
      <c r="Q2023" s="217"/>
    </row>
    <row r="2024" spans="1:18" ht="30" customHeight="1" x14ac:dyDescent="0.35">
      <c r="A2024" s="241" t="s">
        <v>365</v>
      </c>
      <c r="B2024" s="1031" t="s">
        <v>1102</v>
      </c>
      <c r="C2024" s="1032"/>
      <c r="D2024" s="1032"/>
      <c r="E2024" s="453">
        <v>37.5</v>
      </c>
      <c r="F2024" s="639" t="s">
        <v>8</v>
      </c>
      <c r="G2024" s="700"/>
      <c r="H2024" s="608"/>
      <c r="I2024" s="446">
        <v>1.01</v>
      </c>
      <c r="J2024" s="665"/>
      <c r="K2024" s="453">
        <f>+E2024*I2024</f>
        <v>37.875</v>
      </c>
      <c r="L2024" s="243" t="s">
        <v>8</v>
      </c>
      <c r="M2024" s="173"/>
      <c r="O2024" s="218"/>
      <c r="P2024" s="68"/>
      <c r="Q2024" s="217"/>
    </row>
    <row r="2025" spans="1:18" ht="30" customHeight="1" x14ac:dyDescent="0.35">
      <c r="A2025" s="241" t="s">
        <v>1103</v>
      </c>
      <c r="B2025" s="1082" t="s">
        <v>2391</v>
      </c>
      <c r="C2025" s="1083"/>
      <c r="D2025" s="1093"/>
      <c r="E2025" s="453">
        <v>117000</v>
      </c>
      <c r="F2025" s="639" t="s">
        <v>10</v>
      </c>
      <c r="G2025" s="700">
        <f>+H2021</f>
        <v>417</v>
      </c>
      <c r="H2025" s="608" t="s">
        <v>1015</v>
      </c>
      <c r="I2025" s="665">
        <v>1.02</v>
      </c>
      <c r="J2025" s="665"/>
      <c r="K2025" s="453">
        <f>+(E2025*1)/G2025*I2025</f>
        <v>286.18705035971226</v>
      </c>
      <c r="L2025" s="243" t="s">
        <v>8</v>
      </c>
      <c r="M2025" s="173"/>
      <c r="N2025" s="425"/>
      <c r="O2025" s="218"/>
      <c r="P2025" s="68"/>
      <c r="Q2025" s="217"/>
    </row>
    <row r="2026" spans="1:18" ht="30" customHeight="1" x14ac:dyDescent="0.35">
      <c r="A2026" s="241" t="s">
        <v>360</v>
      </c>
      <c r="B2026" s="1031" t="s">
        <v>1105</v>
      </c>
      <c r="C2026" s="1032"/>
      <c r="D2026" s="1033"/>
      <c r="E2026" s="453">
        <v>5.52</v>
      </c>
      <c r="F2026" s="639" t="s">
        <v>8</v>
      </c>
      <c r="G2026" s="700"/>
      <c r="H2026" s="608"/>
      <c r="I2026" s="446">
        <v>1.01</v>
      </c>
      <c r="J2026" s="665"/>
      <c r="K2026" s="453">
        <f>+E2026*I2026</f>
        <v>5.5751999999999997</v>
      </c>
      <c r="L2026" s="243" t="s">
        <v>8</v>
      </c>
      <c r="M2026" s="173"/>
      <c r="O2026" s="218"/>
      <c r="P2026" s="68"/>
      <c r="Q2026" s="217"/>
    </row>
    <row r="2027" spans="1:18" ht="30" customHeight="1" x14ac:dyDescent="0.35">
      <c r="A2027" s="241"/>
      <c r="B2027" s="1059"/>
      <c r="C2027" s="1059"/>
      <c r="D2027" s="1059"/>
      <c r="E2027" s="453"/>
      <c r="F2027" s="446"/>
      <c r="G2027" s="519"/>
      <c r="H2027" s="508"/>
      <c r="I2027" s="446"/>
      <c r="J2027" s="446" t="s">
        <v>335</v>
      </c>
      <c r="K2027" s="453">
        <f>SUM(K2023:K2026)</f>
        <v>571.3908503597122</v>
      </c>
      <c r="L2027" s="243" t="s">
        <v>8</v>
      </c>
      <c r="M2027" s="173"/>
      <c r="N2027" s="419"/>
      <c r="O2027" s="171"/>
      <c r="P2027" s="216"/>
      <c r="Q2027" s="419"/>
      <c r="R2027" s="219"/>
    </row>
    <row r="2028" spans="1:18" ht="30" customHeight="1" x14ac:dyDescent="0.35">
      <c r="A2028" s="241"/>
      <c r="B2028" s="1171" t="s">
        <v>2995</v>
      </c>
      <c r="C2028" s="1083"/>
      <c r="D2028" s="1093"/>
      <c r="E2028" s="453"/>
      <c r="F2028" s="1029" t="s">
        <v>302</v>
      </c>
      <c r="G2028" s="1058" t="s">
        <v>303</v>
      </c>
      <c r="H2028" s="1058"/>
      <c r="I2028" s="1058"/>
      <c r="J2028" s="1058"/>
      <c r="K2028" s="665">
        <f>(1.08+1.1)/2</f>
        <v>1.0900000000000001</v>
      </c>
      <c r="L2028" s="243"/>
      <c r="M2028" s="173"/>
      <c r="N2028" s="419"/>
      <c r="O2028" s="171"/>
      <c r="P2028" s="216"/>
      <c r="Q2028" s="419"/>
      <c r="R2028" s="219"/>
    </row>
    <row r="2029" spans="1:18" ht="30" customHeight="1" x14ac:dyDescent="0.35">
      <c r="A2029" s="241"/>
      <c r="B2029" s="506"/>
      <c r="C2029" s="506"/>
      <c r="D2029" s="506"/>
      <c r="E2029" s="453"/>
      <c r="F2029" s="1030"/>
      <c r="G2029" s="1073" t="s">
        <v>2374</v>
      </c>
      <c r="H2029" s="1073"/>
      <c r="I2029" s="1073"/>
      <c r="J2029" s="1073"/>
      <c r="K2029" s="612">
        <v>1.08</v>
      </c>
      <c r="L2029" s="243"/>
      <c r="M2029" s="173"/>
      <c r="O2029" s="218"/>
      <c r="P2029" s="68"/>
      <c r="Q2029" s="217"/>
    </row>
    <row r="2030" spans="1:18" ht="30" customHeight="1" x14ac:dyDescent="0.35">
      <c r="A2030" s="241"/>
      <c r="B2030" s="1163"/>
      <c r="C2030" s="1287"/>
      <c r="D2030" s="1174"/>
      <c r="E2030" s="458"/>
      <c r="F2030" s="458"/>
      <c r="G2030" s="458"/>
      <c r="H2030" s="458"/>
      <c r="I2030" s="458"/>
      <c r="J2030" s="458" t="s">
        <v>2356</v>
      </c>
      <c r="K2030" s="591">
        <f>+K2027*K2028/K2029</f>
        <v>576.68150638156146</v>
      </c>
      <c r="L2030" s="243" t="s">
        <v>8</v>
      </c>
      <c r="M2030" s="173"/>
      <c r="O2030" s="218"/>
      <c r="P2030" s="68"/>
      <c r="Q2030" s="217"/>
    </row>
    <row r="2031" spans="1:18" ht="30" customHeight="1" thickBot="1" x14ac:dyDescent="0.4">
      <c r="A2031" s="241"/>
      <c r="B2031" s="446"/>
      <c r="C2031" s="458"/>
      <c r="D2031" s="458"/>
      <c r="E2031" s="458"/>
      <c r="F2031" s="458"/>
      <c r="G2031" s="592" t="s">
        <v>2358</v>
      </c>
      <c r="H2031" s="458"/>
      <c r="I2031" s="458"/>
      <c r="J2031" s="583">
        <f>VLOOKUP(B2021,'Mil Cost Premiums for PUCs'!$A$4:$R$272,18,FALSE)</f>
        <v>1.3319480854780448</v>
      </c>
      <c r="K2031" s="591">
        <f>+K2030*J2031</f>
        <v>768.10982835551567</v>
      </c>
      <c r="L2031" s="243" t="s">
        <v>8</v>
      </c>
      <c r="M2031" s="173"/>
      <c r="N2031" s="68"/>
      <c r="O2031" s="203"/>
      <c r="P2031" s="218"/>
      <c r="Q2031" s="68"/>
      <c r="R2031" s="217"/>
    </row>
    <row r="2032" spans="1:18" ht="30" customHeight="1" thickBot="1" x14ac:dyDescent="0.4">
      <c r="A2032" s="1086"/>
      <c r="B2032" s="1087"/>
      <c r="C2032" s="1087"/>
      <c r="D2032" s="1087"/>
      <c r="E2032" s="1087"/>
      <c r="F2032" s="1087"/>
      <c r="G2032" s="1087"/>
      <c r="H2032" s="1087"/>
      <c r="I2032" s="1087"/>
      <c r="J2032" s="1087"/>
      <c r="K2032" s="1087"/>
      <c r="L2032" s="1088"/>
      <c r="M2032" s="173"/>
      <c r="N2032" s="68"/>
      <c r="O2032" s="203"/>
      <c r="P2032" s="218"/>
      <c r="Q2032" s="68"/>
      <c r="R2032" s="217"/>
    </row>
    <row r="2033" spans="1:24" ht="30" customHeight="1" x14ac:dyDescent="0.35">
      <c r="A2033" s="465" t="s">
        <v>278</v>
      </c>
      <c r="B2033" s="539">
        <v>3111</v>
      </c>
      <c r="C2033" s="1060" t="s">
        <v>1106</v>
      </c>
      <c r="D2033" s="1061"/>
      <c r="E2033" s="541" t="s">
        <v>280</v>
      </c>
      <c r="F2033" s="542" t="s">
        <v>8</v>
      </c>
      <c r="G2033" s="543" t="s">
        <v>285</v>
      </c>
      <c r="H2033" s="569">
        <v>20473</v>
      </c>
      <c r="I2033" s="541" t="s">
        <v>281</v>
      </c>
      <c r="J2033" s="1019" t="s">
        <v>1107</v>
      </c>
      <c r="K2033" s="1019"/>
      <c r="L2033" s="1020"/>
      <c r="M2033" s="173"/>
      <c r="N2033" s="68"/>
      <c r="O2033" s="203"/>
      <c r="P2033" s="218"/>
      <c r="Q2033" s="68"/>
      <c r="R2033" s="217"/>
    </row>
    <row r="2034" spans="1:24" ht="30" customHeight="1" x14ac:dyDescent="0.35">
      <c r="A2034" s="545" t="s">
        <v>288</v>
      </c>
      <c r="B2034" s="1051" t="s">
        <v>282</v>
      </c>
      <c r="C2034" s="1051"/>
      <c r="D2034" s="1051"/>
      <c r="E2034" s="561" t="s">
        <v>290</v>
      </c>
      <c r="F2034" s="509" t="s">
        <v>289</v>
      </c>
      <c r="G2034" s="1094" t="s">
        <v>2</v>
      </c>
      <c r="H2034" s="1095"/>
      <c r="I2034" s="1052" t="s">
        <v>405</v>
      </c>
      <c r="J2034" s="1053"/>
      <c r="K2034" s="1012" t="s">
        <v>292</v>
      </c>
      <c r="L2034" s="1013"/>
      <c r="M2034" s="173"/>
      <c r="N2034" s="68"/>
      <c r="O2034" s="203"/>
      <c r="P2034" s="218"/>
      <c r="Q2034" s="68"/>
      <c r="R2034" s="217"/>
    </row>
    <row r="2035" spans="1:24" ht="30" customHeight="1" x14ac:dyDescent="0.35">
      <c r="A2035" s="241">
        <v>31010</v>
      </c>
      <c r="B2035" s="1031" t="s">
        <v>1108</v>
      </c>
      <c r="C2035" s="1032"/>
      <c r="D2035" s="1033"/>
      <c r="E2035" s="453">
        <v>247</v>
      </c>
      <c r="F2035" s="694">
        <v>9000</v>
      </c>
      <c r="G2035" s="462" t="s">
        <v>8</v>
      </c>
      <c r="H2035" s="462"/>
      <c r="I2035" s="1091">
        <f>+'2021 MILCON Inflation Table'!F8</f>
        <v>1.3794561933534744</v>
      </c>
      <c r="J2035" s="1092"/>
      <c r="K2035" s="463">
        <f>+E2035*I2035</f>
        <v>340.72567975830816</v>
      </c>
      <c r="L2035" s="564" t="s">
        <v>8</v>
      </c>
      <c r="M2035" s="173"/>
      <c r="N2035" s="68"/>
      <c r="O2035" s="203"/>
      <c r="P2035" s="218"/>
      <c r="Q2035" s="68"/>
      <c r="R2035" s="217"/>
    </row>
    <row r="2036" spans="1:24" ht="30" customHeight="1" x14ac:dyDescent="0.35">
      <c r="A2036" s="241">
        <v>21110</v>
      </c>
      <c r="B2036" s="1082" t="s">
        <v>2996</v>
      </c>
      <c r="C2036" s="1083"/>
      <c r="D2036" s="1093"/>
      <c r="E2036" s="453">
        <v>381</v>
      </c>
      <c r="F2036" s="694">
        <v>100000</v>
      </c>
      <c r="G2036" s="462" t="s">
        <v>8</v>
      </c>
      <c r="H2036" s="462"/>
      <c r="I2036" s="1091">
        <f>+'2021 MILCON Inflation Table'!F20</f>
        <v>0.9432470865927236</v>
      </c>
      <c r="J2036" s="1092"/>
      <c r="K2036" s="444">
        <f>+E2036*I2036</f>
        <v>359.37713999182768</v>
      </c>
      <c r="L2036" s="564" t="s">
        <v>8</v>
      </c>
      <c r="M2036" s="173"/>
      <c r="N2036" s="68"/>
      <c r="O2036" s="203"/>
      <c r="P2036" s="218"/>
      <c r="Q2036" s="68"/>
      <c r="R2036" s="217"/>
    </row>
    <row r="2037" spans="1:24" ht="30" customHeight="1" x14ac:dyDescent="0.35">
      <c r="A2037" s="241">
        <v>21120</v>
      </c>
      <c r="B2037" s="1082" t="s">
        <v>1109</v>
      </c>
      <c r="C2037" s="1083"/>
      <c r="D2037" s="1093"/>
      <c r="E2037" s="453">
        <v>267.67</v>
      </c>
      <c r="F2037" s="694">
        <v>32000</v>
      </c>
      <c r="G2037" s="462" t="s">
        <v>8</v>
      </c>
      <c r="H2037" s="462"/>
      <c r="I2037" s="1044">
        <f>+'2021 MILCON Inflation Table'!F13</f>
        <v>1.1643998639918394</v>
      </c>
      <c r="J2037" s="1045"/>
      <c r="K2037" s="463">
        <f>+E2037*I2037</f>
        <v>311.67491159469569</v>
      </c>
      <c r="L2037" s="564" t="s">
        <v>8</v>
      </c>
      <c r="M2037" s="173"/>
      <c r="N2037" s="68"/>
      <c r="O2037" s="203"/>
      <c r="P2037" s="218"/>
      <c r="Q2037" s="68"/>
      <c r="R2037" s="217"/>
    </row>
    <row r="2038" spans="1:24" ht="30" customHeight="1" x14ac:dyDescent="0.35">
      <c r="A2038" s="241">
        <v>21140</v>
      </c>
      <c r="B2038" s="1082" t="s">
        <v>1110</v>
      </c>
      <c r="C2038" s="1083"/>
      <c r="D2038" s="1093"/>
      <c r="E2038" s="453">
        <v>229</v>
      </c>
      <c r="F2038" s="694">
        <v>26000</v>
      </c>
      <c r="G2038" s="462" t="s">
        <v>8</v>
      </c>
      <c r="H2038" s="462"/>
      <c r="I2038" s="1091">
        <f>+'2021 MILCON Inflation Table'!F10</f>
        <v>1.3093098833874974</v>
      </c>
      <c r="J2038" s="1092"/>
      <c r="K2038" s="463">
        <f>+E2038*I2038</f>
        <v>299.8319632957369</v>
      </c>
      <c r="L2038" s="564" t="s">
        <v>8</v>
      </c>
      <c r="M2038" s="173"/>
      <c r="N2038" s="68"/>
      <c r="O2038" s="203"/>
      <c r="P2038" s="218"/>
      <c r="Q2038" s="68"/>
      <c r="R2038" s="217"/>
    </row>
    <row r="2039" spans="1:24" ht="30" customHeight="1" x14ac:dyDescent="0.35">
      <c r="A2039" s="241"/>
      <c r="B2039" s="485"/>
      <c r="C2039" s="610"/>
      <c r="D2039" s="608"/>
      <c r="E2039" s="667"/>
      <c r="F2039" s="724"/>
      <c r="G2039" s="725"/>
      <c r="H2039" s="726"/>
      <c r="I2039" s="783"/>
      <c r="J2039" s="784" t="s">
        <v>304</v>
      </c>
      <c r="K2039" s="463">
        <f>AVERAGE(K2035:K2038)</f>
        <v>327.90242366014212</v>
      </c>
      <c r="L2039" s="564" t="s">
        <v>8</v>
      </c>
      <c r="M2039" s="173"/>
      <c r="N2039" s="68"/>
      <c r="O2039" s="203"/>
      <c r="P2039" s="218"/>
      <c r="Q2039" s="68"/>
      <c r="R2039" s="217"/>
    </row>
    <row r="2040" spans="1:24" ht="30" customHeight="1" thickBot="1" x14ac:dyDescent="0.4">
      <c r="A2040" s="241"/>
      <c r="B2040" s="1031"/>
      <c r="C2040" s="1032"/>
      <c r="D2040" s="1033"/>
      <c r="E2040" s="553"/>
      <c r="F2040" s="706"/>
      <c r="G2040" s="553"/>
      <c r="H2040" s="707"/>
      <c r="I2040" s="458"/>
      <c r="J2040" s="510" t="s">
        <v>2356</v>
      </c>
      <c r="K2040" s="459">
        <f>+K2039</f>
        <v>327.90242366014212</v>
      </c>
      <c r="L2040" s="564" t="s">
        <v>8</v>
      </c>
      <c r="M2040" s="173"/>
      <c r="N2040" s="68"/>
      <c r="O2040" s="203"/>
      <c r="P2040" s="218"/>
      <c r="Q2040" s="68"/>
      <c r="R2040" s="217"/>
    </row>
    <row r="2041" spans="1:24" ht="30" customHeight="1" thickBot="1" x14ac:dyDescent="0.4">
      <c r="A2041" s="1086"/>
      <c r="B2041" s="1087"/>
      <c r="C2041" s="1087"/>
      <c r="D2041" s="1087"/>
      <c r="E2041" s="1087"/>
      <c r="F2041" s="1087"/>
      <c r="G2041" s="1087"/>
      <c r="H2041" s="1087"/>
      <c r="I2041" s="1087"/>
      <c r="J2041" s="1087"/>
      <c r="K2041" s="1087"/>
      <c r="L2041" s="1088"/>
      <c r="M2041" s="173"/>
      <c r="N2041" s="419"/>
      <c r="O2041" s="203"/>
      <c r="P2041" s="218"/>
      <c r="Q2041" s="68"/>
      <c r="R2041" s="217"/>
      <c r="T2041" s="208"/>
      <c r="U2041" s="208"/>
      <c r="V2041" s="208"/>
      <c r="W2041" s="208"/>
      <c r="X2041" s="208"/>
    </row>
    <row r="2042" spans="1:24" s="208" customFormat="1" ht="30" customHeight="1" x14ac:dyDescent="0.35">
      <c r="A2042" s="465" t="s">
        <v>278</v>
      </c>
      <c r="B2042" s="539">
        <v>3121</v>
      </c>
      <c r="C2042" s="1060" t="s">
        <v>1111</v>
      </c>
      <c r="D2042" s="1061"/>
      <c r="E2042" s="541" t="s">
        <v>280</v>
      </c>
      <c r="F2042" s="542" t="s">
        <v>8</v>
      </c>
      <c r="G2042" s="543" t="s">
        <v>285</v>
      </c>
      <c r="H2042" s="569">
        <v>12019</v>
      </c>
      <c r="I2042" s="541" t="s">
        <v>281</v>
      </c>
      <c r="J2042" s="1019" t="s">
        <v>1107</v>
      </c>
      <c r="K2042" s="1019"/>
      <c r="L2042" s="1020"/>
      <c r="M2042" s="173"/>
      <c r="N2042" s="203"/>
      <c r="O2042" s="218"/>
      <c r="P2042" s="68"/>
      <c r="Q2042" s="217"/>
      <c r="R2042" s="203"/>
      <c r="S2042" s="203"/>
      <c r="T2042" s="203"/>
      <c r="U2042" s="203"/>
      <c r="V2042" s="203"/>
      <c r="W2042" s="203"/>
      <c r="X2042" s="203"/>
    </row>
    <row r="2043" spans="1:24" ht="30" customHeight="1" x14ac:dyDescent="0.35">
      <c r="A2043" s="545" t="s">
        <v>288</v>
      </c>
      <c r="B2043" s="1051" t="s">
        <v>282</v>
      </c>
      <c r="C2043" s="1051"/>
      <c r="D2043" s="1051"/>
      <c r="E2043" s="561" t="s">
        <v>290</v>
      </c>
      <c r="F2043" s="509" t="s">
        <v>289</v>
      </c>
      <c r="G2043" s="1094" t="s">
        <v>2</v>
      </c>
      <c r="H2043" s="1095"/>
      <c r="I2043" s="1052" t="s">
        <v>405</v>
      </c>
      <c r="J2043" s="1053"/>
      <c r="K2043" s="1012" t="s">
        <v>292</v>
      </c>
      <c r="L2043" s="1013"/>
      <c r="M2043" s="173"/>
      <c r="N2043" s="208"/>
      <c r="O2043" s="218"/>
      <c r="P2043" s="68"/>
      <c r="Q2043" s="217"/>
      <c r="R2043" s="208"/>
      <c r="S2043" s="208"/>
    </row>
    <row r="2044" spans="1:24" ht="30" customHeight="1" x14ac:dyDescent="0.35">
      <c r="A2044" s="241">
        <v>31010</v>
      </c>
      <c r="B2044" s="1031" t="s">
        <v>1108</v>
      </c>
      <c r="C2044" s="1032"/>
      <c r="D2044" s="1033"/>
      <c r="E2044" s="453">
        <v>247</v>
      </c>
      <c r="F2044" s="694">
        <v>9000</v>
      </c>
      <c r="G2044" s="462" t="s">
        <v>8</v>
      </c>
      <c r="H2044" s="462"/>
      <c r="I2044" s="1091">
        <f>+'2021 MILCON Inflation Table'!F8</f>
        <v>1.3794561933534744</v>
      </c>
      <c r="J2044" s="1092"/>
      <c r="K2044" s="444">
        <f>+E2044*I2044</f>
        <v>340.72567975830816</v>
      </c>
      <c r="L2044" s="564" t="s">
        <v>8</v>
      </c>
      <c r="M2044" s="363"/>
      <c r="O2044" s="218"/>
      <c r="P2044" s="68"/>
      <c r="Q2044" s="217"/>
    </row>
    <row r="2045" spans="1:24" ht="30" customHeight="1" x14ac:dyDescent="0.35">
      <c r="A2045" s="241">
        <v>21110</v>
      </c>
      <c r="B2045" s="1082" t="s">
        <v>2996</v>
      </c>
      <c r="C2045" s="1083"/>
      <c r="D2045" s="1093"/>
      <c r="E2045" s="453">
        <v>381</v>
      </c>
      <c r="F2045" s="694">
        <v>100000</v>
      </c>
      <c r="G2045" s="462" t="s">
        <v>8</v>
      </c>
      <c r="H2045" s="462"/>
      <c r="I2045" s="1091">
        <f>+'2021 MILCON Inflation Table'!F20</f>
        <v>0.9432470865927236</v>
      </c>
      <c r="J2045" s="1092"/>
      <c r="K2045" s="444">
        <f>+E2045*I2045</f>
        <v>359.37713999182768</v>
      </c>
      <c r="L2045" s="564" t="s">
        <v>8</v>
      </c>
      <c r="M2045" s="173"/>
      <c r="O2045" s="218"/>
      <c r="P2045" s="68"/>
      <c r="Q2045" s="217"/>
    </row>
    <row r="2046" spans="1:24" ht="30" customHeight="1" x14ac:dyDescent="0.35">
      <c r="A2046" s="241">
        <v>21120</v>
      </c>
      <c r="B2046" s="1082" t="s">
        <v>1109</v>
      </c>
      <c r="C2046" s="1083"/>
      <c r="D2046" s="1093"/>
      <c r="E2046" s="453">
        <v>267.67</v>
      </c>
      <c r="F2046" s="694">
        <v>32000</v>
      </c>
      <c r="G2046" s="462" t="s">
        <v>8</v>
      </c>
      <c r="H2046" s="462"/>
      <c r="I2046" s="1044">
        <f>+'2021 MILCON Inflation Table'!F13</f>
        <v>1.1643998639918394</v>
      </c>
      <c r="J2046" s="1045"/>
      <c r="K2046" s="444">
        <f>+E2046*I2046</f>
        <v>311.67491159469569</v>
      </c>
      <c r="L2046" s="564" t="s">
        <v>8</v>
      </c>
      <c r="M2046" s="173"/>
      <c r="O2046" s="218"/>
      <c r="P2046" s="68"/>
      <c r="Q2046" s="217"/>
    </row>
    <row r="2047" spans="1:24" ht="30" customHeight="1" x14ac:dyDescent="0.35">
      <c r="A2047" s="241">
        <v>21210</v>
      </c>
      <c r="B2047" s="1082" t="s">
        <v>1112</v>
      </c>
      <c r="C2047" s="1083"/>
      <c r="D2047" s="1093"/>
      <c r="E2047" s="453">
        <v>208</v>
      </c>
      <c r="F2047" s="694">
        <v>10300</v>
      </c>
      <c r="G2047" s="462" t="s">
        <v>8</v>
      </c>
      <c r="H2047" s="462"/>
      <c r="I2047" s="1091">
        <f>+'2021 MILCON Inflation Table'!F8</f>
        <v>1.3794561933534744</v>
      </c>
      <c r="J2047" s="1092"/>
      <c r="K2047" s="444">
        <f>+E2047*I2047</f>
        <v>286.92688821752267</v>
      </c>
      <c r="L2047" s="564" t="s">
        <v>8</v>
      </c>
      <c r="M2047" s="173"/>
      <c r="O2047" s="218"/>
      <c r="P2047" s="68"/>
      <c r="Q2047" s="217"/>
    </row>
    <row r="2048" spans="1:24" ht="30" customHeight="1" x14ac:dyDescent="0.35">
      <c r="A2048" s="241"/>
      <c r="B2048" s="485"/>
      <c r="C2048" s="610"/>
      <c r="D2048" s="608"/>
      <c r="E2048" s="667"/>
      <c r="F2048" s="724"/>
      <c r="G2048" s="725"/>
      <c r="H2048" s="726"/>
      <c r="I2048" s="783"/>
      <c r="J2048" s="784" t="s">
        <v>304</v>
      </c>
      <c r="K2048" s="444">
        <f>AVERAGE(K2044:K2047)</f>
        <v>324.67615489058858</v>
      </c>
      <c r="L2048" s="564" t="s">
        <v>8</v>
      </c>
      <c r="M2048" s="173"/>
      <c r="O2048" s="218"/>
      <c r="P2048" s="68"/>
      <c r="Q2048" s="217"/>
    </row>
    <row r="2049" spans="1:24" ht="30" customHeight="1" thickBot="1" x14ac:dyDescent="0.4">
      <c r="A2049" s="241"/>
      <c r="B2049" s="1031"/>
      <c r="C2049" s="1032"/>
      <c r="D2049" s="1033"/>
      <c r="E2049" s="553"/>
      <c r="F2049" s="706"/>
      <c r="G2049" s="553"/>
      <c r="H2049" s="707"/>
      <c r="I2049" s="458"/>
      <c r="J2049" s="510" t="s">
        <v>2356</v>
      </c>
      <c r="K2049" s="585">
        <f>AVERAGE(K2044:K2047)</f>
        <v>324.67615489058858</v>
      </c>
      <c r="L2049" s="564" t="s">
        <v>8</v>
      </c>
      <c r="M2049" s="173"/>
      <c r="O2049" s="218"/>
      <c r="P2049" s="68"/>
      <c r="Q2049" s="217"/>
    </row>
    <row r="2050" spans="1:24" ht="30" customHeight="1" thickBot="1" x14ac:dyDescent="0.4">
      <c r="A2050" s="1086"/>
      <c r="B2050" s="1087"/>
      <c r="C2050" s="1087"/>
      <c r="D2050" s="1087"/>
      <c r="E2050" s="1087"/>
      <c r="F2050" s="1087"/>
      <c r="G2050" s="1087"/>
      <c r="H2050" s="1087"/>
      <c r="I2050" s="1087"/>
      <c r="J2050" s="1087"/>
      <c r="K2050" s="1087"/>
      <c r="L2050" s="1088"/>
      <c r="M2050" s="173"/>
      <c r="O2050" s="218"/>
      <c r="P2050" s="68"/>
      <c r="Q2050" s="217"/>
    </row>
    <row r="2051" spans="1:24" ht="30" customHeight="1" x14ac:dyDescent="0.35">
      <c r="A2051" s="465" t="s">
        <v>278</v>
      </c>
      <c r="B2051" s="539">
        <v>3131</v>
      </c>
      <c r="C2051" s="1054" t="s">
        <v>1113</v>
      </c>
      <c r="D2051" s="1054"/>
      <c r="E2051" s="541" t="s">
        <v>280</v>
      </c>
      <c r="F2051" s="542" t="s">
        <v>8</v>
      </c>
      <c r="G2051" s="543" t="s">
        <v>285</v>
      </c>
      <c r="H2051" s="756">
        <v>23353</v>
      </c>
      <c r="I2051" s="541" t="s">
        <v>281</v>
      </c>
      <c r="J2051" s="1019" t="s">
        <v>2371</v>
      </c>
      <c r="K2051" s="1019"/>
      <c r="L2051" s="1020"/>
      <c r="M2051" s="173"/>
      <c r="O2051" s="218"/>
      <c r="P2051" s="68"/>
      <c r="Q2051" s="217"/>
    </row>
    <row r="2052" spans="1:24" ht="30" customHeight="1" x14ac:dyDescent="0.35">
      <c r="A2052" s="588" t="s">
        <v>298</v>
      </c>
      <c r="B2052" s="1038" t="s">
        <v>321</v>
      </c>
      <c r="C2052" s="1039"/>
      <c r="D2052" s="1040"/>
      <c r="E2052" s="23" t="s">
        <v>290</v>
      </c>
      <c r="F2052" s="23" t="s">
        <v>322</v>
      </c>
      <c r="G2052" s="1012" t="s">
        <v>323</v>
      </c>
      <c r="H2052" s="1179"/>
      <c r="I2052" s="500" t="s">
        <v>928</v>
      </c>
      <c r="J2052" s="509" t="s">
        <v>299</v>
      </c>
      <c r="K2052" s="1012" t="s">
        <v>292</v>
      </c>
      <c r="L2052" s="1013"/>
      <c r="M2052" s="173"/>
      <c r="O2052" s="218"/>
      <c r="P2052" s="68"/>
      <c r="Q2052" s="217"/>
    </row>
    <row r="2053" spans="1:24" ht="30" customHeight="1" x14ac:dyDescent="0.35">
      <c r="A2053" s="241" t="s">
        <v>903</v>
      </c>
      <c r="B2053" s="1082" t="s">
        <v>1114</v>
      </c>
      <c r="C2053" s="1083"/>
      <c r="D2053" s="1093"/>
      <c r="E2053" s="453">
        <v>97.5</v>
      </c>
      <c r="F2053" s="446" t="s">
        <v>8</v>
      </c>
      <c r="G2053" s="53"/>
      <c r="H2053" s="498"/>
      <c r="I2053" s="258">
        <f>+E2053</f>
        <v>97.5</v>
      </c>
      <c r="J2053" s="446">
        <v>1.01</v>
      </c>
      <c r="K2053" s="453">
        <f>+I2053*J2053</f>
        <v>98.474999999999994</v>
      </c>
      <c r="L2053" s="243" t="s">
        <v>8</v>
      </c>
      <c r="M2053" s="173"/>
      <c r="O2053" s="218"/>
      <c r="P2053" s="68"/>
      <c r="Q2053" s="217"/>
    </row>
    <row r="2054" spans="1:24" ht="30" customHeight="1" x14ac:dyDescent="0.35">
      <c r="A2054" s="241" t="s">
        <v>360</v>
      </c>
      <c r="B2054" s="1082" t="s">
        <v>961</v>
      </c>
      <c r="C2054" s="1083"/>
      <c r="D2054" s="1093"/>
      <c r="E2054" s="51">
        <v>3.61</v>
      </c>
      <c r="F2054" s="446" t="s">
        <v>8</v>
      </c>
      <c r="G2054" s="700"/>
      <c r="H2054" s="608"/>
      <c r="I2054" s="750">
        <f>+E2054</f>
        <v>3.61</v>
      </c>
      <c r="J2054" s="446">
        <v>1.01</v>
      </c>
      <c r="K2054" s="453">
        <f t="shared" ref="K2054:K2063" si="57">+I2054*J2054</f>
        <v>3.6461000000000001</v>
      </c>
      <c r="L2054" s="243" t="s">
        <v>8</v>
      </c>
      <c r="M2054" s="173"/>
      <c r="O2054" s="218"/>
      <c r="P2054" s="68"/>
      <c r="Q2054" s="217"/>
    </row>
    <row r="2055" spans="1:24" ht="30" customHeight="1" x14ac:dyDescent="0.35">
      <c r="A2055" s="241" t="s">
        <v>436</v>
      </c>
      <c r="B2055" s="1082" t="s">
        <v>2392</v>
      </c>
      <c r="C2055" s="1083"/>
      <c r="D2055" s="1093"/>
      <c r="E2055" s="453">
        <v>177000</v>
      </c>
      <c r="F2055" s="639" t="s">
        <v>10</v>
      </c>
      <c r="G2055" s="748">
        <f>+(E2055*2)/H2051</f>
        <v>15.158651993319916</v>
      </c>
      <c r="H2055" s="608" t="s">
        <v>932</v>
      </c>
      <c r="I2055" s="750">
        <f>+E2055*2/H2051</f>
        <v>15.158651993319916</v>
      </c>
      <c r="J2055" s="446">
        <v>1.02</v>
      </c>
      <c r="K2055" s="453">
        <f t="shared" si="57"/>
        <v>15.461825033186315</v>
      </c>
      <c r="L2055" s="243" t="s">
        <v>8</v>
      </c>
      <c r="M2055" s="173"/>
      <c r="N2055" s="419"/>
      <c r="O2055" s="171"/>
      <c r="P2055" s="216"/>
      <c r="Q2055" s="419"/>
      <c r="R2055" s="219"/>
    </row>
    <row r="2056" spans="1:24" ht="30" customHeight="1" x14ac:dyDescent="0.35">
      <c r="A2056" s="241" t="s">
        <v>436</v>
      </c>
      <c r="B2056" s="1082" t="s">
        <v>2998</v>
      </c>
      <c r="C2056" s="1083"/>
      <c r="D2056" s="1093"/>
      <c r="E2056" s="453">
        <f>+(244+267)/2</f>
        <v>255.5</v>
      </c>
      <c r="F2056" s="639" t="s">
        <v>6</v>
      </c>
      <c r="G2056" s="748">
        <f>400/H2051</f>
        <v>1.7128420331434933E-2</v>
      </c>
      <c r="H2056" s="608" t="s">
        <v>932</v>
      </c>
      <c r="I2056" s="750">
        <f>+E2056*G2056</f>
        <v>4.3763113946816254</v>
      </c>
      <c r="J2056" s="446">
        <v>1.02</v>
      </c>
      <c r="K2056" s="453">
        <f t="shared" si="57"/>
        <v>4.4638376225752578</v>
      </c>
      <c r="L2056" s="243" t="s">
        <v>8</v>
      </c>
      <c r="M2056" s="173"/>
      <c r="N2056" s="419"/>
      <c r="O2056" s="171"/>
      <c r="P2056" s="216"/>
      <c r="Q2056" s="419"/>
      <c r="R2056" s="219"/>
    </row>
    <row r="2057" spans="1:24" ht="30" customHeight="1" x14ac:dyDescent="0.35">
      <c r="A2057" s="241" t="s">
        <v>436</v>
      </c>
      <c r="B2057" s="1082" t="s">
        <v>1071</v>
      </c>
      <c r="C2057" s="1083"/>
      <c r="D2057" s="1093"/>
      <c r="E2057" s="453">
        <f>+(23.75+47.75)/2</f>
        <v>35.75</v>
      </c>
      <c r="F2057" s="639" t="s">
        <v>6</v>
      </c>
      <c r="G2057" s="748">
        <f>344/H2051</f>
        <v>1.4730441485034043E-2</v>
      </c>
      <c r="H2057" s="608" t="s">
        <v>932</v>
      </c>
      <c r="I2057" s="750">
        <f>+E2057*G2057</f>
        <v>0.52661328308996702</v>
      </c>
      <c r="J2057" s="446">
        <v>1.02</v>
      </c>
      <c r="K2057" s="453">
        <f t="shared" si="57"/>
        <v>0.53714554875176634</v>
      </c>
      <c r="L2057" s="243" t="s">
        <v>8</v>
      </c>
      <c r="M2057" s="173"/>
      <c r="O2057" s="218"/>
      <c r="P2057" s="68"/>
      <c r="Q2057" s="217"/>
    </row>
    <row r="2058" spans="1:24" ht="30" customHeight="1" x14ac:dyDescent="0.35">
      <c r="A2058" s="241" t="s">
        <v>377</v>
      </c>
      <c r="B2058" s="1082" t="s">
        <v>2224</v>
      </c>
      <c r="C2058" s="1083"/>
      <c r="D2058" s="1093"/>
      <c r="E2058" s="453">
        <f>(20.3+31.5)/2</f>
        <v>25.9</v>
      </c>
      <c r="F2058" s="639" t="s">
        <v>378</v>
      </c>
      <c r="G2058" s="643">
        <f>3*81*E2058/H2051</f>
        <v>0.26950284759988008</v>
      </c>
      <c r="H2058" s="608" t="s">
        <v>932</v>
      </c>
      <c r="I2058" s="750">
        <f>+G2058</f>
        <v>0.26950284759988008</v>
      </c>
      <c r="J2058" s="446">
        <v>1.03</v>
      </c>
      <c r="K2058" s="453">
        <f t="shared" si="57"/>
        <v>0.27758793302787649</v>
      </c>
      <c r="L2058" s="243" t="s">
        <v>8</v>
      </c>
      <c r="M2058" s="173"/>
      <c r="O2058" s="218"/>
      <c r="P2058" s="68"/>
      <c r="Q2058" s="217"/>
    </row>
    <row r="2059" spans="1:24" ht="30" customHeight="1" x14ac:dyDescent="0.35">
      <c r="A2059" s="241" t="s">
        <v>377</v>
      </c>
      <c r="B2059" s="1082" t="s">
        <v>2225</v>
      </c>
      <c r="C2059" s="1083"/>
      <c r="D2059" s="1093"/>
      <c r="E2059" s="453">
        <f>(1710+2420)/2</f>
        <v>2065</v>
      </c>
      <c r="F2059" s="639" t="s">
        <v>10</v>
      </c>
      <c r="G2059" s="643">
        <f>3*E2059/H2051</f>
        <v>0.26527640988309853</v>
      </c>
      <c r="H2059" s="608" t="s">
        <v>932</v>
      </c>
      <c r="I2059" s="750">
        <f>+G2059</f>
        <v>0.26527640988309853</v>
      </c>
      <c r="J2059" s="446">
        <v>1.03</v>
      </c>
      <c r="K2059" s="453">
        <f t="shared" si="57"/>
        <v>0.2732347021795915</v>
      </c>
      <c r="L2059" s="243" t="s">
        <v>8</v>
      </c>
      <c r="M2059" s="173"/>
      <c r="N2059" s="419"/>
      <c r="O2059" s="203"/>
      <c r="P2059" s="218"/>
      <c r="Q2059" s="68"/>
      <c r="R2059" s="217"/>
      <c r="T2059" s="208"/>
      <c r="U2059" s="208"/>
      <c r="V2059" s="208"/>
      <c r="W2059" s="208"/>
      <c r="X2059" s="208"/>
    </row>
    <row r="2060" spans="1:24" s="208" customFormat="1" ht="30" customHeight="1" x14ac:dyDescent="0.35">
      <c r="A2060" s="241" t="s">
        <v>380</v>
      </c>
      <c r="B2060" s="1082" t="s">
        <v>1116</v>
      </c>
      <c r="C2060" s="1083"/>
      <c r="D2060" s="1093"/>
      <c r="E2060" s="453">
        <f>+(34.5+782)</f>
        <v>816.5</v>
      </c>
      <c r="F2060" s="639" t="s">
        <v>6</v>
      </c>
      <c r="G2060" s="700">
        <v>30</v>
      </c>
      <c r="H2060" s="608" t="s">
        <v>1058</v>
      </c>
      <c r="I2060" s="750">
        <f>+E2060*G2060/H2051</f>
        <v>1.0489016400462468</v>
      </c>
      <c r="J2060" s="446">
        <v>1.03</v>
      </c>
      <c r="K2060" s="453">
        <f t="shared" si="57"/>
        <v>1.0803686892476341</v>
      </c>
      <c r="L2060" s="243" t="s">
        <v>8</v>
      </c>
      <c r="M2060" s="173"/>
      <c r="N2060" s="203"/>
      <c r="O2060" s="218"/>
      <c r="P2060" s="68"/>
      <c r="Q2060" s="217"/>
      <c r="R2060" s="203"/>
      <c r="S2060" s="203"/>
      <c r="T2060" s="203"/>
      <c r="U2060" s="203"/>
      <c r="V2060" s="203"/>
      <c r="W2060" s="203"/>
      <c r="X2060" s="203"/>
    </row>
    <row r="2061" spans="1:24" ht="30" customHeight="1" x14ac:dyDescent="0.35">
      <c r="A2061" s="241" t="s">
        <v>380</v>
      </c>
      <c r="B2061" s="1082" t="s">
        <v>1117</v>
      </c>
      <c r="C2061" s="1083"/>
      <c r="D2061" s="1093"/>
      <c r="E2061" s="453">
        <f>+(6450+12300)/2</f>
        <v>9375</v>
      </c>
      <c r="F2061" s="639" t="s">
        <v>10</v>
      </c>
      <c r="G2061" s="700">
        <v>3</v>
      </c>
      <c r="H2061" s="608" t="s">
        <v>932</v>
      </c>
      <c r="I2061" s="750">
        <f>+E2061*3/H2051</f>
        <v>1.2043420545540187</v>
      </c>
      <c r="J2061" s="446">
        <v>1.03</v>
      </c>
      <c r="K2061" s="453">
        <f t="shared" si="57"/>
        <v>1.2404723161906392</v>
      </c>
      <c r="L2061" s="243" t="s">
        <v>8</v>
      </c>
      <c r="M2061" s="173"/>
      <c r="N2061" s="208"/>
      <c r="O2061" s="218"/>
      <c r="P2061" s="68"/>
      <c r="Q2061" s="217"/>
      <c r="R2061" s="208"/>
      <c r="S2061" s="208"/>
    </row>
    <row r="2062" spans="1:24" ht="30" customHeight="1" x14ac:dyDescent="0.35">
      <c r="A2062" s="241" t="s">
        <v>380</v>
      </c>
      <c r="B2062" s="1082" t="s">
        <v>2227</v>
      </c>
      <c r="C2062" s="1083"/>
      <c r="D2062" s="1093"/>
      <c r="E2062" s="51">
        <f>+(660+1010)/2</f>
        <v>835</v>
      </c>
      <c r="F2062" s="639" t="s">
        <v>10</v>
      </c>
      <c r="G2062" s="700">
        <v>3</v>
      </c>
      <c r="H2062" s="608" t="s">
        <v>932</v>
      </c>
      <c r="I2062" s="750">
        <f>+E2062*3/H2051</f>
        <v>0.10726673232561126</v>
      </c>
      <c r="J2062" s="446">
        <v>1.03</v>
      </c>
      <c r="K2062" s="453">
        <f t="shared" si="57"/>
        <v>0.11048473429537961</v>
      </c>
      <c r="L2062" s="243" t="s">
        <v>8</v>
      </c>
      <c r="M2062" s="173"/>
      <c r="O2062" s="218"/>
      <c r="P2062" s="68"/>
      <c r="Q2062" s="217"/>
    </row>
    <row r="2063" spans="1:24" ht="30" customHeight="1" x14ac:dyDescent="0.35">
      <c r="A2063" s="241" t="s">
        <v>380</v>
      </c>
      <c r="B2063" s="1082" t="s">
        <v>1118</v>
      </c>
      <c r="C2063" s="1083"/>
      <c r="D2063" s="1093"/>
      <c r="E2063" s="453">
        <f>+(1160+3475)/2</f>
        <v>2317.5</v>
      </c>
      <c r="F2063" s="639" t="s">
        <v>10</v>
      </c>
      <c r="G2063" s="700">
        <v>3</v>
      </c>
      <c r="H2063" s="608" t="s">
        <v>932</v>
      </c>
      <c r="I2063" s="750">
        <f>+E2063*3/H2051</f>
        <v>0.29771335588575343</v>
      </c>
      <c r="J2063" s="446">
        <v>1.03</v>
      </c>
      <c r="K2063" s="453">
        <f t="shared" si="57"/>
        <v>0.30664475656232604</v>
      </c>
      <c r="L2063" s="243" t="s">
        <v>8</v>
      </c>
      <c r="M2063" s="173"/>
      <c r="O2063" s="218"/>
      <c r="P2063" s="68"/>
      <c r="Q2063" s="217"/>
    </row>
    <row r="2064" spans="1:24" ht="30" customHeight="1" x14ac:dyDescent="0.35">
      <c r="A2064" s="241"/>
      <c r="B2064" s="1059"/>
      <c r="C2064" s="1059"/>
      <c r="D2064" s="1059"/>
      <c r="E2064" s="453"/>
      <c r="F2064" s="446"/>
      <c r="G2064" s="519"/>
      <c r="H2064" s="508"/>
      <c r="I2064" s="508"/>
      <c r="J2064" s="446" t="s">
        <v>362</v>
      </c>
      <c r="K2064" s="453">
        <f>SUM(K2053:K2063)</f>
        <v>125.87270133601677</v>
      </c>
      <c r="L2064" s="243" t="s">
        <v>8</v>
      </c>
      <c r="M2064" s="173"/>
      <c r="O2064" s="218"/>
      <c r="P2064" s="68"/>
      <c r="Q2064" s="217"/>
    </row>
    <row r="2065" spans="1:18" ht="30" customHeight="1" x14ac:dyDescent="0.35">
      <c r="A2065" s="241"/>
      <c r="B2065" s="506"/>
      <c r="C2065" s="506"/>
      <c r="D2065" s="506"/>
      <c r="E2065" s="506"/>
      <c r="F2065" s="1029" t="s">
        <v>302</v>
      </c>
      <c r="G2065" s="1288" t="s">
        <v>303</v>
      </c>
      <c r="H2065" s="1289"/>
      <c r="I2065" s="1289"/>
      <c r="J2065" s="1290"/>
      <c r="K2065" s="612">
        <v>1.1000000000000001</v>
      </c>
      <c r="L2065" s="243"/>
      <c r="M2065" s="173"/>
      <c r="O2065" s="218"/>
      <c r="P2065" s="68"/>
      <c r="Q2065" s="217"/>
    </row>
    <row r="2066" spans="1:18" ht="30" customHeight="1" x14ac:dyDescent="0.35">
      <c r="A2066" s="241"/>
      <c r="B2066" s="506"/>
      <c r="C2066" s="506"/>
      <c r="D2066" s="506"/>
      <c r="E2066" s="506"/>
      <c r="F2066" s="1030"/>
      <c r="G2066" s="1073" t="s">
        <v>2374</v>
      </c>
      <c r="H2066" s="1073"/>
      <c r="I2066" s="1073"/>
      <c r="J2066" s="1073"/>
      <c r="K2066" s="612">
        <v>1.08</v>
      </c>
      <c r="L2066" s="243"/>
      <c r="M2066" s="173"/>
      <c r="O2066" s="218"/>
      <c r="P2066" s="68"/>
      <c r="Q2066" s="217"/>
    </row>
    <row r="2067" spans="1:18" ht="30" customHeight="1" x14ac:dyDescent="0.35">
      <c r="A2067" s="785"/>
      <c r="B2067" s="786"/>
      <c r="C2067" s="787"/>
      <c r="D2067" s="787"/>
      <c r="E2067" s="787"/>
      <c r="F2067" s="787"/>
      <c r="G2067" s="787"/>
      <c r="H2067" s="788"/>
      <c r="I2067" s="458"/>
      <c r="J2067" s="446" t="s">
        <v>2356</v>
      </c>
      <c r="K2067" s="591">
        <f>+K2064*K2065/K2066</f>
        <v>128.20367728668376</v>
      </c>
      <c r="L2067" s="243" t="s">
        <v>8</v>
      </c>
      <c r="M2067" s="173"/>
      <c r="O2067" s="218"/>
      <c r="P2067" s="68"/>
      <c r="Q2067" s="217"/>
    </row>
    <row r="2068" spans="1:18" ht="30" customHeight="1" x14ac:dyDescent="0.35">
      <c r="A2068" s="785"/>
      <c r="B2068" s="786"/>
      <c r="C2068" s="787"/>
      <c r="D2068" s="787"/>
      <c r="E2068" s="787"/>
      <c r="F2068" s="787"/>
      <c r="G2068" s="171"/>
      <c r="H2068" s="458"/>
      <c r="I2068" s="753" t="s">
        <v>2359</v>
      </c>
      <c r="J2068" s="583">
        <f>VLOOKUP(B2051,'Mil Cost Premiums for PUCs'!$A$4:$R$272,18,FALSE)</f>
        <v>1.3319480854780448</v>
      </c>
      <c r="K2068" s="591">
        <f>+K2067*J2068</f>
        <v>170.76064251324351</v>
      </c>
      <c r="L2068" s="243" t="s">
        <v>8</v>
      </c>
      <c r="M2068" s="173"/>
      <c r="O2068" s="218"/>
      <c r="P2068" s="68"/>
      <c r="Q2068" s="217"/>
    </row>
    <row r="2069" spans="1:18" ht="60" customHeight="1" x14ac:dyDescent="0.35">
      <c r="A2069" s="1064" t="s">
        <v>305</v>
      </c>
      <c r="B2069" s="1065"/>
      <c r="C2069" s="1065"/>
      <c r="D2069" s="1065"/>
      <c r="E2069" s="1065"/>
      <c r="F2069" s="1065"/>
      <c r="G2069" s="1065"/>
      <c r="H2069" s="1065"/>
      <c r="I2069" s="1065"/>
      <c r="J2069" s="1065"/>
      <c r="K2069" s="1065"/>
      <c r="L2069" s="1066"/>
      <c r="M2069" s="173"/>
      <c r="O2069" s="218"/>
      <c r="P2069" s="68"/>
      <c r="Q2069" s="217"/>
    </row>
    <row r="2070" spans="1:18" ht="30" customHeight="1" x14ac:dyDescent="0.35">
      <c r="A2070" s="1180" t="s">
        <v>306</v>
      </c>
      <c r="B2070" s="1057"/>
      <c r="C2070" s="1057"/>
      <c r="D2070" s="1067" t="s">
        <v>1119</v>
      </c>
      <c r="E2070" s="1065"/>
      <c r="F2070" s="1065"/>
      <c r="G2070" s="1065"/>
      <c r="H2070" s="1065"/>
      <c r="I2070" s="1065"/>
      <c r="J2070" s="1065"/>
      <c r="K2070" s="1065"/>
      <c r="L2070" s="1066"/>
      <c r="M2070" s="173"/>
      <c r="O2070" s="218"/>
      <c r="P2070" s="68"/>
      <c r="Q2070" s="217"/>
    </row>
    <row r="2071" spans="1:18" ht="30" customHeight="1" x14ac:dyDescent="0.35">
      <c r="A2071" s="1180" t="s">
        <v>307</v>
      </c>
      <c r="B2071" s="1057"/>
      <c r="C2071" s="1057"/>
      <c r="D2071" s="1067" t="s">
        <v>2192</v>
      </c>
      <c r="E2071" s="1065"/>
      <c r="F2071" s="1065"/>
      <c r="G2071" s="1065"/>
      <c r="H2071" s="1065"/>
      <c r="I2071" s="1065"/>
      <c r="J2071" s="1065"/>
      <c r="K2071" s="1065"/>
      <c r="L2071" s="1066"/>
      <c r="M2071" s="173"/>
      <c r="O2071" s="218"/>
      <c r="P2071" s="68"/>
      <c r="Q2071" s="217"/>
    </row>
    <row r="2072" spans="1:18" ht="30" customHeight="1" x14ac:dyDescent="0.35">
      <c r="A2072" s="1180" t="s">
        <v>308</v>
      </c>
      <c r="B2072" s="1057"/>
      <c r="C2072" s="1057"/>
      <c r="D2072" s="1067" t="s">
        <v>2997</v>
      </c>
      <c r="E2072" s="1065"/>
      <c r="F2072" s="1065"/>
      <c r="G2072" s="1065"/>
      <c r="H2072" s="1065"/>
      <c r="I2072" s="1065"/>
      <c r="J2072" s="1065"/>
      <c r="K2072" s="1065"/>
      <c r="L2072" s="1066"/>
      <c r="M2072" s="173"/>
      <c r="O2072" s="218"/>
      <c r="P2072" s="68"/>
      <c r="Q2072" s="217"/>
    </row>
    <row r="2073" spans="1:18" ht="30" customHeight="1" x14ac:dyDescent="0.35">
      <c r="A2073" s="1180" t="s">
        <v>309</v>
      </c>
      <c r="B2073" s="1057"/>
      <c r="C2073" s="1057"/>
      <c r="D2073" s="1067" t="s">
        <v>1120</v>
      </c>
      <c r="E2073" s="1065"/>
      <c r="F2073" s="1065"/>
      <c r="G2073" s="1065"/>
      <c r="H2073" s="1065"/>
      <c r="I2073" s="1065"/>
      <c r="J2073" s="1065"/>
      <c r="K2073" s="1065"/>
      <c r="L2073" s="1066"/>
      <c r="M2073" s="173"/>
      <c r="O2073" s="218"/>
      <c r="P2073" s="68"/>
      <c r="Q2073" s="217"/>
    </row>
    <row r="2074" spans="1:18" ht="75" customHeight="1" x14ac:dyDescent="0.35">
      <c r="A2074" s="1180" t="s">
        <v>311</v>
      </c>
      <c r="B2074" s="1057"/>
      <c r="C2074" s="1057"/>
      <c r="D2074" s="1067" t="s">
        <v>2311</v>
      </c>
      <c r="E2074" s="1065"/>
      <c r="F2074" s="1065"/>
      <c r="G2074" s="1065"/>
      <c r="H2074" s="1065"/>
      <c r="I2074" s="1065"/>
      <c r="J2074" s="1065"/>
      <c r="K2074" s="1065"/>
      <c r="L2074" s="1066"/>
      <c r="M2074" s="173"/>
      <c r="O2074" s="218"/>
      <c r="P2074" s="68"/>
      <c r="Q2074" s="217"/>
    </row>
    <row r="2075" spans="1:18" ht="30" customHeight="1" x14ac:dyDescent="0.35">
      <c r="A2075" s="1180" t="s">
        <v>313</v>
      </c>
      <c r="B2075" s="1057"/>
      <c r="C2075" s="1057"/>
      <c r="D2075" s="1067" t="s">
        <v>1121</v>
      </c>
      <c r="E2075" s="1065"/>
      <c r="F2075" s="1065"/>
      <c r="G2075" s="1065"/>
      <c r="H2075" s="1065"/>
      <c r="I2075" s="1065"/>
      <c r="J2075" s="1065"/>
      <c r="K2075" s="1065"/>
      <c r="L2075" s="1066"/>
      <c r="M2075" s="173"/>
      <c r="O2075" s="218"/>
      <c r="P2075" s="68"/>
      <c r="Q2075" s="217"/>
    </row>
    <row r="2076" spans="1:18" ht="30" customHeight="1" x14ac:dyDescent="0.35">
      <c r="A2076" s="1180" t="s">
        <v>315</v>
      </c>
      <c r="B2076" s="1057"/>
      <c r="C2076" s="1057"/>
      <c r="D2076" s="1067" t="s">
        <v>852</v>
      </c>
      <c r="E2076" s="1065"/>
      <c r="F2076" s="1065"/>
      <c r="G2076" s="1065"/>
      <c r="H2076" s="1065"/>
      <c r="I2076" s="1065"/>
      <c r="J2076" s="1065"/>
      <c r="K2076" s="1065"/>
      <c r="L2076" s="1066"/>
      <c r="M2076" s="173"/>
      <c r="O2076" s="218"/>
      <c r="P2076" s="68"/>
      <c r="Q2076" s="217"/>
    </row>
    <row r="2077" spans="1:18" ht="75" customHeight="1" x14ac:dyDescent="0.35">
      <c r="A2077" s="1180" t="s">
        <v>316</v>
      </c>
      <c r="B2077" s="1057"/>
      <c r="C2077" s="1057"/>
      <c r="D2077" s="1067" t="s">
        <v>373</v>
      </c>
      <c r="E2077" s="1065"/>
      <c r="F2077" s="1065"/>
      <c r="G2077" s="1065"/>
      <c r="H2077" s="1065"/>
      <c r="I2077" s="1065"/>
      <c r="J2077" s="1065"/>
      <c r="K2077" s="1065"/>
      <c r="L2077" s="1066"/>
      <c r="M2077" s="173"/>
      <c r="O2077" s="218"/>
      <c r="P2077" s="68"/>
      <c r="Q2077" s="217"/>
    </row>
    <row r="2078" spans="1:18" ht="60" customHeight="1" thickBot="1" x14ac:dyDescent="0.4">
      <c r="A2078" s="1181" t="s">
        <v>318</v>
      </c>
      <c r="B2078" s="1182"/>
      <c r="C2078" s="1182"/>
      <c r="D2078" s="1068" t="s">
        <v>2878</v>
      </c>
      <c r="E2078" s="1069"/>
      <c r="F2078" s="1069"/>
      <c r="G2078" s="1069"/>
      <c r="H2078" s="1069"/>
      <c r="I2078" s="1069"/>
      <c r="J2078" s="1069"/>
      <c r="K2078" s="1069"/>
      <c r="L2078" s="1070"/>
      <c r="M2078" s="173"/>
      <c r="N2078" s="419"/>
      <c r="O2078" s="171"/>
      <c r="P2078" s="216"/>
      <c r="Q2078" s="419"/>
      <c r="R2078" s="219"/>
    </row>
    <row r="2079" spans="1:18" ht="30" customHeight="1" thickBot="1" x14ac:dyDescent="0.4">
      <c r="A2079" s="1086"/>
      <c r="B2079" s="1087"/>
      <c r="C2079" s="1087"/>
      <c r="D2079" s="1087"/>
      <c r="E2079" s="1087"/>
      <c r="F2079" s="1087"/>
      <c r="G2079" s="1087"/>
      <c r="H2079" s="1087"/>
      <c r="I2079" s="1087"/>
      <c r="J2079" s="1087"/>
      <c r="K2079" s="1087"/>
      <c r="L2079" s="1088"/>
      <c r="M2079" s="173"/>
      <c r="O2079" s="218"/>
      <c r="P2079" s="68"/>
      <c r="Q2079" s="217"/>
    </row>
    <row r="2080" spans="1:18" ht="30" customHeight="1" x14ac:dyDescent="0.35">
      <c r="A2080" s="465" t="s">
        <v>278</v>
      </c>
      <c r="B2080" s="539">
        <v>3141</v>
      </c>
      <c r="C2080" s="1054" t="s">
        <v>1122</v>
      </c>
      <c r="D2080" s="1054"/>
      <c r="E2080" s="541" t="s">
        <v>280</v>
      </c>
      <c r="F2080" s="542" t="s">
        <v>8</v>
      </c>
      <c r="G2080" s="543" t="s">
        <v>285</v>
      </c>
      <c r="H2080" s="756">
        <v>11285</v>
      </c>
      <c r="I2080" s="541" t="s">
        <v>281</v>
      </c>
      <c r="J2080" s="1019" t="s">
        <v>2371</v>
      </c>
      <c r="K2080" s="1019"/>
      <c r="L2080" s="1020"/>
      <c r="M2080" s="173"/>
      <c r="O2080" s="218"/>
      <c r="P2080" s="68"/>
      <c r="Q2080" s="217"/>
    </row>
    <row r="2081" spans="1:24" ht="30" customHeight="1" x14ac:dyDescent="0.35">
      <c r="A2081" s="588" t="s">
        <v>298</v>
      </c>
      <c r="B2081" s="1038" t="s">
        <v>321</v>
      </c>
      <c r="C2081" s="1039"/>
      <c r="D2081" s="1040"/>
      <c r="E2081" s="23" t="s">
        <v>290</v>
      </c>
      <c r="F2081" s="23" t="s">
        <v>322</v>
      </c>
      <c r="G2081" s="1012" t="s">
        <v>323</v>
      </c>
      <c r="H2081" s="1179"/>
      <c r="I2081" s="500" t="s">
        <v>928</v>
      </c>
      <c r="J2081" s="509" t="s">
        <v>299</v>
      </c>
      <c r="K2081" s="1012" t="s">
        <v>292</v>
      </c>
      <c r="L2081" s="1013"/>
      <c r="M2081" s="173"/>
      <c r="N2081" s="68"/>
      <c r="O2081" s="203"/>
      <c r="P2081" s="218"/>
      <c r="Q2081" s="68"/>
      <c r="R2081" s="217"/>
    </row>
    <row r="2082" spans="1:24" ht="30" customHeight="1" x14ac:dyDescent="0.35">
      <c r="A2082" s="241" t="s">
        <v>903</v>
      </c>
      <c r="B2082" s="1082" t="s">
        <v>2393</v>
      </c>
      <c r="C2082" s="1083"/>
      <c r="D2082" s="1093"/>
      <c r="E2082" s="453">
        <f>97.5-2.64</f>
        <v>94.86</v>
      </c>
      <c r="F2082" s="446" t="s">
        <v>8</v>
      </c>
      <c r="G2082" s="53"/>
      <c r="H2082" s="498"/>
      <c r="I2082" s="258">
        <f>+E2082</f>
        <v>94.86</v>
      </c>
      <c r="J2082" s="446">
        <v>1.01</v>
      </c>
      <c r="K2082" s="453">
        <f>+I2082*J2082</f>
        <v>95.808599999999998</v>
      </c>
      <c r="L2082" s="243" t="s">
        <v>8</v>
      </c>
      <c r="M2082" s="173"/>
      <c r="N2082" s="68"/>
      <c r="O2082" s="203"/>
      <c r="P2082" s="218"/>
      <c r="Q2082" s="68"/>
      <c r="R2082" s="217"/>
    </row>
    <row r="2083" spans="1:24" ht="30" customHeight="1" x14ac:dyDescent="0.35">
      <c r="A2083" s="241" t="s">
        <v>360</v>
      </c>
      <c r="B2083" s="1082" t="s">
        <v>980</v>
      </c>
      <c r="C2083" s="1083"/>
      <c r="D2083" s="1093"/>
      <c r="E2083" s="51">
        <v>4.08</v>
      </c>
      <c r="F2083" s="446" t="s">
        <v>8</v>
      </c>
      <c r="G2083" s="700"/>
      <c r="H2083" s="608"/>
      <c r="I2083" s="750">
        <f>+E2083</f>
        <v>4.08</v>
      </c>
      <c r="J2083" s="446">
        <v>1.01</v>
      </c>
      <c r="K2083" s="453">
        <f t="shared" ref="K2083:K2092" si="58">+I2083*J2083</f>
        <v>4.1208</v>
      </c>
      <c r="L2083" s="243" t="s">
        <v>8</v>
      </c>
      <c r="M2083" s="173"/>
      <c r="N2083" s="68"/>
      <c r="O2083" s="203"/>
      <c r="P2083" s="218"/>
      <c r="Q2083" s="68"/>
      <c r="R2083" s="217"/>
    </row>
    <row r="2084" spans="1:24" ht="30" customHeight="1" x14ac:dyDescent="0.35">
      <c r="A2084" s="241" t="s">
        <v>436</v>
      </c>
      <c r="B2084" s="1082" t="s">
        <v>2228</v>
      </c>
      <c r="C2084" s="1083"/>
      <c r="D2084" s="1093"/>
      <c r="E2084" s="453">
        <v>177000</v>
      </c>
      <c r="F2084" s="639" t="s">
        <v>10</v>
      </c>
      <c r="G2084" s="748">
        <f>+E2084/H2080</f>
        <v>15.684536996012406</v>
      </c>
      <c r="H2084" s="608" t="s">
        <v>932</v>
      </c>
      <c r="I2084" s="750">
        <f>+E2084/H2080</f>
        <v>15.684536996012406</v>
      </c>
      <c r="J2084" s="446">
        <v>1.02</v>
      </c>
      <c r="K2084" s="453">
        <f t="shared" si="58"/>
        <v>15.998227735932655</v>
      </c>
      <c r="L2084" s="243" t="s">
        <v>8</v>
      </c>
      <c r="M2084" s="173"/>
      <c r="N2084" s="68"/>
      <c r="O2084" s="203"/>
      <c r="P2084" s="218"/>
      <c r="Q2084" s="68"/>
      <c r="R2084" s="217"/>
    </row>
    <row r="2085" spans="1:24" ht="30" customHeight="1" x14ac:dyDescent="0.35">
      <c r="A2085" s="241" t="s">
        <v>436</v>
      </c>
      <c r="B2085" s="1082" t="s">
        <v>3000</v>
      </c>
      <c r="C2085" s="1083"/>
      <c r="D2085" s="1093"/>
      <c r="E2085" s="453">
        <f>+(244+267)/2</f>
        <v>255.5</v>
      </c>
      <c r="F2085" s="639" t="s">
        <v>6</v>
      </c>
      <c r="G2085" s="748">
        <f>344/H2080</f>
        <v>3.0482941958351793E-2</v>
      </c>
      <c r="H2085" s="608" t="s">
        <v>932</v>
      </c>
      <c r="I2085" s="750">
        <f>+E2085*G2085</f>
        <v>7.7883916703588829</v>
      </c>
      <c r="J2085" s="446">
        <v>1.02</v>
      </c>
      <c r="K2085" s="453">
        <f t="shared" si="58"/>
        <v>7.9441595037660608</v>
      </c>
      <c r="L2085" s="243" t="s">
        <v>8</v>
      </c>
      <c r="M2085" s="173"/>
      <c r="N2085" s="68"/>
      <c r="O2085" s="203"/>
      <c r="P2085" s="218"/>
      <c r="Q2085" s="68"/>
      <c r="R2085" s="217"/>
    </row>
    <row r="2086" spans="1:24" ht="30" customHeight="1" x14ac:dyDescent="0.35">
      <c r="A2086" s="241" t="s">
        <v>436</v>
      </c>
      <c r="B2086" s="1082" t="s">
        <v>1071</v>
      </c>
      <c r="C2086" s="1083"/>
      <c r="D2086" s="1093"/>
      <c r="E2086" s="453">
        <f>+(23.75+47.75)/2</f>
        <v>35.75</v>
      </c>
      <c r="F2086" s="639" t="s">
        <v>6</v>
      </c>
      <c r="G2086" s="748">
        <f>344/H2080</f>
        <v>3.0482941958351793E-2</v>
      </c>
      <c r="H2086" s="608" t="s">
        <v>932</v>
      </c>
      <c r="I2086" s="750">
        <f>+E2086*G2086</f>
        <v>1.0897651750110766</v>
      </c>
      <c r="J2086" s="446">
        <v>1.02</v>
      </c>
      <c r="K2086" s="453">
        <f t="shared" si="58"/>
        <v>1.1115604785112982</v>
      </c>
      <c r="L2086" s="243" t="s">
        <v>8</v>
      </c>
      <c r="M2086" s="173"/>
      <c r="N2086" s="68"/>
      <c r="O2086" s="203"/>
      <c r="P2086" s="218"/>
      <c r="Q2086" s="68"/>
      <c r="R2086" s="217"/>
    </row>
    <row r="2087" spans="1:24" ht="30" customHeight="1" x14ac:dyDescent="0.35">
      <c r="A2087" s="241" t="s">
        <v>377</v>
      </c>
      <c r="B2087" s="1082" t="s">
        <v>1123</v>
      </c>
      <c r="C2087" s="1083"/>
      <c r="D2087" s="1093"/>
      <c r="E2087" s="453">
        <f>(20.3+31.5)/2</f>
        <v>25.9</v>
      </c>
      <c r="F2087" s="639" t="s">
        <v>378</v>
      </c>
      <c r="G2087" s="643">
        <f>3*81*E2087/H2080</f>
        <v>0.55770491803278688</v>
      </c>
      <c r="H2087" s="608" t="s">
        <v>932</v>
      </c>
      <c r="I2087" s="750">
        <f>+G2087</f>
        <v>0.55770491803278688</v>
      </c>
      <c r="J2087" s="446">
        <v>1.03</v>
      </c>
      <c r="K2087" s="453">
        <f t="shared" si="58"/>
        <v>0.57443606557377047</v>
      </c>
      <c r="L2087" s="243" t="s">
        <v>8</v>
      </c>
      <c r="M2087" s="173"/>
      <c r="N2087" s="68"/>
      <c r="O2087" s="203"/>
      <c r="P2087" s="218"/>
      <c r="Q2087" s="68"/>
      <c r="R2087" s="217"/>
    </row>
    <row r="2088" spans="1:24" ht="30" customHeight="1" x14ac:dyDescent="0.35">
      <c r="A2088" s="241" t="s">
        <v>377</v>
      </c>
      <c r="B2088" s="1082" t="s">
        <v>1115</v>
      </c>
      <c r="C2088" s="1083"/>
      <c r="D2088" s="1093"/>
      <c r="E2088" s="453">
        <f>(1710+2420)/2</f>
        <v>2065</v>
      </c>
      <c r="F2088" s="639" t="s">
        <v>10</v>
      </c>
      <c r="G2088" s="643">
        <f>3*E2088/H2080</f>
        <v>0.5489587948604342</v>
      </c>
      <c r="H2088" s="608" t="s">
        <v>932</v>
      </c>
      <c r="I2088" s="750">
        <f>+G2088</f>
        <v>0.5489587948604342</v>
      </c>
      <c r="J2088" s="446">
        <v>1.03</v>
      </c>
      <c r="K2088" s="453">
        <f t="shared" si="58"/>
        <v>0.56542755870624728</v>
      </c>
      <c r="L2088" s="243" t="s">
        <v>8</v>
      </c>
      <c r="M2088" s="173"/>
      <c r="N2088" s="68"/>
      <c r="O2088" s="203"/>
      <c r="P2088" s="218"/>
      <c r="Q2088" s="68"/>
      <c r="R2088" s="217"/>
    </row>
    <row r="2089" spans="1:24" ht="30" customHeight="1" x14ac:dyDescent="0.35">
      <c r="A2089" s="241" t="s">
        <v>380</v>
      </c>
      <c r="B2089" s="1082" t="s">
        <v>2226</v>
      </c>
      <c r="C2089" s="1083"/>
      <c r="D2089" s="1093"/>
      <c r="E2089" s="453">
        <f>+(34.5+782)</f>
        <v>816.5</v>
      </c>
      <c r="F2089" s="639" t="s">
        <v>6</v>
      </c>
      <c r="G2089" s="700">
        <v>30</v>
      </c>
      <c r="H2089" s="608" t="s">
        <v>1058</v>
      </c>
      <c r="I2089" s="750">
        <f>+E2089*G2089/H2080</f>
        <v>2.1705804164820557</v>
      </c>
      <c r="J2089" s="446">
        <v>1.03</v>
      </c>
      <c r="K2089" s="453">
        <f t="shared" si="58"/>
        <v>2.2356978289765173</v>
      </c>
      <c r="L2089" s="243" t="s">
        <v>8</v>
      </c>
      <c r="M2089" s="173"/>
      <c r="N2089" s="68"/>
      <c r="O2089" s="203"/>
      <c r="P2089" s="218"/>
      <c r="Q2089" s="68"/>
      <c r="R2089" s="217"/>
    </row>
    <row r="2090" spans="1:24" ht="30" customHeight="1" x14ac:dyDescent="0.35">
      <c r="A2090" s="241" t="s">
        <v>380</v>
      </c>
      <c r="B2090" s="1082" t="s">
        <v>1117</v>
      </c>
      <c r="C2090" s="1083"/>
      <c r="D2090" s="1093"/>
      <c r="E2090" s="453">
        <f>+(6450+12300)/2</f>
        <v>9375</v>
      </c>
      <c r="F2090" s="639" t="s">
        <v>10</v>
      </c>
      <c r="G2090" s="700">
        <v>3</v>
      </c>
      <c r="H2090" s="608" t="s">
        <v>932</v>
      </c>
      <c r="I2090" s="750">
        <f>+E2090*3/H2080</f>
        <v>2.4922463447053609</v>
      </c>
      <c r="J2090" s="446">
        <v>1.03</v>
      </c>
      <c r="K2090" s="453">
        <f t="shared" si="58"/>
        <v>2.5670137350465216</v>
      </c>
      <c r="L2090" s="243" t="s">
        <v>8</v>
      </c>
      <c r="M2090" s="173"/>
      <c r="N2090" s="68"/>
      <c r="O2090" s="203"/>
      <c r="P2090" s="218"/>
      <c r="Q2090" s="68"/>
      <c r="R2090" s="217"/>
    </row>
    <row r="2091" spans="1:24" ht="30" customHeight="1" x14ac:dyDescent="0.35">
      <c r="A2091" s="241" t="s">
        <v>380</v>
      </c>
      <c r="B2091" s="1082" t="s">
        <v>2227</v>
      </c>
      <c r="C2091" s="1083"/>
      <c r="D2091" s="1093"/>
      <c r="E2091" s="51">
        <f>+(660+1010)/2</f>
        <v>835</v>
      </c>
      <c r="F2091" s="639" t="s">
        <v>10</v>
      </c>
      <c r="G2091" s="700">
        <v>3</v>
      </c>
      <c r="H2091" s="608" t="s">
        <v>932</v>
      </c>
      <c r="I2091" s="750">
        <f>+E2091*3/H2080</f>
        <v>0.22197607443509082</v>
      </c>
      <c r="J2091" s="446">
        <v>1.03</v>
      </c>
      <c r="K2091" s="453">
        <f t="shared" si="58"/>
        <v>0.22863535666814355</v>
      </c>
      <c r="L2091" s="243" t="s">
        <v>8</v>
      </c>
      <c r="M2091" s="173"/>
      <c r="N2091" s="68"/>
      <c r="O2091" s="203"/>
      <c r="P2091" s="218"/>
      <c r="Q2091" s="68"/>
      <c r="R2091" s="217"/>
      <c r="T2091" s="208"/>
      <c r="U2091" s="208"/>
      <c r="V2091" s="208"/>
      <c r="W2091" s="208"/>
      <c r="X2091" s="208"/>
    </row>
    <row r="2092" spans="1:24" s="208" customFormat="1" ht="30" customHeight="1" x14ac:dyDescent="0.35">
      <c r="A2092" s="241" t="s">
        <v>380</v>
      </c>
      <c r="B2092" s="1082" t="s">
        <v>1118</v>
      </c>
      <c r="C2092" s="1083"/>
      <c r="D2092" s="1093"/>
      <c r="E2092" s="453">
        <f>+(1160+3475)/2</f>
        <v>2317.5</v>
      </c>
      <c r="F2092" s="639" t="s">
        <v>10</v>
      </c>
      <c r="G2092" s="700">
        <v>3</v>
      </c>
      <c r="H2092" s="608" t="s">
        <v>932</v>
      </c>
      <c r="I2092" s="750">
        <f>+E2092*3/H2080</f>
        <v>0.61608329641116522</v>
      </c>
      <c r="J2092" s="446">
        <v>1.03</v>
      </c>
      <c r="K2092" s="453">
        <f t="shared" si="58"/>
        <v>0.63456579530350021</v>
      </c>
      <c r="L2092" s="243" t="s">
        <v>8</v>
      </c>
      <c r="M2092" s="173"/>
      <c r="N2092" s="68"/>
      <c r="O2092" s="203"/>
      <c r="P2092" s="218"/>
      <c r="Q2092" s="68"/>
      <c r="R2092" s="217"/>
      <c r="S2092" s="203"/>
      <c r="T2092" s="203"/>
      <c r="U2092" s="203"/>
      <c r="V2092" s="203"/>
      <c r="W2092" s="203"/>
      <c r="X2092" s="203"/>
    </row>
    <row r="2093" spans="1:24" ht="30" customHeight="1" x14ac:dyDescent="0.35">
      <c r="A2093" s="241"/>
      <c r="B2093" s="1059"/>
      <c r="C2093" s="1059"/>
      <c r="D2093" s="1059"/>
      <c r="E2093" s="453"/>
      <c r="F2093" s="446"/>
      <c r="G2093" s="519"/>
      <c r="H2093" s="508"/>
      <c r="I2093" s="508"/>
      <c r="J2093" s="446" t="s">
        <v>362</v>
      </c>
      <c r="K2093" s="453">
        <f>SUM(K2082:K2092)</f>
        <v>131.7891240584847</v>
      </c>
      <c r="L2093" s="243" t="s">
        <v>8</v>
      </c>
      <c r="M2093" s="173"/>
      <c r="N2093" s="68"/>
      <c r="O2093" s="208"/>
      <c r="P2093" s="218"/>
      <c r="Q2093" s="68"/>
      <c r="R2093" s="217"/>
      <c r="S2093" s="208"/>
    </row>
    <row r="2094" spans="1:24" ht="30" customHeight="1" x14ac:dyDescent="0.35">
      <c r="A2094" s="241"/>
      <c r="B2094" s="1171"/>
      <c r="C2094" s="1172"/>
      <c r="D2094" s="1173"/>
      <c r="E2094" s="506"/>
      <c r="F2094" s="1029" t="s">
        <v>302</v>
      </c>
      <c r="G2094" s="1288" t="s">
        <v>303</v>
      </c>
      <c r="H2094" s="1289"/>
      <c r="I2094" s="1289"/>
      <c r="J2094" s="1290"/>
      <c r="K2094" s="612">
        <v>1.1000000000000001</v>
      </c>
      <c r="L2094" s="243"/>
      <c r="M2094" s="173"/>
      <c r="N2094" s="68"/>
      <c r="O2094" s="203"/>
      <c r="P2094" s="218"/>
      <c r="Q2094" s="68"/>
      <c r="R2094" s="217"/>
    </row>
    <row r="2095" spans="1:24" ht="30" customHeight="1" x14ac:dyDescent="0.35">
      <c r="A2095" s="241"/>
      <c r="B2095" s="506"/>
      <c r="C2095" s="506"/>
      <c r="D2095" s="506"/>
      <c r="E2095" s="506"/>
      <c r="F2095" s="1030"/>
      <c r="G2095" s="1073" t="s">
        <v>2374</v>
      </c>
      <c r="H2095" s="1073"/>
      <c r="I2095" s="1073"/>
      <c r="J2095" s="1073"/>
      <c r="K2095" s="612">
        <v>1.08</v>
      </c>
      <c r="L2095" s="243"/>
      <c r="M2095" s="173"/>
      <c r="O2095" s="218"/>
      <c r="P2095" s="68"/>
      <c r="Q2095" s="217"/>
    </row>
    <row r="2096" spans="1:24" ht="30" customHeight="1" x14ac:dyDescent="0.35">
      <c r="A2096" s="785"/>
      <c r="B2096" s="786"/>
      <c r="C2096" s="787"/>
      <c r="D2096" s="787"/>
      <c r="E2096" s="787"/>
      <c r="F2096" s="787"/>
      <c r="G2096" s="787"/>
      <c r="H2096" s="788"/>
      <c r="I2096" s="458"/>
      <c r="J2096" s="446" t="s">
        <v>2356</v>
      </c>
      <c r="K2096" s="591">
        <f>+K2093*K2094/K2095</f>
        <v>134.22966339290107</v>
      </c>
      <c r="L2096" s="243" t="s">
        <v>8</v>
      </c>
      <c r="M2096" s="173"/>
      <c r="N2096" s="68"/>
      <c r="O2096" s="203"/>
      <c r="P2096" s="218"/>
      <c r="Q2096" s="68"/>
      <c r="R2096" s="217"/>
    </row>
    <row r="2097" spans="1:18" ht="30" customHeight="1" thickBot="1" x14ac:dyDescent="0.4">
      <c r="A2097" s="785"/>
      <c r="B2097" s="786"/>
      <c r="C2097" s="787"/>
      <c r="D2097" s="787"/>
      <c r="E2097" s="787"/>
      <c r="F2097" s="787"/>
      <c r="G2097" s="788"/>
      <c r="H2097" s="171"/>
      <c r="I2097" s="753" t="s">
        <v>2359</v>
      </c>
      <c r="J2097" s="583">
        <f>VLOOKUP(B2080,'Mil Cost Premiums for PUCs'!$A$4:$R$272,18,FALSE)</f>
        <v>1.3319480854780448</v>
      </c>
      <c r="K2097" s="591">
        <f>+K2096*J2097</f>
        <v>178.78694317053697</v>
      </c>
      <c r="L2097" s="247" t="s">
        <v>8</v>
      </c>
      <c r="M2097" s="173"/>
      <c r="N2097" s="68"/>
      <c r="O2097" s="203"/>
      <c r="P2097" s="218"/>
      <c r="Q2097" s="68"/>
      <c r="R2097" s="217"/>
    </row>
    <row r="2098" spans="1:18" ht="30" customHeight="1" thickBot="1" x14ac:dyDescent="0.4">
      <c r="A2098" s="1086"/>
      <c r="B2098" s="1087"/>
      <c r="C2098" s="1087"/>
      <c r="D2098" s="1087"/>
      <c r="E2098" s="1087"/>
      <c r="F2098" s="1087"/>
      <c r="G2098" s="1087"/>
      <c r="H2098" s="1087"/>
      <c r="I2098" s="1087"/>
      <c r="J2098" s="1087"/>
      <c r="K2098" s="1087"/>
      <c r="L2098" s="1088"/>
      <c r="M2098" s="173"/>
      <c r="N2098" s="68"/>
      <c r="O2098" s="203"/>
      <c r="P2098" s="218"/>
      <c r="Q2098" s="68"/>
      <c r="R2098" s="217"/>
    </row>
    <row r="2099" spans="1:18" ht="30" customHeight="1" x14ac:dyDescent="0.35">
      <c r="A2099" s="465" t="s">
        <v>278</v>
      </c>
      <c r="B2099" s="539">
        <v>3151</v>
      </c>
      <c r="C2099" s="1017" t="s">
        <v>1124</v>
      </c>
      <c r="D2099" s="1018"/>
      <c r="E2099" s="541" t="s">
        <v>280</v>
      </c>
      <c r="F2099" s="542" t="s">
        <v>8</v>
      </c>
      <c r="G2099" s="543" t="s">
        <v>285</v>
      </c>
      <c r="H2099" s="789">
        <v>10754</v>
      </c>
      <c r="I2099" s="541" t="s">
        <v>281</v>
      </c>
      <c r="J2099" s="1019" t="s">
        <v>2371</v>
      </c>
      <c r="K2099" s="1019"/>
      <c r="L2099" s="1020"/>
      <c r="M2099" s="173"/>
      <c r="N2099" s="68"/>
      <c r="O2099" s="203"/>
      <c r="P2099" s="218"/>
      <c r="Q2099" s="68"/>
      <c r="R2099" s="217"/>
    </row>
    <row r="2100" spans="1:18" ht="30" customHeight="1" x14ac:dyDescent="0.35">
      <c r="A2100" s="588" t="s">
        <v>298</v>
      </c>
      <c r="B2100" s="1038" t="s">
        <v>321</v>
      </c>
      <c r="C2100" s="1039"/>
      <c r="D2100" s="1040"/>
      <c r="E2100" s="23" t="s">
        <v>290</v>
      </c>
      <c r="F2100" s="23" t="s">
        <v>322</v>
      </c>
      <c r="G2100" s="1034" t="s">
        <v>323</v>
      </c>
      <c r="H2100" s="1035"/>
      <c r="I2100" s="500" t="s">
        <v>1125</v>
      </c>
      <c r="J2100" s="509" t="s">
        <v>299</v>
      </c>
      <c r="K2100" s="1012" t="s">
        <v>292</v>
      </c>
      <c r="L2100" s="1013"/>
      <c r="M2100" s="173"/>
      <c r="N2100" s="68"/>
      <c r="O2100" s="203"/>
      <c r="P2100" s="218"/>
      <c r="Q2100" s="68"/>
      <c r="R2100" s="217"/>
    </row>
    <row r="2101" spans="1:18" ht="30" customHeight="1" x14ac:dyDescent="0.35">
      <c r="A2101" s="241" t="s">
        <v>365</v>
      </c>
      <c r="B2101" s="1082" t="s">
        <v>2312</v>
      </c>
      <c r="C2101" s="1083"/>
      <c r="D2101" s="1093"/>
      <c r="E2101" s="453">
        <v>242</v>
      </c>
      <c r="F2101" s="446" t="s">
        <v>8</v>
      </c>
      <c r="G2101" s="727"/>
      <c r="H2101" s="659"/>
      <c r="I2101" s="659"/>
      <c r="J2101" s="446">
        <v>1.01</v>
      </c>
      <c r="K2101" s="453">
        <f>+E2101*J2101</f>
        <v>244.42000000000002</v>
      </c>
      <c r="L2101" s="243" t="s">
        <v>8</v>
      </c>
      <c r="M2101" s="173"/>
      <c r="N2101" s="68"/>
      <c r="O2101" s="203"/>
      <c r="P2101" s="218"/>
      <c r="Q2101" s="68"/>
      <c r="R2101" s="217"/>
    </row>
    <row r="2102" spans="1:18" ht="30" customHeight="1" x14ac:dyDescent="0.35">
      <c r="A2102" s="241" t="s">
        <v>436</v>
      </c>
      <c r="B2102" s="1082" t="s">
        <v>2229</v>
      </c>
      <c r="C2102" s="1083"/>
      <c r="D2102" s="1093"/>
      <c r="E2102" s="453">
        <v>141000</v>
      </c>
      <c r="F2102" s="446" t="s">
        <v>10</v>
      </c>
      <c r="G2102" s="770">
        <f>+H2099</f>
        <v>10754</v>
      </c>
      <c r="H2102" s="508" t="s">
        <v>1015</v>
      </c>
      <c r="I2102" s="508"/>
      <c r="J2102" s="446">
        <v>1.02</v>
      </c>
      <c r="K2102" s="453">
        <f>+E2102/G2102*J2102</f>
        <v>13.373628417333085</v>
      </c>
      <c r="L2102" s="243" t="s">
        <v>8</v>
      </c>
      <c r="M2102" s="173"/>
      <c r="N2102" s="68"/>
      <c r="O2102" s="203"/>
      <c r="P2102" s="218"/>
      <c r="Q2102" s="68"/>
      <c r="R2102" s="217"/>
    </row>
    <row r="2103" spans="1:18" ht="30" customHeight="1" x14ac:dyDescent="0.35">
      <c r="A2103" s="241" t="s">
        <v>436</v>
      </c>
      <c r="B2103" s="1082" t="s">
        <v>3001</v>
      </c>
      <c r="C2103" s="1083"/>
      <c r="D2103" s="1093"/>
      <c r="E2103" s="453">
        <f>+(244+267)/2</f>
        <v>255.5</v>
      </c>
      <c r="F2103" s="639" t="s">
        <v>6</v>
      </c>
      <c r="G2103" s="583">
        <f>150/H2099</f>
        <v>1.3948298307606471E-2</v>
      </c>
      <c r="H2103" s="508" t="s">
        <v>1126</v>
      </c>
      <c r="I2103" s="508"/>
      <c r="J2103" s="446">
        <v>1.02</v>
      </c>
      <c r="K2103" s="453">
        <f>+E2103*G2103*J2103</f>
        <v>3.6350660219453226</v>
      </c>
      <c r="L2103" s="243" t="s">
        <v>8</v>
      </c>
      <c r="M2103" s="173"/>
      <c r="N2103" s="68"/>
      <c r="O2103" s="203"/>
      <c r="P2103" s="218"/>
      <c r="Q2103" s="68"/>
      <c r="R2103" s="217"/>
    </row>
    <row r="2104" spans="1:18" ht="30" customHeight="1" x14ac:dyDescent="0.35">
      <c r="A2104" s="241" t="s">
        <v>436</v>
      </c>
      <c r="B2104" s="1082" t="s">
        <v>437</v>
      </c>
      <c r="C2104" s="1083"/>
      <c r="D2104" s="1093"/>
      <c r="E2104" s="453">
        <f>+(23.75+47.75)/2</f>
        <v>35.75</v>
      </c>
      <c r="F2104" s="639" t="s">
        <v>6</v>
      </c>
      <c r="G2104" s="583">
        <f>150/H2099</f>
        <v>1.3948298307606471E-2</v>
      </c>
      <c r="H2104" s="508" t="s">
        <v>1126</v>
      </c>
      <c r="I2104" s="508"/>
      <c r="J2104" s="446">
        <v>1.02</v>
      </c>
      <c r="K2104" s="453">
        <f>+E2104*G2104*J2104</f>
        <v>0.50862469778686992</v>
      </c>
      <c r="L2104" s="243" t="s">
        <v>8</v>
      </c>
      <c r="M2104" s="173"/>
      <c r="N2104" s="419"/>
      <c r="O2104" s="171"/>
      <c r="P2104" s="216"/>
      <c r="Q2104" s="419"/>
      <c r="R2104" s="219"/>
    </row>
    <row r="2105" spans="1:18" ht="30" customHeight="1" x14ac:dyDescent="0.35">
      <c r="A2105" s="241" t="s">
        <v>377</v>
      </c>
      <c r="B2105" s="1082" t="s">
        <v>1127</v>
      </c>
      <c r="C2105" s="1083"/>
      <c r="D2105" s="1093"/>
      <c r="E2105" s="453">
        <f>(20.3+31.5)/2</f>
        <v>25.9</v>
      </c>
      <c r="F2105" s="639" t="s">
        <v>1128</v>
      </c>
      <c r="G2105" s="519">
        <v>81</v>
      </c>
      <c r="H2105" s="508" t="s">
        <v>1129</v>
      </c>
      <c r="I2105" s="790">
        <f t="shared" ref="I2105:I2110" si="59">+E2105*G2105/$H$2099</f>
        <v>0.19508090013018412</v>
      </c>
      <c r="J2105" s="446">
        <v>1.03</v>
      </c>
      <c r="K2105" s="453">
        <f t="shared" ref="K2105:K2110" si="60">+I2105*J2105</f>
        <v>0.20093332713408965</v>
      </c>
      <c r="L2105" s="243" t="s">
        <v>8</v>
      </c>
      <c r="M2105" s="173"/>
      <c r="N2105" s="68"/>
      <c r="O2105" s="203"/>
      <c r="P2105" s="218"/>
      <c r="Q2105" s="68"/>
      <c r="R2105" s="217"/>
    </row>
    <row r="2106" spans="1:18" ht="30" customHeight="1" x14ac:dyDescent="0.35">
      <c r="A2106" s="241" t="s">
        <v>377</v>
      </c>
      <c r="B2106" s="1082" t="s">
        <v>1115</v>
      </c>
      <c r="C2106" s="1083"/>
      <c r="D2106" s="1093"/>
      <c r="E2106" s="453">
        <f>(1710+2420)/2</f>
        <v>2065</v>
      </c>
      <c r="F2106" s="639" t="s">
        <v>10</v>
      </c>
      <c r="G2106" s="519">
        <v>1</v>
      </c>
      <c r="H2106" s="508"/>
      <c r="I2106" s="790">
        <f t="shared" si="59"/>
        <v>0.19202157336804909</v>
      </c>
      <c r="J2106" s="446">
        <v>1.03</v>
      </c>
      <c r="K2106" s="453">
        <f t="shared" si="60"/>
        <v>0.19778222056909056</v>
      </c>
      <c r="L2106" s="243" t="s">
        <v>8</v>
      </c>
      <c r="M2106" s="173"/>
      <c r="N2106" s="68"/>
      <c r="O2106" s="203"/>
      <c r="P2106" s="218"/>
      <c r="Q2106" s="68"/>
      <c r="R2106" s="217"/>
    </row>
    <row r="2107" spans="1:18" ht="30" customHeight="1" x14ac:dyDescent="0.35">
      <c r="A2107" s="241" t="s">
        <v>380</v>
      </c>
      <c r="B2107" s="1082" t="s">
        <v>1130</v>
      </c>
      <c r="C2107" s="1083"/>
      <c r="D2107" s="1093"/>
      <c r="E2107" s="453">
        <f>(32.75+78)/2</f>
        <v>55.375</v>
      </c>
      <c r="F2107" s="639" t="s">
        <v>6</v>
      </c>
      <c r="G2107" s="519">
        <v>10</v>
      </c>
      <c r="H2107" s="508"/>
      <c r="I2107" s="790">
        <f t="shared" si="59"/>
        <v>5.149246791891389E-2</v>
      </c>
      <c r="J2107" s="446">
        <v>1.03</v>
      </c>
      <c r="K2107" s="453">
        <f t="shared" si="60"/>
        <v>5.303724195648131E-2</v>
      </c>
      <c r="L2107" s="243" t="s">
        <v>8</v>
      </c>
      <c r="M2107" s="173"/>
      <c r="N2107" s="68"/>
      <c r="O2107" s="203"/>
      <c r="P2107" s="218"/>
      <c r="Q2107" s="68"/>
      <c r="R2107" s="217"/>
    </row>
    <row r="2108" spans="1:18" ht="30" customHeight="1" x14ac:dyDescent="0.35">
      <c r="A2108" s="241" t="s">
        <v>380</v>
      </c>
      <c r="B2108" s="1082" t="s">
        <v>1131</v>
      </c>
      <c r="C2108" s="1083"/>
      <c r="D2108" s="1093"/>
      <c r="E2108" s="453">
        <f>+(6150+11800)/2</f>
        <v>8975</v>
      </c>
      <c r="F2108" s="639" t="s">
        <v>10</v>
      </c>
      <c r="G2108" s="519">
        <v>1</v>
      </c>
      <c r="H2108" s="508"/>
      <c r="I2108" s="790">
        <f t="shared" si="59"/>
        <v>0.83457318207178721</v>
      </c>
      <c r="J2108" s="446">
        <v>1.03</v>
      </c>
      <c r="K2108" s="453">
        <f t="shared" si="60"/>
        <v>0.85961037753394087</v>
      </c>
      <c r="L2108" s="243" t="s">
        <v>8</v>
      </c>
      <c r="M2108" s="173"/>
      <c r="N2108" s="68"/>
      <c r="O2108" s="203"/>
      <c r="P2108" s="218"/>
      <c r="Q2108" s="68"/>
      <c r="R2108" s="217"/>
    </row>
    <row r="2109" spans="1:18" ht="30" customHeight="1" x14ac:dyDescent="0.35">
      <c r="A2109" s="241" t="s">
        <v>380</v>
      </c>
      <c r="B2109" s="1082" t="s">
        <v>939</v>
      </c>
      <c r="C2109" s="1083"/>
      <c r="D2109" s="1093"/>
      <c r="E2109" s="51">
        <f>+(630+965)/2</f>
        <v>797.5</v>
      </c>
      <c r="F2109" s="639" t="s">
        <v>10</v>
      </c>
      <c r="G2109" s="519">
        <v>1</v>
      </c>
      <c r="H2109" s="508"/>
      <c r="I2109" s="790">
        <f t="shared" si="59"/>
        <v>7.4158452668774411E-2</v>
      </c>
      <c r="J2109" s="446">
        <v>1.03</v>
      </c>
      <c r="K2109" s="453">
        <f t="shared" si="60"/>
        <v>7.638320624883764E-2</v>
      </c>
      <c r="L2109" s="243" t="s">
        <v>8</v>
      </c>
      <c r="M2109" s="173"/>
      <c r="N2109" s="68"/>
      <c r="O2109" s="203"/>
      <c r="P2109" s="218"/>
      <c r="Q2109" s="68"/>
      <c r="R2109" s="217"/>
    </row>
    <row r="2110" spans="1:18" ht="30" customHeight="1" x14ac:dyDescent="0.35">
      <c r="A2110" s="241" t="s">
        <v>380</v>
      </c>
      <c r="B2110" s="1082" t="s">
        <v>385</v>
      </c>
      <c r="C2110" s="1083"/>
      <c r="D2110" s="1093"/>
      <c r="E2110" s="453">
        <f>+(1110+3300)/2</f>
        <v>2205</v>
      </c>
      <c r="F2110" s="639" t="s">
        <v>10</v>
      </c>
      <c r="G2110" s="519">
        <v>1</v>
      </c>
      <c r="H2110" s="508"/>
      <c r="I2110" s="790">
        <f t="shared" si="59"/>
        <v>0.20503998512181515</v>
      </c>
      <c r="J2110" s="446">
        <v>1.03</v>
      </c>
      <c r="K2110" s="453">
        <f t="shared" si="60"/>
        <v>0.2111911846754696</v>
      </c>
      <c r="L2110" s="243" t="s">
        <v>8</v>
      </c>
      <c r="M2110" s="173"/>
      <c r="N2110" s="68"/>
      <c r="O2110" s="203"/>
      <c r="P2110" s="218"/>
      <c r="Q2110" s="68"/>
      <c r="R2110" s="217"/>
    </row>
    <row r="2111" spans="1:18" ht="30" customHeight="1" x14ac:dyDescent="0.35">
      <c r="A2111" s="241" t="s">
        <v>360</v>
      </c>
      <c r="B2111" s="1031" t="s">
        <v>1086</v>
      </c>
      <c r="C2111" s="1032"/>
      <c r="D2111" s="1032"/>
      <c r="E2111" s="453">
        <v>4.38</v>
      </c>
      <c r="F2111" s="639" t="s">
        <v>8</v>
      </c>
      <c r="G2111" s="519"/>
      <c r="H2111" s="508"/>
      <c r="I2111" s="508"/>
      <c r="J2111" s="446">
        <v>1.01</v>
      </c>
      <c r="K2111" s="453">
        <f>+E2111*J2111</f>
        <v>4.4238</v>
      </c>
      <c r="L2111" s="243" t="s">
        <v>8</v>
      </c>
      <c r="M2111" s="173"/>
      <c r="N2111" s="68"/>
      <c r="O2111" s="203"/>
      <c r="P2111" s="218"/>
      <c r="Q2111" s="68"/>
      <c r="R2111" s="217"/>
    </row>
    <row r="2112" spans="1:18" ht="30" customHeight="1" x14ac:dyDescent="0.35">
      <c r="A2112" s="241" t="s">
        <v>360</v>
      </c>
      <c r="B2112" s="1082" t="s">
        <v>1132</v>
      </c>
      <c r="C2112" s="1083"/>
      <c r="D2112" s="1093"/>
      <c r="E2112" s="453">
        <f>E2111*0.15</f>
        <v>0.65699999999999992</v>
      </c>
      <c r="F2112" s="639" t="s">
        <v>8</v>
      </c>
      <c r="G2112" s="519"/>
      <c r="H2112" s="508"/>
      <c r="I2112" s="508"/>
      <c r="J2112" s="446">
        <v>1.01</v>
      </c>
      <c r="K2112" s="453">
        <f>+E2112*J2112</f>
        <v>0.66356999999999988</v>
      </c>
      <c r="L2112" s="243" t="s">
        <v>8</v>
      </c>
      <c r="M2112" s="173"/>
      <c r="N2112" s="68"/>
      <c r="O2112" s="203"/>
      <c r="P2112" s="218"/>
      <c r="Q2112" s="68"/>
      <c r="R2112" s="217"/>
    </row>
    <row r="2113" spans="1:24" ht="30" customHeight="1" x14ac:dyDescent="0.35">
      <c r="A2113" s="241" t="s">
        <v>360</v>
      </c>
      <c r="B2113" s="1082" t="s">
        <v>910</v>
      </c>
      <c r="C2113" s="1083"/>
      <c r="D2113" s="1093"/>
      <c r="E2113" s="591">
        <f xml:space="preserve"> 0.58+((1.15+1.713)/2)</f>
        <v>2.0114999999999998</v>
      </c>
      <c r="F2113" s="639" t="s">
        <v>8</v>
      </c>
      <c r="G2113" s="519"/>
      <c r="H2113" s="508"/>
      <c r="I2113" s="508"/>
      <c r="J2113" s="446">
        <v>1.01</v>
      </c>
      <c r="K2113" s="453">
        <f>+E2113*J2113</f>
        <v>2.0316149999999999</v>
      </c>
      <c r="L2113" s="243" t="s">
        <v>8</v>
      </c>
      <c r="M2113" s="173"/>
      <c r="N2113" s="68"/>
      <c r="O2113" s="203"/>
      <c r="P2113" s="218"/>
      <c r="Q2113" s="68"/>
      <c r="R2113" s="217"/>
    </row>
    <row r="2114" spans="1:24" ht="30" customHeight="1" x14ac:dyDescent="0.35">
      <c r="A2114" s="241"/>
      <c r="B2114" s="1059"/>
      <c r="C2114" s="1059"/>
      <c r="D2114" s="1059"/>
      <c r="E2114" s="453"/>
      <c r="F2114" s="446"/>
      <c r="G2114" s="519"/>
      <c r="H2114" s="508"/>
      <c r="I2114" s="508"/>
      <c r="J2114" s="446" t="s">
        <v>335</v>
      </c>
      <c r="K2114" s="453">
        <f>SUM(K2101:K2113)</f>
        <v>270.65524169518307</v>
      </c>
      <c r="L2114" s="243" t="s">
        <v>8</v>
      </c>
      <c r="M2114" s="173"/>
      <c r="N2114" s="68"/>
      <c r="O2114" s="203"/>
      <c r="P2114" s="218"/>
      <c r="Q2114" s="68"/>
      <c r="R2114" s="217"/>
    </row>
    <row r="2115" spans="1:24" ht="30" customHeight="1" x14ac:dyDescent="0.35">
      <c r="A2115" s="241"/>
      <c r="B2115" s="506"/>
      <c r="C2115" s="506"/>
      <c r="D2115" s="506"/>
      <c r="E2115" s="506"/>
      <c r="F2115" s="1029" t="s">
        <v>302</v>
      </c>
      <c r="G2115" s="1058" t="s">
        <v>303</v>
      </c>
      <c r="H2115" s="1058"/>
      <c r="I2115" s="1058"/>
      <c r="J2115" s="1058"/>
      <c r="K2115" s="612">
        <v>1.1000000000000001</v>
      </c>
      <c r="L2115" s="243"/>
      <c r="M2115" s="173"/>
      <c r="N2115" s="68"/>
      <c r="O2115" s="203"/>
      <c r="P2115" s="218"/>
      <c r="Q2115" s="68"/>
      <c r="R2115" s="217"/>
    </row>
    <row r="2116" spans="1:24" ht="30" customHeight="1" x14ac:dyDescent="0.35">
      <c r="A2116" s="241"/>
      <c r="B2116" s="506"/>
      <c r="C2116" s="506"/>
      <c r="D2116" s="506"/>
      <c r="E2116" s="506"/>
      <c r="F2116" s="1030"/>
      <c r="G2116" s="1073" t="s">
        <v>2374</v>
      </c>
      <c r="H2116" s="1073"/>
      <c r="I2116" s="1073"/>
      <c r="J2116" s="1073"/>
      <c r="K2116" s="612">
        <v>1.08</v>
      </c>
      <c r="L2116" s="243"/>
      <c r="M2116" s="173"/>
      <c r="N2116" s="419"/>
      <c r="O2116" s="203"/>
      <c r="P2116" s="218"/>
      <c r="Q2116" s="68"/>
      <c r="R2116" s="217"/>
    </row>
    <row r="2117" spans="1:24" ht="30" customHeight="1" x14ac:dyDescent="0.35">
      <c r="A2117" s="241"/>
      <c r="B2117" s="446"/>
      <c r="C2117" s="458"/>
      <c r="D2117" s="458"/>
      <c r="E2117" s="458"/>
      <c r="F2117" s="458"/>
      <c r="G2117" s="458"/>
      <c r="H2117" s="458"/>
      <c r="I2117" s="458"/>
      <c r="J2117" s="446" t="s">
        <v>2356</v>
      </c>
      <c r="K2117" s="591">
        <f>+K2114*K2115/K2116</f>
        <v>275.66737580064938</v>
      </c>
      <c r="L2117" s="243" t="s">
        <v>8</v>
      </c>
      <c r="M2117" s="173"/>
      <c r="N2117" s="419"/>
      <c r="O2117" s="203"/>
      <c r="P2117" s="218"/>
      <c r="Q2117" s="68"/>
      <c r="R2117" s="217"/>
      <c r="T2117" s="208"/>
      <c r="U2117" s="208"/>
      <c r="V2117" s="208"/>
      <c r="W2117" s="208"/>
      <c r="X2117" s="208"/>
    </row>
    <row r="2118" spans="1:24" s="208" customFormat="1" ht="30" customHeight="1" x14ac:dyDescent="0.35">
      <c r="A2118" s="241"/>
      <c r="B2118" s="446"/>
      <c r="C2118" s="458"/>
      <c r="D2118" s="458"/>
      <c r="E2118" s="458"/>
      <c r="F2118" s="458"/>
      <c r="G2118" s="171"/>
      <c r="H2118" s="458"/>
      <c r="I2118" s="568" t="s">
        <v>2359</v>
      </c>
      <c r="J2118" s="583">
        <f>VLOOKUP(B2099,'Mil Cost Premiums for PUCs'!$A$4:$R$272,18,FALSE)</f>
        <v>1.3319480854780448</v>
      </c>
      <c r="K2118" s="591">
        <f>+K2117*J2118</f>
        <v>367.17463342643163</v>
      </c>
      <c r="L2118" s="243" t="s">
        <v>8</v>
      </c>
      <c r="M2118" s="173"/>
      <c r="N2118" s="171"/>
      <c r="O2118" s="218"/>
      <c r="P2118" s="68"/>
      <c r="Q2118" s="217"/>
      <c r="R2118" s="203"/>
      <c r="S2118" s="203"/>
      <c r="T2118" s="203"/>
      <c r="U2118" s="203"/>
      <c r="V2118" s="203"/>
      <c r="W2118" s="203"/>
      <c r="X2118" s="203"/>
    </row>
    <row r="2119" spans="1:24" ht="60" customHeight="1" x14ac:dyDescent="0.35">
      <c r="A2119" s="1064" t="s">
        <v>305</v>
      </c>
      <c r="B2119" s="1065"/>
      <c r="C2119" s="1065"/>
      <c r="D2119" s="1065"/>
      <c r="E2119" s="1065"/>
      <c r="F2119" s="1065"/>
      <c r="G2119" s="1065"/>
      <c r="H2119" s="1065"/>
      <c r="I2119" s="1065"/>
      <c r="J2119" s="1065"/>
      <c r="K2119" s="1065"/>
      <c r="L2119" s="1066"/>
      <c r="M2119" s="173"/>
      <c r="N2119" s="208"/>
      <c r="O2119" s="218"/>
      <c r="P2119" s="68"/>
      <c r="Q2119" s="217"/>
      <c r="R2119" s="208"/>
      <c r="S2119" s="208"/>
    </row>
    <row r="2120" spans="1:24" ht="30" customHeight="1" x14ac:dyDescent="0.35">
      <c r="A2120" s="1180" t="s">
        <v>306</v>
      </c>
      <c r="B2120" s="1057"/>
      <c r="C2120" s="1057"/>
      <c r="D2120" s="1067" t="s">
        <v>1133</v>
      </c>
      <c r="E2120" s="1065"/>
      <c r="F2120" s="1065"/>
      <c r="G2120" s="1065"/>
      <c r="H2120" s="1065"/>
      <c r="I2120" s="1065"/>
      <c r="J2120" s="1065"/>
      <c r="K2120" s="1065"/>
      <c r="L2120" s="1066"/>
      <c r="M2120" s="173"/>
      <c r="O2120" s="218"/>
      <c r="P2120" s="68"/>
      <c r="Q2120" s="217"/>
    </row>
    <row r="2121" spans="1:24" ht="45" customHeight="1" x14ac:dyDescent="0.35">
      <c r="A2121" s="1180" t="s">
        <v>307</v>
      </c>
      <c r="B2121" s="1057"/>
      <c r="C2121" s="1057"/>
      <c r="D2121" s="1067" t="s">
        <v>1134</v>
      </c>
      <c r="E2121" s="1065"/>
      <c r="F2121" s="1065"/>
      <c r="G2121" s="1065"/>
      <c r="H2121" s="1065"/>
      <c r="I2121" s="1065"/>
      <c r="J2121" s="1065"/>
      <c r="K2121" s="1065"/>
      <c r="L2121" s="1066"/>
      <c r="M2121" s="173"/>
      <c r="O2121" s="218"/>
      <c r="P2121" s="68"/>
      <c r="Q2121" s="217"/>
    </row>
    <row r="2122" spans="1:24" ht="30" customHeight="1" x14ac:dyDescent="0.35">
      <c r="A2122" s="1180" t="s">
        <v>308</v>
      </c>
      <c r="B2122" s="1057"/>
      <c r="C2122" s="1057"/>
      <c r="D2122" s="1067" t="s">
        <v>2999</v>
      </c>
      <c r="E2122" s="1065"/>
      <c r="F2122" s="1065"/>
      <c r="G2122" s="1065"/>
      <c r="H2122" s="1065"/>
      <c r="I2122" s="1065"/>
      <c r="J2122" s="1065"/>
      <c r="K2122" s="1065"/>
      <c r="L2122" s="1066"/>
      <c r="M2122" s="173"/>
      <c r="O2122" s="218"/>
      <c r="P2122" s="68"/>
      <c r="Q2122" s="217"/>
    </row>
    <row r="2123" spans="1:24" ht="45" customHeight="1" x14ac:dyDescent="0.35">
      <c r="A2123" s="1180" t="s">
        <v>309</v>
      </c>
      <c r="B2123" s="1057"/>
      <c r="C2123" s="1057"/>
      <c r="D2123" s="1067" t="s">
        <v>1135</v>
      </c>
      <c r="E2123" s="1065"/>
      <c r="F2123" s="1065"/>
      <c r="G2123" s="1065"/>
      <c r="H2123" s="1065"/>
      <c r="I2123" s="1065"/>
      <c r="J2123" s="1065"/>
      <c r="K2123" s="1065"/>
      <c r="L2123" s="1066"/>
      <c r="M2123" s="173"/>
      <c r="O2123" s="218"/>
      <c r="P2123" s="68"/>
      <c r="Q2123" s="217"/>
    </row>
    <row r="2124" spans="1:24" ht="60" customHeight="1" x14ac:dyDescent="0.35">
      <c r="A2124" s="1180" t="s">
        <v>311</v>
      </c>
      <c r="B2124" s="1057"/>
      <c r="C2124" s="1057"/>
      <c r="D2124" s="1067" t="s">
        <v>2313</v>
      </c>
      <c r="E2124" s="1065"/>
      <c r="F2124" s="1065"/>
      <c r="G2124" s="1065"/>
      <c r="H2124" s="1065"/>
      <c r="I2124" s="1065"/>
      <c r="J2124" s="1065"/>
      <c r="K2124" s="1065"/>
      <c r="L2124" s="1066"/>
      <c r="M2124" s="173"/>
      <c r="O2124" s="218"/>
      <c r="P2124" s="68"/>
      <c r="Q2124" s="217"/>
    </row>
    <row r="2125" spans="1:24" ht="30" customHeight="1" x14ac:dyDescent="0.35">
      <c r="A2125" s="1180" t="s">
        <v>313</v>
      </c>
      <c r="B2125" s="1057"/>
      <c r="C2125" s="1057"/>
      <c r="D2125" s="1067" t="s">
        <v>1136</v>
      </c>
      <c r="E2125" s="1065"/>
      <c r="F2125" s="1065"/>
      <c r="G2125" s="1065"/>
      <c r="H2125" s="1065"/>
      <c r="I2125" s="1065"/>
      <c r="J2125" s="1065"/>
      <c r="K2125" s="1065"/>
      <c r="L2125" s="1066"/>
      <c r="M2125" s="173"/>
      <c r="O2125" s="218"/>
      <c r="P2125" s="68"/>
      <c r="Q2125" s="217"/>
    </row>
    <row r="2126" spans="1:24" ht="30" customHeight="1" x14ac:dyDescent="0.35">
      <c r="A2126" s="1180" t="s">
        <v>315</v>
      </c>
      <c r="B2126" s="1057"/>
      <c r="C2126" s="1057"/>
      <c r="D2126" s="1067" t="s">
        <v>1094</v>
      </c>
      <c r="E2126" s="1065"/>
      <c r="F2126" s="1065"/>
      <c r="G2126" s="1065"/>
      <c r="H2126" s="1065"/>
      <c r="I2126" s="1065"/>
      <c r="J2126" s="1065"/>
      <c r="K2126" s="1065"/>
      <c r="L2126" s="1066"/>
      <c r="M2126" s="173"/>
      <c r="O2126" s="218"/>
      <c r="P2126" s="68"/>
      <c r="Q2126" s="217"/>
    </row>
    <row r="2127" spans="1:24" ht="75" customHeight="1" x14ac:dyDescent="0.35">
      <c r="A2127" s="1180" t="s">
        <v>316</v>
      </c>
      <c r="B2127" s="1057"/>
      <c r="C2127" s="1057"/>
      <c r="D2127" s="1067" t="s">
        <v>373</v>
      </c>
      <c r="E2127" s="1065"/>
      <c r="F2127" s="1065"/>
      <c r="G2127" s="1065"/>
      <c r="H2127" s="1065"/>
      <c r="I2127" s="1065"/>
      <c r="J2127" s="1065"/>
      <c r="K2127" s="1065"/>
      <c r="L2127" s="1066"/>
      <c r="M2127" s="173"/>
      <c r="O2127" s="218"/>
      <c r="P2127" s="68"/>
      <c r="Q2127" s="217"/>
    </row>
    <row r="2128" spans="1:24" ht="75" customHeight="1" thickBot="1" x14ac:dyDescent="0.4">
      <c r="A2128" s="1181" t="s">
        <v>318</v>
      </c>
      <c r="B2128" s="1182"/>
      <c r="C2128" s="1182"/>
      <c r="D2128" s="1068" t="s">
        <v>3002</v>
      </c>
      <c r="E2128" s="1069"/>
      <c r="F2128" s="1069"/>
      <c r="G2128" s="1069"/>
      <c r="H2128" s="1069"/>
      <c r="I2128" s="1069"/>
      <c r="J2128" s="1069"/>
      <c r="K2128" s="1069"/>
      <c r="L2128" s="1070"/>
      <c r="M2128" s="173"/>
      <c r="O2128" s="218"/>
      <c r="P2128" s="68"/>
      <c r="Q2128" s="217"/>
    </row>
    <row r="2129" spans="1:24" ht="30" customHeight="1" thickBot="1" x14ac:dyDescent="0.4">
      <c r="A2129" s="1086"/>
      <c r="B2129" s="1087"/>
      <c r="C2129" s="1087"/>
      <c r="D2129" s="1087"/>
      <c r="E2129" s="1087"/>
      <c r="F2129" s="1087"/>
      <c r="G2129" s="1087"/>
      <c r="H2129" s="1087"/>
      <c r="I2129" s="1087"/>
      <c r="J2129" s="1087"/>
      <c r="K2129" s="1087"/>
      <c r="L2129" s="1088"/>
      <c r="M2129" s="173"/>
      <c r="O2129" s="218"/>
      <c r="P2129" s="68"/>
      <c r="Q2129" s="217"/>
    </row>
    <row r="2130" spans="1:24" ht="30" customHeight="1" x14ac:dyDescent="0.35">
      <c r="A2130" s="775" t="s">
        <v>278</v>
      </c>
      <c r="B2130" s="695">
        <v>3161</v>
      </c>
      <c r="C2130" s="1096" t="s">
        <v>1137</v>
      </c>
      <c r="D2130" s="1097"/>
      <c r="E2130" s="543" t="s">
        <v>280</v>
      </c>
      <c r="F2130" s="791" t="s">
        <v>8</v>
      </c>
      <c r="G2130" s="543" t="s">
        <v>285</v>
      </c>
      <c r="H2130" s="792">
        <v>3466</v>
      </c>
      <c r="I2130" s="543" t="s">
        <v>281</v>
      </c>
      <c r="J2130" s="1019" t="s">
        <v>2371</v>
      </c>
      <c r="K2130" s="1019"/>
      <c r="L2130" s="1020"/>
      <c r="M2130" s="173"/>
      <c r="N2130" s="419"/>
      <c r="O2130" s="171"/>
      <c r="P2130" s="216"/>
      <c r="Q2130" s="419"/>
      <c r="R2130" s="219"/>
    </row>
    <row r="2131" spans="1:24" ht="30" customHeight="1" x14ac:dyDescent="0.35">
      <c r="A2131" s="588" t="s">
        <v>298</v>
      </c>
      <c r="B2131" s="1038" t="s">
        <v>321</v>
      </c>
      <c r="C2131" s="1039"/>
      <c r="D2131" s="1040"/>
      <c r="E2131" s="23" t="s">
        <v>290</v>
      </c>
      <c r="F2131" s="23" t="s">
        <v>322</v>
      </c>
      <c r="G2131" s="1012" t="s">
        <v>323</v>
      </c>
      <c r="H2131" s="1179"/>
      <c r="I2131" s="509" t="s">
        <v>299</v>
      </c>
      <c r="J2131" s="509"/>
      <c r="K2131" s="1012" t="s">
        <v>292</v>
      </c>
      <c r="L2131" s="1013"/>
      <c r="M2131" s="173"/>
      <c r="N2131" s="171"/>
      <c r="O2131" s="218"/>
      <c r="P2131" s="68"/>
      <c r="Q2131" s="217"/>
    </row>
    <row r="2132" spans="1:24" ht="30" customHeight="1" x14ac:dyDescent="0.35">
      <c r="A2132" s="241" t="s">
        <v>365</v>
      </c>
      <c r="B2132" s="1082" t="s">
        <v>3004</v>
      </c>
      <c r="C2132" s="1083"/>
      <c r="D2132" s="1093"/>
      <c r="E2132" s="453">
        <f>242-2.64</f>
        <v>239.36</v>
      </c>
      <c r="F2132" s="446" t="s">
        <v>8</v>
      </c>
      <c r="G2132" s="727"/>
      <c r="H2132" s="659"/>
      <c r="I2132" s="446">
        <v>1.01</v>
      </c>
      <c r="J2132" s="446"/>
      <c r="K2132" s="453">
        <f>+E2132*I2132</f>
        <v>241.75360000000001</v>
      </c>
      <c r="L2132" s="243" t="s">
        <v>8</v>
      </c>
      <c r="M2132" s="173"/>
      <c r="N2132" s="171"/>
      <c r="O2132" s="218"/>
      <c r="P2132" s="68"/>
      <c r="Q2132" s="217"/>
    </row>
    <row r="2133" spans="1:24" ht="30" customHeight="1" x14ac:dyDescent="0.35">
      <c r="A2133" s="241" t="s">
        <v>436</v>
      </c>
      <c r="B2133" s="1082" t="s">
        <v>2230</v>
      </c>
      <c r="C2133" s="1083"/>
      <c r="D2133" s="1093"/>
      <c r="E2133" s="51">
        <v>117000</v>
      </c>
      <c r="F2133" s="446" t="s">
        <v>10</v>
      </c>
      <c r="G2133" s="793">
        <f>+H2130</f>
        <v>3466</v>
      </c>
      <c r="H2133" s="791" t="s">
        <v>1138</v>
      </c>
      <c r="I2133" s="446">
        <v>1.02</v>
      </c>
      <c r="J2133" s="446"/>
      <c r="K2133" s="453">
        <f>+E2133/H2130*I2133*1</f>
        <v>34.431621465666474</v>
      </c>
      <c r="L2133" s="243" t="s">
        <v>8</v>
      </c>
      <c r="M2133" s="173"/>
      <c r="N2133" s="419"/>
      <c r="O2133" s="203"/>
      <c r="P2133" s="218"/>
      <c r="Q2133" s="68"/>
      <c r="R2133" s="217"/>
    </row>
    <row r="2134" spans="1:24" ht="30" customHeight="1" x14ac:dyDescent="0.35">
      <c r="A2134" s="241" t="s">
        <v>436</v>
      </c>
      <c r="B2134" s="1082" t="s">
        <v>1139</v>
      </c>
      <c r="C2134" s="1083"/>
      <c r="D2134" s="1093"/>
      <c r="E2134" s="453">
        <f>+(244+267)/2</f>
        <v>255.5</v>
      </c>
      <c r="F2134" s="639" t="s">
        <v>6</v>
      </c>
      <c r="G2134" s="637">
        <f>150/H2130</f>
        <v>4.3277553375649161E-2</v>
      </c>
      <c r="H2134" s="791" t="s">
        <v>1140</v>
      </c>
      <c r="I2134" s="446">
        <v>1.02</v>
      </c>
      <c r="J2134" s="446"/>
      <c r="K2134" s="453">
        <f>+E2134*(G2134)*I2134</f>
        <v>11.278563185227927</v>
      </c>
      <c r="L2134" s="243" t="s">
        <v>8</v>
      </c>
      <c r="M2134" s="173"/>
      <c r="N2134" s="419"/>
      <c r="O2134" s="203"/>
      <c r="P2134" s="218"/>
      <c r="Q2134" s="68"/>
      <c r="R2134" s="217"/>
    </row>
    <row r="2135" spans="1:24" ht="30" customHeight="1" x14ac:dyDescent="0.35">
      <c r="A2135" s="241" t="s">
        <v>436</v>
      </c>
      <c r="B2135" s="1082" t="s">
        <v>437</v>
      </c>
      <c r="C2135" s="1083"/>
      <c r="D2135" s="1093"/>
      <c r="E2135" s="453">
        <f>+(23.75+47.75)/2</f>
        <v>35.75</v>
      </c>
      <c r="F2135" s="639" t="s">
        <v>6</v>
      </c>
      <c r="G2135" s="637">
        <f>150/H2130</f>
        <v>4.3277553375649161E-2</v>
      </c>
      <c r="H2135" s="791" t="s">
        <v>1140</v>
      </c>
      <c r="I2135" s="446">
        <v>1.02</v>
      </c>
      <c r="J2135" s="446"/>
      <c r="K2135" s="453">
        <f>+E2135*(G2135)*I2135</f>
        <v>1.5781159838430467</v>
      </c>
      <c r="L2135" s="243" t="s">
        <v>8</v>
      </c>
      <c r="M2135" s="173"/>
      <c r="N2135" s="419"/>
      <c r="O2135" s="203"/>
      <c r="P2135" s="218"/>
      <c r="Q2135" s="68"/>
      <c r="R2135" s="217"/>
    </row>
    <row r="2136" spans="1:24" ht="30" customHeight="1" x14ac:dyDescent="0.35">
      <c r="A2136" s="241" t="s">
        <v>360</v>
      </c>
      <c r="B2136" s="1031" t="s">
        <v>1141</v>
      </c>
      <c r="C2136" s="1032"/>
      <c r="D2136" s="1032"/>
      <c r="E2136" s="453">
        <v>4.9000000000000004</v>
      </c>
      <c r="F2136" s="639" t="s">
        <v>8</v>
      </c>
      <c r="G2136" s="700"/>
      <c r="H2136" s="791"/>
      <c r="I2136" s="446">
        <v>1.01</v>
      </c>
      <c r="J2136" s="446"/>
      <c r="K2136" s="453">
        <f>+E2136*I2136</f>
        <v>4.9490000000000007</v>
      </c>
      <c r="L2136" s="243" t="s">
        <v>8</v>
      </c>
      <c r="M2136" s="173"/>
      <c r="N2136" s="419"/>
      <c r="O2136" s="203"/>
      <c r="P2136" s="218"/>
      <c r="Q2136" s="68"/>
      <c r="R2136" s="217"/>
    </row>
    <row r="2137" spans="1:24" ht="30" customHeight="1" x14ac:dyDescent="0.35">
      <c r="A2137" s="241" t="s">
        <v>360</v>
      </c>
      <c r="B2137" s="1031" t="s">
        <v>1142</v>
      </c>
      <c r="C2137" s="1032"/>
      <c r="D2137" s="1033"/>
      <c r="E2137" s="453">
        <f>0.15*E2136</f>
        <v>0.73499999999999999</v>
      </c>
      <c r="F2137" s="639" t="s">
        <v>8</v>
      </c>
      <c r="G2137" s="700"/>
      <c r="H2137" s="791"/>
      <c r="I2137" s="446">
        <v>1.01</v>
      </c>
      <c r="J2137" s="446"/>
      <c r="K2137" s="453">
        <f>+E2137*I2137</f>
        <v>0.74234999999999995</v>
      </c>
      <c r="L2137" s="243" t="s">
        <v>8</v>
      </c>
      <c r="M2137" s="173"/>
      <c r="N2137" s="419"/>
      <c r="O2137" s="203"/>
      <c r="P2137" s="218"/>
      <c r="Q2137" s="68"/>
      <c r="R2137" s="217"/>
    </row>
    <row r="2138" spans="1:24" ht="30" customHeight="1" x14ac:dyDescent="0.35">
      <c r="A2138" s="241" t="s">
        <v>360</v>
      </c>
      <c r="B2138" s="1082" t="s">
        <v>910</v>
      </c>
      <c r="C2138" s="1083"/>
      <c r="D2138" s="1093"/>
      <c r="E2138" s="591">
        <f xml:space="preserve"> 0.58+((1.15+1.71)/2)</f>
        <v>2.0099999999999998</v>
      </c>
      <c r="F2138" s="639" t="s">
        <v>8</v>
      </c>
      <c r="G2138" s="700"/>
      <c r="H2138" s="791"/>
      <c r="I2138" s="446">
        <v>1.01</v>
      </c>
      <c r="J2138" s="446"/>
      <c r="K2138" s="453">
        <f>+E2138*I2138</f>
        <v>2.0301</v>
      </c>
      <c r="L2138" s="243" t="s">
        <v>8</v>
      </c>
      <c r="M2138" s="173"/>
      <c r="N2138" s="419"/>
      <c r="O2138" s="203"/>
      <c r="P2138" s="218"/>
      <c r="Q2138" s="68"/>
      <c r="R2138" s="217"/>
    </row>
    <row r="2139" spans="1:24" ht="30" customHeight="1" x14ac:dyDescent="0.35">
      <c r="A2139" s="241"/>
      <c r="B2139" s="1059"/>
      <c r="C2139" s="1059"/>
      <c r="D2139" s="1059"/>
      <c r="E2139" s="453"/>
      <c r="F2139" s="446"/>
      <c r="G2139" s="519"/>
      <c r="H2139" s="436"/>
      <c r="I2139" s="446"/>
      <c r="J2139" s="446" t="s">
        <v>335</v>
      </c>
      <c r="K2139" s="453">
        <f>SUM(K2132:K2138)</f>
        <v>296.76335063473744</v>
      </c>
      <c r="L2139" s="243" t="s">
        <v>8</v>
      </c>
      <c r="M2139" s="173"/>
      <c r="N2139" s="419"/>
      <c r="O2139" s="203"/>
      <c r="P2139" s="218"/>
      <c r="Q2139" s="68"/>
      <c r="R2139" s="217"/>
    </row>
    <row r="2140" spans="1:24" ht="30" customHeight="1" x14ac:dyDescent="0.35">
      <c r="A2140" s="241"/>
      <c r="B2140" s="506"/>
      <c r="C2140" s="506"/>
      <c r="D2140" s="506"/>
      <c r="E2140" s="453"/>
      <c r="F2140" s="1029" t="s">
        <v>302</v>
      </c>
      <c r="G2140" s="1058" t="s">
        <v>303</v>
      </c>
      <c r="H2140" s="1058"/>
      <c r="I2140" s="1058"/>
      <c r="J2140" s="1058"/>
      <c r="K2140" s="665">
        <v>1.0900000000000001</v>
      </c>
      <c r="L2140" s="243"/>
      <c r="M2140" s="173"/>
      <c r="N2140" s="419"/>
      <c r="O2140" s="203"/>
      <c r="P2140" s="218"/>
      <c r="Q2140" s="68"/>
      <c r="R2140" s="217"/>
    </row>
    <row r="2141" spans="1:24" ht="30" customHeight="1" x14ac:dyDescent="0.35">
      <c r="A2141" s="241"/>
      <c r="B2141" s="506"/>
      <c r="C2141" s="506"/>
      <c r="D2141" s="506"/>
      <c r="E2141" s="453"/>
      <c r="F2141" s="1030"/>
      <c r="G2141" s="1073" t="s">
        <v>2374</v>
      </c>
      <c r="H2141" s="1073"/>
      <c r="I2141" s="1073"/>
      <c r="J2141" s="1073"/>
      <c r="K2141" s="612">
        <v>1.08</v>
      </c>
      <c r="L2141" s="243"/>
      <c r="M2141" s="173"/>
      <c r="N2141" s="419"/>
      <c r="O2141" s="203"/>
      <c r="P2141" s="218"/>
      <c r="Q2141" s="68"/>
      <c r="R2141" s="217"/>
    </row>
    <row r="2142" spans="1:24" ht="30" customHeight="1" x14ac:dyDescent="0.35">
      <c r="A2142" s="241"/>
      <c r="B2142" s="446"/>
      <c r="C2142" s="458"/>
      <c r="D2142" s="458"/>
      <c r="E2142" s="458"/>
      <c r="F2142" s="458"/>
      <c r="G2142" s="458"/>
      <c r="H2142" s="434"/>
      <c r="I2142" s="458"/>
      <c r="J2142" s="446" t="s">
        <v>2356</v>
      </c>
      <c r="K2142" s="591">
        <f>+K2139*K2140/K2141</f>
        <v>299.51115943691093</v>
      </c>
      <c r="L2142" s="243" t="s">
        <v>8</v>
      </c>
      <c r="M2142" s="173"/>
      <c r="N2142" s="419"/>
      <c r="O2142" s="203"/>
      <c r="P2142" s="218"/>
      <c r="Q2142" s="68"/>
      <c r="R2142" s="217"/>
    </row>
    <row r="2143" spans="1:24" ht="30" customHeight="1" x14ac:dyDescent="0.35">
      <c r="A2143" s="582"/>
      <c r="B2143" s="492"/>
      <c r="C2143" s="20"/>
      <c r="D2143" s="20"/>
      <c r="E2143" s="20"/>
      <c r="F2143" s="20"/>
      <c r="G2143" s="171"/>
      <c r="H2143" s="270"/>
      <c r="I2143" s="224" t="s">
        <v>2359</v>
      </c>
      <c r="J2143" s="583">
        <f>VLOOKUP(B2130,'Mil Cost Premiums for PUCs'!$A$4:$R$272,18,FALSE)</f>
        <v>1.3319480854780448</v>
      </c>
      <c r="K2143" s="591">
        <f>+K2142*J2143</f>
        <v>398.93331539130293</v>
      </c>
      <c r="L2143" s="243" t="s">
        <v>8</v>
      </c>
      <c r="M2143" s="173"/>
      <c r="N2143" s="419"/>
      <c r="O2143" s="203"/>
      <c r="P2143" s="218"/>
      <c r="Q2143" s="68"/>
      <c r="R2143" s="217"/>
      <c r="T2143" s="208"/>
      <c r="U2143" s="208"/>
      <c r="V2143" s="208"/>
      <c r="W2143" s="208"/>
      <c r="X2143" s="208"/>
    </row>
    <row r="2144" spans="1:24" s="208" customFormat="1" ht="60" customHeight="1" x14ac:dyDescent="0.35">
      <c r="A2144" s="1064" t="s">
        <v>305</v>
      </c>
      <c r="B2144" s="1065"/>
      <c r="C2144" s="1065"/>
      <c r="D2144" s="1065"/>
      <c r="E2144" s="1065"/>
      <c r="F2144" s="1065"/>
      <c r="G2144" s="1065"/>
      <c r="H2144" s="1065"/>
      <c r="I2144" s="1065"/>
      <c r="J2144" s="1065"/>
      <c r="K2144" s="1065"/>
      <c r="L2144" s="1066"/>
      <c r="M2144" s="173"/>
      <c r="N2144" s="171"/>
      <c r="O2144" s="218"/>
      <c r="P2144" s="68"/>
      <c r="Q2144" s="217"/>
      <c r="R2144" s="203"/>
      <c r="S2144" s="203"/>
      <c r="T2144" s="203"/>
      <c r="U2144" s="203"/>
      <c r="V2144" s="203"/>
      <c r="W2144" s="203"/>
      <c r="X2144" s="203"/>
    </row>
    <row r="2145" spans="1:19" ht="30" customHeight="1" x14ac:dyDescent="0.35">
      <c r="A2145" s="1077" t="s">
        <v>306</v>
      </c>
      <c r="B2145" s="1042"/>
      <c r="C2145" s="1043"/>
      <c r="D2145" s="1067" t="s">
        <v>1143</v>
      </c>
      <c r="E2145" s="1065"/>
      <c r="F2145" s="1065"/>
      <c r="G2145" s="1065"/>
      <c r="H2145" s="1065"/>
      <c r="I2145" s="1065"/>
      <c r="J2145" s="1065"/>
      <c r="K2145" s="1065"/>
      <c r="L2145" s="1066"/>
      <c r="M2145" s="173"/>
      <c r="N2145" s="208"/>
      <c r="O2145" s="218"/>
      <c r="P2145" s="68"/>
      <c r="Q2145" s="217"/>
      <c r="R2145" s="208"/>
      <c r="S2145" s="208"/>
    </row>
    <row r="2146" spans="1:19" ht="45" customHeight="1" x14ac:dyDescent="0.35">
      <c r="A2146" s="1077" t="s">
        <v>307</v>
      </c>
      <c r="B2146" s="1042"/>
      <c r="C2146" s="1043"/>
      <c r="D2146" s="1067" t="s">
        <v>1144</v>
      </c>
      <c r="E2146" s="1065"/>
      <c r="F2146" s="1065"/>
      <c r="G2146" s="1065"/>
      <c r="H2146" s="1065"/>
      <c r="I2146" s="1065"/>
      <c r="J2146" s="1065"/>
      <c r="K2146" s="1065"/>
      <c r="L2146" s="1066"/>
      <c r="M2146" s="173"/>
      <c r="O2146" s="218"/>
      <c r="P2146" s="68"/>
      <c r="Q2146" s="217"/>
    </row>
    <row r="2147" spans="1:19" ht="30" customHeight="1" x14ac:dyDescent="0.35">
      <c r="A2147" s="1077" t="s">
        <v>308</v>
      </c>
      <c r="B2147" s="1042"/>
      <c r="C2147" s="1043"/>
      <c r="D2147" s="1067" t="s">
        <v>3003</v>
      </c>
      <c r="E2147" s="1065"/>
      <c r="F2147" s="1065"/>
      <c r="G2147" s="1065"/>
      <c r="H2147" s="1065"/>
      <c r="I2147" s="1065"/>
      <c r="J2147" s="1065"/>
      <c r="K2147" s="1065"/>
      <c r="L2147" s="1066"/>
      <c r="M2147" s="173"/>
      <c r="O2147" s="218"/>
      <c r="P2147" s="68"/>
      <c r="Q2147" s="217"/>
    </row>
    <row r="2148" spans="1:19" ht="30" customHeight="1" x14ac:dyDescent="0.35">
      <c r="A2148" s="1077" t="s">
        <v>309</v>
      </c>
      <c r="B2148" s="1042"/>
      <c r="C2148" s="1043"/>
      <c r="D2148" s="1067" t="s">
        <v>1145</v>
      </c>
      <c r="E2148" s="1065"/>
      <c r="F2148" s="1065"/>
      <c r="G2148" s="1065"/>
      <c r="H2148" s="1065"/>
      <c r="I2148" s="1065"/>
      <c r="J2148" s="1065"/>
      <c r="K2148" s="1065"/>
      <c r="L2148" s="1066"/>
      <c r="M2148" s="173"/>
      <c r="O2148" s="218"/>
      <c r="P2148" s="68"/>
      <c r="Q2148" s="217"/>
    </row>
    <row r="2149" spans="1:19" ht="30" customHeight="1" x14ac:dyDescent="0.35">
      <c r="A2149" s="1077" t="s">
        <v>311</v>
      </c>
      <c r="B2149" s="1042"/>
      <c r="C2149" s="1043"/>
      <c r="D2149" s="1067" t="s">
        <v>1146</v>
      </c>
      <c r="E2149" s="1065"/>
      <c r="F2149" s="1065"/>
      <c r="G2149" s="1065"/>
      <c r="H2149" s="1065"/>
      <c r="I2149" s="1065"/>
      <c r="J2149" s="1065"/>
      <c r="K2149" s="1065"/>
      <c r="L2149" s="1066"/>
      <c r="M2149" s="173"/>
      <c r="O2149" s="218"/>
      <c r="P2149" s="68"/>
      <c r="Q2149" s="217"/>
    </row>
    <row r="2150" spans="1:19" ht="30" customHeight="1" x14ac:dyDescent="0.35">
      <c r="A2150" s="1077" t="s">
        <v>313</v>
      </c>
      <c r="B2150" s="1042"/>
      <c r="C2150" s="1043"/>
      <c r="D2150" s="1067" t="s">
        <v>1147</v>
      </c>
      <c r="E2150" s="1065"/>
      <c r="F2150" s="1065"/>
      <c r="G2150" s="1065"/>
      <c r="H2150" s="1065"/>
      <c r="I2150" s="1065"/>
      <c r="J2150" s="1065"/>
      <c r="K2150" s="1065"/>
      <c r="L2150" s="1066"/>
      <c r="M2150" s="173"/>
      <c r="O2150" s="218"/>
      <c r="P2150" s="68"/>
      <c r="Q2150" s="217"/>
    </row>
    <row r="2151" spans="1:19" ht="30" customHeight="1" x14ac:dyDescent="0.35">
      <c r="A2151" s="1077" t="s">
        <v>315</v>
      </c>
      <c r="B2151" s="1042"/>
      <c r="C2151" s="1043"/>
      <c r="D2151" s="1067" t="s">
        <v>1148</v>
      </c>
      <c r="E2151" s="1065"/>
      <c r="F2151" s="1065"/>
      <c r="G2151" s="1065"/>
      <c r="H2151" s="1065"/>
      <c r="I2151" s="1065"/>
      <c r="J2151" s="1065"/>
      <c r="K2151" s="1065"/>
      <c r="L2151" s="1066"/>
      <c r="M2151" s="173"/>
      <c r="O2151" s="218"/>
      <c r="P2151" s="68"/>
      <c r="Q2151" s="217"/>
    </row>
    <row r="2152" spans="1:19" ht="75" customHeight="1" x14ac:dyDescent="0.35">
      <c r="A2152" s="1077" t="s">
        <v>316</v>
      </c>
      <c r="B2152" s="1042"/>
      <c r="C2152" s="1043"/>
      <c r="D2152" s="1067" t="s">
        <v>373</v>
      </c>
      <c r="E2152" s="1065"/>
      <c r="F2152" s="1065"/>
      <c r="G2152" s="1065"/>
      <c r="H2152" s="1065"/>
      <c r="I2152" s="1065"/>
      <c r="J2152" s="1065"/>
      <c r="K2152" s="1065"/>
      <c r="L2152" s="1066"/>
      <c r="M2152" s="173"/>
      <c r="O2152" s="218"/>
      <c r="P2152" s="68"/>
      <c r="Q2152" s="217"/>
    </row>
    <row r="2153" spans="1:19" ht="45" customHeight="1" thickBot="1" x14ac:dyDescent="0.4">
      <c r="A2153" s="1077" t="s">
        <v>318</v>
      </c>
      <c r="B2153" s="1042"/>
      <c r="C2153" s="1043"/>
      <c r="D2153" s="1068" t="s">
        <v>3010</v>
      </c>
      <c r="E2153" s="1069"/>
      <c r="F2153" s="1069"/>
      <c r="G2153" s="1069"/>
      <c r="H2153" s="1069"/>
      <c r="I2153" s="1069"/>
      <c r="J2153" s="1069"/>
      <c r="K2153" s="1069"/>
      <c r="L2153" s="1070"/>
      <c r="M2153" s="173"/>
      <c r="O2153" s="218"/>
      <c r="P2153" s="68"/>
      <c r="Q2153" s="217"/>
    </row>
    <row r="2154" spans="1:19" ht="30" customHeight="1" thickBot="1" x14ac:dyDescent="0.4">
      <c r="A2154" s="1086"/>
      <c r="B2154" s="1087"/>
      <c r="C2154" s="1087"/>
      <c r="D2154" s="1087"/>
      <c r="E2154" s="1087"/>
      <c r="F2154" s="1087"/>
      <c r="G2154" s="1087"/>
      <c r="H2154" s="1087"/>
      <c r="I2154" s="1087"/>
      <c r="J2154" s="1087"/>
      <c r="K2154" s="1087"/>
      <c r="L2154" s="1088"/>
      <c r="M2154" s="173"/>
      <c r="O2154" s="218"/>
      <c r="P2154" s="68"/>
      <c r="Q2154" s="217"/>
    </row>
    <row r="2155" spans="1:19" ht="30" customHeight="1" x14ac:dyDescent="0.35">
      <c r="A2155" s="465" t="s">
        <v>278</v>
      </c>
      <c r="B2155" s="539">
        <v>3171</v>
      </c>
      <c r="C2155" s="1054" t="s">
        <v>1149</v>
      </c>
      <c r="D2155" s="1054"/>
      <c r="E2155" s="541" t="s">
        <v>280</v>
      </c>
      <c r="F2155" s="542" t="s">
        <v>8</v>
      </c>
      <c r="G2155" s="543" t="s">
        <v>285</v>
      </c>
      <c r="H2155" s="756">
        <v>10819</v>
      </c>
      <c r="I2155" s="541" t="s">
        <v>281</v>
      </c>
      <c r="J2155" s="1019" t="s">
        <v>2371</v>
      </c>
      <c r="K2155" s="1019"/>
      <c r="L2155" s="1020"/>
      <c r="M2155" s="173"/>
      <c r="O2155" s="218"/>
      <c r="P2155" s="68"/>
      <c r="Q2155" s="217"/>
    </row>
    <row r="2156" spans="1:19" ht="30" customHeight="1" x14ac:dyDescent="0.35">
      <c r="A2156" s="588" t="s">
        <v>298</v>
      </c>
      <c r="B2156" s="1038" t="s">
        <v>321</v>
      </c>
      <c r="C2156" s="1039"/>
      <c r="D2156" s="1040"/>
      <c r="E2156" s="23" t="s">
        <v>290</v>
      </c>
      <c r="F2156" s="23" t="s">
        <v>322</v>
      </c>
      <c r="G2156" s="1012" t="s">
        <v>323</v>
      </c>
      <c r="H2156" s="1179"/>
      <c r="I2156" s="500" t="s">
        <v>928</v>
      </c>
      <c r="J2156" s="509" t="s">
        <v>299</v>
      </c>
      <c r="K2156" s="1012" t="s">
        <v>292</v>
      </c>
      <c r="L2156" s="1013"/>
      <c r="M2156" s="173"/>
      <c r="O2156" s="218"/>
      <c r="P2156" s="68"/>
      <c r="Q2156" s="217"/>
    </row>
    <row r="2157" spans="1:19" ht="30" customHeight="1" x14ac:dyDescent="0.35">
      <c r="A2157" s="241" t="s">
        <v>903</v>
      </c>
      <c r="B2157" s="1082" t="s">
        <v>3005</v>
      </c>
      <c r="C2157" s="1083"/>
      <c r="D2157" s="1093"/>
      <c r="E2157" s="453">
        <f>97.5-2.64</f>
        <v>94.86</v>
      </c>
      <c r="F2157" s="446" t="s">
        <v>8</v>
      </c>
      <c r="G2157" s="53"/>
      <c r="H2157" s="498"/>
      <c r="I2157" s="258">
        <f>+E2157</f>
        <v>94.86</v>
      </c>
      <c r="J2157" s="446">
        <v>1.01</v>
      </c>
      <c r="K2157" s="40">
        <f t="shared" ref="K2157:K2164" si="61">+I2157*J2157</f>
        <v>95.808599999999998</v>
      </c>
      <c r="L2157" s="243" t="s">
        <v>8</v>
      </c>
      <c r="M2157" s="173"/>
      <c r="O2157" s="218"/>
      <c r="P2157" s="68"/>
      <c r="Q2157" s="217"/>
    </row>
    <row r="2158" spans="1:19" ht="30" customHeight="1" x14ac:dyDescent="0.35">
      <c r="A2158" s="241" t="s">
        <v>360</v>
      </c>
      <c r="B2158" s="1082" t="s">
        <v>367</v>
      </c>
      <c r="C2158" s="1083"/>
      <c r="D2158" s="1093"/>
      <c r="E2158" s="51">
        <v>4.38</v>
      </c>
      <c r="F2158" s="446" t="s">
        <v>8</v>
      </c>
      <c r="G2158" s="700"/>
      <c r="H2158" s="608"/>
      <c r="I2158" s="750">
        <f>+E2158</f>
        <v>4.38</v>
      </c>
      <c r="J2158" s="446">
        <v>1.01</v>
      </c>
      <c r="K2158" s="40">
        <f t="shared" si="61"/>
        <v>4.4238</v>
      </c>
      <c r="L2158" s="243" t="s">
        <v>8</v>
      </c>
      <c r="M2158" s="173"/>
      <c r="O2158" s="218"/>
      <c r="P2158" s="68"/>
      <c r="Q2158" s="217"/>
    </row>
    <row r="2159" spans="1:19" ht="30" customHeight="1" x14ac:dyDescent="0.35">
      <c r="A2159" s="241" t="s">
        <v>377</v>
      </c>
      <c r="B2159" s="1082" t="s">
        <v>1150</v>
      </c>
      <c r="C2159" s="1083"/>
      <c r="D2159" s="1093"/>
      <c r="E2159" s="591">
        <f>(20.3+31.5)/2</f>
        <v>25.9</v>
      </c>
      <c r="F2159" s="639" t="s">
        <v>8</v>
      </c>
      <c r="G2159" s="643">
        <f>81*2*E2159</f>
        <v>4195.8</v>
      </c>
      <c r="H2159" s="608"/>
      <c r="I2159" s="750">
        <f>+G2159/H2155</f>
        <v>0.38781772807098625</v>
      </c>
      <c r="J2159" s="446">
        <v>1.03</v>
      </c>
      <c r="K2159" s="40">
        <f t="shared" si="61"/>
        <v>0.39945225991311584</v>
      </c>
      <c r="L2159" s="243" t="s">
        <v>8</v>
      </c>
      <c r="M2159" s="173"/>
      <c r="O2159" s="218"/>
      <c r="P2159" s="68"/>
      <c r="Q2159" s="217"/>
    </row>
    <row r="2160" spans="1:19" ht="30" customHeight="1" x14ac:dyDescent="0.35">
      <c r="A2160" s="241" t="s">
        <v>377</v>
      </c>
      <c r="B2160" s="1082" t="s">
        <v>379</v>
      </c>
      <c r="C2160" s="1083"/>
      <c r="D2160" s="1093"/>
      <c r="E2160" s="591">
        <f>(1710+2420)/2</f>
        <v>2065</v>
      </c>
      <c r="F2160" s="639"/>
      <c r="G2160" s="748">
        <f>+E2160*2</f>
        <v>4130</v>
      </c>
      <c r="H2160" s="608"/>
      <c r="I2160" s="750">
        <f>+G2160/H2155</f>
        <v>0.38173583510490805</v>
      </c>
      <c r="J2160" s="446">
        <v>1.03</v>
      </c>
      <c r="K2160" s="40">
        <f t="shared" si="61"/>
        <v>0.39318791015805532</v>
      </c>
      <c r="L2160" s="243" t="s">
        <v>8</v>
      </c>
      <c r="M2160" s="173"/>
      <c r="O2160" s="218"/>
      <c r="P2160" s="68"/>
      <c r="Q2160" s="217"/>
    </row>
    <row r="2161" spans="1:24" ht="30" customHeight="1" x14ac:dyDescent="0.35">
      <c r="A2161" s="241" t="s">
        <v>380</v>
      </c>
      <c r="B2161" s="1082" t="s">
        <v>2232</v>
      </c>
      <c r="C2161" s="1083"/>
      <c r="D2161" s="1093"/>
      <c r="E2161" s="453">
        <f>+(32.75+78)/2</f>
        <v>55.375</v>
      </c>
      <c r="F2161" s="639" t="s">
        <v>6</v>
      </c>
      <c r="G2161" s="700">
        <v>20</v>
      </c>
      <c r="H2161" s="608" t="s">
        <v>1058</v>
      </c>
      <c r="I2161" s="750">
        <f>+E2161*G2161/H2155</f>
        <v>0.1023662075977447</v>
      </c>
      <c r="J2161" s="446">
        <v>1.03</v>
      </c>
      <c r="K2161" s="40">
        <f t="shared" si="61"/>
        <v>0.10543719382567704</v>
      </c>
      <c r="L2161" s="243" t="s">
        <v>8</v>
      </c>
      <c r="M2161" s="173"/>
      <c r="O2161" s="218"/>
      <c r="P2161" s="68"/>
      <c r="Q2161" s="217"/>
    </row>
    <row r="2162" spans="1:24" ht="30" customHeight="1" x14ac:dyDescent="0.35">
      <c r="A2162" s="241" t="s">
        <v>380</v>
      </c>
      <c r="B2162" s="1082" t="s">
        <v>947</v>
      </c>
      <c r="C2162" s="1083"/>
      <c r="D2162" s="1093"/>
      <c r="E2162" s="453">
        <f>+(6150+11800)/2</f>
        <v>8975</v>
      </c>
      <c r="F2162" s="639" t="s">
        <v>10</v>
      </c>
      <c r="G2162" s="700">
        <v>2</v>
      </c>
      <c r="H2162" s="608" t="s">
        <v>932</v>
      </c>
      <c r="I2162" s="750">
        <f>+E2162*2/H2155</f>
        <v>1.6591182179499029</v>
      </c>
      <c r="J2162" s="446">
        <v>1.03</v>
      </c>
      <c r="K2162" s="40">
        <f t="shared" si="61"/>
        <v>1.7088917644884001</v>
      </c>
      <c r="L2162" s="243" t="s">
        <v>8</v>
      </c>
      <c r="M2162" s="173"/>
      <c r="N2162" s="419"/>
      <c r="O2162" s="171"/>
      <c r="P2162" s="216"/>
      <c r="Q2162" s="419"/>
      <c r="R2162" s="219"/>
    </row>
    <row r="2163" spans="1:24" ht="30" customHeight="1" x14ac:dyDescent="0.35">
      <c r="A2163" s="241" t="s">
        <v>380</v>
      </c>
      <c r="B2163" s="1082" t="s">
        <v>948</v>
      </c>
      <c r="C2163" s="1083"/>
      <c r="D2163" s="1093"/>
      <c r="E2163" s="51">
        <f>+(630+965)/2</f>
        <v>797.5</v>
      </c>
      <c r="F2163" s="639" t="s">
        <v>10</v>
      </c>
      <c r="G2163" s="700">
        <v>2</v>
      </c>
      <c r="H2163" s="608" t="s">
        <v>932</v>
      </c>
      <c r="I2163" s="750">
        <f>+E2163*2/H2155</f>
        <v>0.14742582493760975</v>
      </c>
      <c r="J2163" s="446">
        <v>1.03</v>
      </c>
      <c r="K2163" s="40">
        <f t="shared" si="61"/>
        <v>0.15184859968573805</v>
      </c>
      <c r="L2163" s="243" t="s">
        <v>8</v>
      </c>
      <c r="M2163" s="173"/>
      <c r="O2163" s="218"/>
      <c r="P2163" s="68"/>
      <c r="Q2163" s="217"/>
    </row>
    <row r="2164" spans="1:24" ht="30" customHeight="1" x14ac:dyDescent="0.35">
      <c r="A2164" s="241" t="s">
        <v>380</v>
      </c>
      <c r="B2164" s="1082" t="s">
        <v>949</v>
      </c>
      <c r="C2164" s="1083"/>
      <c r="D2164" s="1093"/>
      <c r="E2164" s="453">
        <f>+(1110+3300)/2</f>
        <v>2205</v>
      </c>
      <c r="F2164" s="639" t="s">
        <v>10</v>
      </c>
      <c r="G2164" s="700">
        <v>2</v>
      </c>
      <c r="H2164" s="608" t="s">
        <v>932</v>
      </c>
      <c r="I2164" s="750">
        <f>+E2164*2/H2155</f>
        <v>0.40761623070524078</v>
      </c>
      <c r="J2164" s="446">
        <v>1.03</v>
      </c>
      <c r="K2164" s="40">
        <f t="shared" si="61"/>
        <v>0.41984471762639802</v>
      </c>
      <c r="L2164" s="243" t="s">
        <v>8</v>
      </c>
      <c r="M2164" s="173"/>
      <c r="O2164" s="218"/>
      <c r="P2164" s="68"/>
      <c r="Q2164" s="217"/>
    </row>
    <row r="2165" spans="1:24" ht="30" customHeight="1" x14ac:dyDescent="0.35">
      <c r="A2165" s="241"/>
      <c r="B2165" s="1059"/>
      <c r="C2165" s="1059"/>
      <c r="D2165" s="1059"/>
      <c r="E2165" s="453"/>
      <c r="F2165" s="446"/>
      <c r="G2165" s="519"/>
      <c r="H2165" s="508"/>
      <c r="I2165" s="508"/>
      <c r="J2165" s="446" t="s">
        <v>362</v>
      </c>
      <c r="K2165" s="453">
        <f>SUM(K2157:K2164)</f>
        <v>103.4110624456974</v>
      </c>
      <c r="L2165" s="243" t="s">
        <v>8</v>
      </c>
      <c r="M2165" s="173"/>
      <c r="N2165" s="68"/>
      <c r="O2165" s="203"/>
      <c r="P2165" s="218"/>
      <c r="Q2165" s="68"/>
      <c r="R2165" s="217"/>
    </row>
    <row r="2166" spans="1:24" ht="30" customHeight="1" x14ac:dyDescent="0.35">
      <c r="A2166" s="241"/>
      <c r="B2166" s="506"/>
      <c r="C2166" s="506"/>
      <c r="D2166" s="506"/>
      <c r="E2166" s="506"/>
      <c r="F2166" s="1029" t="s">
        <v>302</v>
      </c>
      <c r="G2166" s="1058" t="s">
        <v>303</v>
      </c>
      <c r="H2166" s="1058"/>
      <c r="I2166" s="1058"/>
      <c r="J2166" s="1058"/>
      <c r="K2166" s="612">
        <v>1.1000000000000001</v>
      </c>
      <c r="L2166" s="243"/>
      <c r="M2166" s="173"/>
      <c r="N2166" s="68"/>
      <c r="O2166" s="203"/>
      <c r="P2166" s="218"/>
      <c r="Q2166" s="68"/>
      <c r="R2166" s="217"/>
    </row>
    <row r="2167" spans="1:24" ht="30" customHeight="1" x14ac:dyDescent="0.35">
      <c r="A2167" s="241"/>
      <c r="B2167" s="506"/>
      <c r="C2167" s="506"/>
      <c r="D2167" s="506"/>
      <c r="E2167" s="506"/>
      <c r="F2167" s="1030"/>
      <c r="G2167" s="1073" t="s">
        <v>2374</v>
      </c>
      <c r="H2167" s="1073"/>
      <c r="I2167" s="1073"/>
      <c r="J2167" s="1073"/>
      <c r="K2167" s="612">
        <v>1.08</v>
      </c>
      <c r="L2167" s="243"/>
      <c r="M2167" s="173"/>
      <c r="N2167" s="68"/>
      <c r="O2167" s="203"/>
      <c r="P2167" s="218"/>
      <c r="Q2167" s="68"/>
      <c r="R2167" s="217"/>
    </row>
    <row r="2168" spans="1:24" ht="30" customHeight="1" x14ac:dyDescent="0.35">
      <c r="A2168" s="785"/>
      <c r="B2168" s="786"/>
      <c r="C2168" s="787"/>
      <c r="D2168" s="787"/>
      <c r="E2168" s="787"/>
      <c r="F2168" s="787"/>
      <c r="G2168" s="794"/>
      <c r="H2168" s="458"/>
      <c r="I2168" s="458"/>
      <c r="J2168" s="458" t="s">
        <v>2356</v>
      </c>
      <c r="K2168" s="591">
        <f>+K2165*K2166/K2167</f>
        <v>105.32608212061771</v>
      </c>
      <c r="L2168" s="243" t="s">
        <v>8</v>
      </c>
      <c r="M2168" s="173"/>
      <c r="N2168" s="68"/>
      <c r="O2168" s="203"/>
      <c r="P2168" s="218"/>
      <c r="Q2168" s="68"/>
      <c r="R2168" s="217"/>
    </row>
    <row r="2169" spans="1:24" ht="30" customHeight="1" x14ac:dyDescent="0.35">
      <c r="A2169" s="785"/>
      <c r="B2169" s="786"/>
      <c r="C2169" s="787"/>
      <c r="D2169" s="787"/>
      <c r="E2169" s="787"/>
      <c r="F2169" s="787"/>
      <c r="G2169" s="171"/>
      <c r="H2169" s="458"/>
      <c r="I2169" s="753" t="s">
        <v>2359</v>
      </c>
      <c r="J2169" s="583">
        <f>VLOOKUP(B2155,'Mil Cost Premiums for PUCs'!$A$4:$R$272,18,FALSE)</f>
        <v>1.3319480854780448</v>
      </c>
      <c r="K2169" s="591">
        <f>+K2168*J2169</f>
        <v>140.28887343146008</v>
      </c>
      <c r="L2169" s="243" t="s">
        <v>8</v>
      </c>
      <c r="M2169" s="173"/>
      <c r="N2169" s="68"/>
      <c r="O2169" s="203"/>
      <c r="P2169" s="218"/>
      <c r="Q2169" s="68"/>
      <c r="R2169" s="217"/>
    </row>
    <row r="2170" spans="1:24" ht="60" customHeight="1" x14ac:dyDescent="0.35">
      <c r="A2170" s="1198" t="s">
        <v>305</v>
      </c>
      <c r="B2170" s="1083"/>
      <c r="C2170" s="1083"/>
      <c r="D2170" s="1083"/>
      <c r="E2170" s="1083"/>
      <c r="F2170" s="1083"/>
      <c r="G2170" s="1083"/>
      <c r="H2170" s="1083"/>
      <c r="I2170" s="1083"/>
      <c r="J2170" s="1083"/>
      <c r="K2170" s="1083"/>
      <c r="L2170" s="1084"/>
      <c r="M2170" s="173"/>
      <c r="N2170" s="68"/>
      <c r="O2170" s="203"/>
      <c r="P2170" s="218"/>
      <c r="Q2170" s="68"/>
      <c r="R2170" s="217"/>
    </row>
    <row r="2171" spans="1:24" ht="30" customHeight="1" x14ac:dyDescent="0.35">
      <c r="A2171" s="1180" t="s">
        <v>306</v>
      </c>
      <c r="B2171" s="1057"/>
      <c r="C2171" s="1057"/>
      <c r="D2171" s="1067" t="s">
        <v>1151</v>
      </c>
      <c r="E2171" s="1065"/>
      <c r="F2171" s="1065"/>
      <c r="G2171" s="1065"/>
      <c r="H2171" s="1065"/>
      <c r="I2171" s="1065"/>
      <c r="J2171" s="1065"/>
      <c r="K2171" s="1065"/>
      <c r="L2171" s="1066"/>
      <c r="M2171" s="173"/>
      <c r="N2171" s="68"/>
      <c r="O2171" s="203"/>
      <c r="P2171" s="218"/>
      <c r="Q2171" s="68"/>
      <c r="R2171" s="217"/>
    </row>
    <row r="2172" spans="1:24" ht="30" customHeight="1" x14ac:dyDescent="0.35">
      <c r="A2172" s="1180" t="s">
        <v>307</v>
      </c>
      <c r="B2172" s="1057"/>
      <c r="C2172" s="1057"/>
      <c r="D2172" s="1067" t="s">
        <v>1152</v>
      </c>
      <c r="E2172" s="1065"/>
      <c r="F2172" s="1065"/>
      <c r="G2172" s="1065"/>
      <c r="H2172" s="1065"/>
      <c r="I2172" s="1065"/>
      <c r="J2172" s="1065"/>
      <c r="K2172" s="1065"/>
      <c r="L2172" s="1066"/>
      <c r="M2172" s="173"/>
      <c r="N2172" s="68"/>
      <c r="O2172" s="203"/>
      <c r="P2172" s="218"/>
      <c r="Q2172" s="68"/>
      <c r="R2172" s="217"/>
    </row>
    <row r="2173" spans="1:24" ht="30" customHeight="1" x14ac:dyDescent="0.35">
      <c r="A2173" s="1180" t="s">
        <v>308</v>
      </c>
      <c r="B2173" s="1057"/>
      <c r="C2173" s="1057"/>
      <c r="D2173" s="1067" t="s">
        <v>3006</v>
      </c>
      <c r="E2173" s="1065"/>
      <c r="F2173" s="1065"/>
      <c r="G2173" s="1065"/>
      <c r="H2173" s="1065"/>
      <c r="I2173" s="1065"/>
      <c r="J2173" s="1065"/>
      <c r="K2173" s="1065"/>
      <c r="L2173" s="1066"/>
      <c r="M2173" s="173"/>
      <c r="N2173" s="68"/>
      <c r="O2173" s="203"/>
      <c r="P2173" s="218"/>
      <c r="Q2173" s="68"/>
      <c r="R2173" s="217"/>
    </row>
    <row r="2174" spans="1:24" ht="30" customHeight="1" x14ac:dyDescent="0.35">
      <c r="A2174" s="1180" t="s">
        <v>309</v>
      </c>
      <c r="B2174" s="1057"/>
      <c r="C2174" s="1057"/>
      <c r="D2174" s="1067" t="s">
        <v>1153</v>
      </c>
      <c r="E2174" s="1065"/>
      <c r="F2174" s="1065"/>
      <c r="G2174" s="1065"/>
      <c r="H2174" s="1065"/>
      <c r="I2174" s="1065"/>
      <c r="J2174" s="1065"/>
      <c r="K2174" s="1065"/>
      <c r="L2174" s="1066"/>
      <c r="M2174" s="173"/>
      <c r="N2174" s="68"/>
      <c r="O2174" s="203"/>
      <c r="P2174" s="218"/>
      <c r="Q2174" s="68"/>
      <c r="R2174" s="217"/>
    </row>
    <row r="2175" spans="1:24" ht="60" customHeight="1" x14ac:dyDescent="0.35">
      <c r="A2175" s="1180" t="s">
        <v>311</v>
      </c>
      <c r="B2175" s="1057"/>
      <c r="C2175" s="1057"/>
      <c r="D2175" s="1067" t="s">
        <v>2231</v>
      </c>
      <c r="E2175" s="1065"/>
      <c r="F2175" s="1065"/>
      <c r="G2175" s="1065"/>
      <c r="H2175" s="1065"/>
      <c r="I2175" s="1065"/>
      <c r="J2175" s="1065"/>
      <c r="K2175" s="1065"/>
      <c r="L2175" s="1066"/>
      <c r="M2175" s="173"/>
      <c r="N2175" s="419"/>
      <c r="O2175" s="203"/>
      <c r="P2175" s="218"/>
      <c r="Q2175" s="68"/>
      <c r="R2175" s="217"/>
      <c r="T2175" s="208"/>
      <c r="U2175" s="208"/>
      <c r="V2175" s="208"/>
      <c r="W2175" s="208"/>
      <c r="X2175" s="208"/>
    </row>
    <row r="2176" spans="1:24" s="208" customFormat="1" ht="30" customHeight="1" x14ac:dyDescent="0.35">
      <c r="A2176" s="1180" t="s">
        <v>313</v>
      </c>
      <c r="B2176" s="1057"/>
      <c r="C2176" s="1057"/>
      <c r="D2176" s="1067" t="s">
        <v>2314</v>
      </c>
      <c r="E2176" s="1065"/>
      <c r="F2176" s="1065"/>
      <c r="G2176" s="1065"/>
      <c r="H2176" s="1065"/>
      <c r="I2176" s="1065"/>
      <c r="J2176" s="1065"/>
      <c r="K2176" s="1065"/>
      <c r="L2176" s="1066"/>
      <c r="M2176" s="173"/>
      <c r="N2176" s="203"/>
      <c r="O2176" s="218"/>
      <c r="P2176" s="68"/>
      <c r="Q2176" s="217"/>
      <c r="R2176" s="203"/>
      <c r="S2176" s="203"/>
      <c r="T2176" s="203"/>
      <c r="U2176" s="203"/>
      <c r="V2176" s="203"/>
      <c r="W2176" s="203"/>
      <c r="X2176" s="203"/>
    </row>
    <row r="2177" spans="1:19" ht="30" customHeight="1" x14ac:dyDescent="0.35">
      <c r="A2177" s="1180" t="s">
        <v>315</v>
      </c>
      <c r="B2177" s="1057"/>
      <c r="C2177" s="1057"/>
      <c r="D2177" s="1067" t="s">
        <v>1154</v>
      </c>
      <c r="E2177" s="1065"/>
      <c r="F2177" s="1065"/>
      <c r="G2177" s="1065"/>
      <c r="H2177" s="1065"/>
      <c r="I2177" s="1065"/>
      <c r="J2177" s="1065"/>
      <c r="K2177" s="1065"/>
      <c r="L2177" s="1066"/>
      <c r="M2177" s="173"/>
      <c r="N2177" s="208"/>
      <c r="O2177" s="218"/>
      <c r="P2177" s="68"/>
      <c r="Q2177" s="217"/>
      <c r="R2177" s="208"/>
      <c r="S2177" s="208"/>
    </row>
    <row r="2178" spans="1:19" ht="75" customHeight="1" x14ac:dyDescent="0.35">
      <c r="A2178" s="1180" t="s">
        <v>316</v>
      </c>
      <c r="B2178" s="1057"/>
      <c r="C2178" s="1057"/>
      <c r="D2178" s="1067" t="s">
        <v>373</v>
      </c>
      <c r="E2178" s="1065"/>
      <c r="F2178" s="1065"/>
      <c r="G2178" s="1065"/>
      <c r="H2178" s="1065"/>
      <c r="I2178" s="1065"/>
      <c r="J2178" s="1065"/>
      <c r="K2178" s="1065"/>
      <c r="L2178" s="1066"/>
      <c r="M2178" s="173"/>
      <c r="O2178" s="218"/>
      <c r="P2178" s="68"/>
      <c r="Q2178" s="217"/>
    </row>
    <row r="2179" spans="1:19" ht="60" customHeight="1" thickBot="1" x14ac:dyDescent="0.4">
      <c r="A2179" s="1181" t="s">
        <v>318</v>
      </c>
      <c r="B2179" s="1182"/>
      <c r="C2179" s="1182"/>
      <c r="D2179" s="1068" t="s">
        <v>2880</v>
      </c>
      <c r="E2179" s="1069"/>
      <c r="F2179" s="1069"/>
      <c r="G2179" s="1069"/>
      <c r="H2179" s="1069"/>
      <c r="I2179" s="1069"/>
      <c r="J2179" s="1069"/>
      <c r="K2179" s="1069"/>
      <c r="L2179" s="1070"/>
      <c r="M2179" s="173"/>
      <c r="O2179" s="218"/>
      <c r="P2179" s="68"/>
      <c r="Q2179" s="217"/>
    </row>
    <row r="2180" spans="1:19" ht="30" customHeight="1" thickBot="1" x14ac:dyDescent="0.4">
      <c r="A2180" s="1086"/>
      <c r="B2180" s="1087"/>
      <c r="C2180" s="1087"/>
      <c r="D2180" s="1087"/>
      <c r="E2180" s="1087"/>
      <c r="F2180" s="1087"/>
      <c r="G2180" s="1087"/>
      <c r="H2180" s="1087"/>
      <c r="I2180" s="1087"/>
      <c r="J2180" s="1087"/>
      <c r="K2180" s="1087"/>
      <c r="L2180" s="1088"/>
      <c r="M2180" s="173"/>
      <c r="O2180" s="218"/>
      <c r="P2180" s="68"/>
      <c r="Q2180" s="217"/>
    </row>
    <row r="2181" spans="1:19" ht="30" customHeight="1" x14ac:dyDescent="0.35">
      <c r="A2181" s="465" t="s">
        <v>278</v>
      </c>
      <c r="B2181" s="539">
        <v>3181</v>
      </c>
      <c r="C2181" s="1017" t="s">
        <v>1155</v>
      </c>
      <c r="D2181" s="1018"/>
      <c r="E2181" s="541" t="s">
        <v>280</v>
      </c>
      <c r="F2181" s="542" t="s">
        <v>8</v>
      </c>
      <c r="G2181" s="543" t="s">
        <v>3012</v>
      </c>
      <c r="H2181" s="632">
        <v>10499</v>
      </c>
      <c r="I2181" s="541" t="s">
        <v>281</v>
      </c>
      <c r="J2181" s="1019" t="s">
        <v>2371</v>
      </c>
      <c r="K2181" s="1019"/>
      <c r="L2181" s="1020"/>
      <c r="M2181" s="173"/>
      <c r="O2181" s="218"/>
      <c r="P2181" s="68"/>
      <c r="Q2181" s="217"/>
    </row>
    <row r="2182" spans="1:19" ht="30" customHeight="1" x14ac:dyDescent="0.35">
      <c r="A2182" s="588" t="s">
        <v>298</v>
      </c>
      <c r="B2182" s="1038" t="s">
        <v>321</v>
      </c>
      <c r="C2182" s="1039"/>
      <c r="D2182" s="1040"/>
      <c r="E2182" s="23" t="s">
        <v>290</v>
      </c>
      <c r="F2182" s="23" t="s">
        <v>322</v>
      </c>
      <c r="G2182" s="1034" t="s">
        <v>323</v>
      </c>
      <c r="H2182" s="1035"/>
      <c r="I2182" s="500" t="s">
        <v>1125</v>
      </c>
      <c r="J2182" s="509" t="s">
        <v>299</v>
      </c>
      <c r="K2182" s="1012" t="s">
        <v>292</v>
      </c>
      <c r="L2182" s="1013"/>
      <c r="M2182" s="173"/>
      <c r="O2182" s="218"/>
      <c r="P2182" s="68"/>
      <c r="Q2182" s="217"/>
    </row>
    <row r="2183" spans="1:19" ht="30" customHeight="1" x14ac:dyDescent="0.35">
      <c r="A2183" s="241" t="s">
        <v>365</v>
      </c>
      <c r="B2183" s="1082" t="s">
        <v>3007</v>
      </c>
      <c r="C2183" s="1083"/>
      <c r="D2183" s="1093"/>
      <c r="E2183" s="453">
        <f>242-2.64</f>
        <v>239.36</v>
      </c>
      <c r="F2183" s="446" t="s">
        <v>8</v>
      </c>
      <c r="G2183" s="727"/>
      <c r="H2183" s="659"/>
      <c r="I2183" s="659"/>
      <c r="J2183" s="446">
        <v>1.01</v>
      </c>
      <c r="K2183" s="453">
        <f>+E2183*J2183</f>
        <v>241.75360000000001</v>
      </c>
      <c r="L2183" s="243" t="s">
        <v>8</v>
      </c>
      <c r="M2183" s="173"/>
      <c r="O2183" s="218"/>
      <c r="P2183" s="68"/>
      <c r="Q2183" s="217"/>
    </row>
    <row r="2184" spans="1:19" ht="30" customHeight="1" x14ac:dyDescent="0.35">
      <c r="A2184" s="241" t="s">
        <v>436</v>
      </c>
      <c r="B2184" s="1082" t="s">
        <v>1156</v>
      </c>
      <c r="C2184" s="1083"/>
      <c r="D2184" s="1093"/>
      <c r="E2184" s="51">
        <v>141000</v>
      </c>
      <c r="F2184" s="446" t="s">
        <v>10</v>
      </c>
      <c r="G2184" s="646">
        <f>+H2181</f>
        <v>10499</v>
      </c>
      <c r="H2184" s="508" t="s">
        <v>1015</v>
      </c>
      <c r="I2184" s="508"/>
      <c r="J2184" s="446">
        <v>1.02</v>
      </c>
      <c r="K2184" s="453">
        <f>+E2184/G2184*J2184*1</f>
        <v>13.698447471187732</v>
      </c>
      <c r="L2184" s="243" t="s">
        <v>8</v>
      </c>
      <c r="M2184" s="362"/>
      <c r="O2184" s="218"/>
      <c r="P2184" s="68"/>
      <c r="Q2184" s="217"/>
    </row>
    <row r="2185" spans="1:19" ht="30" customHeight="1" x14ac:dyDescent="0.35">
      <c r="A2185" s="241" t="s">
        <v>436</v>
      </c>
      <c r="B2185" s="1082" t="s">
        <v>437</v>
      </c>
      <c r="C2185" s="1083"/>
      <c r="D2185" s="1093"/>
      <c r="E2185" s="591">
        <f>+(23.75+47.75)/2</f>
        <v>35.75</v>
      </c>
      <c r="F2185" s="639" t="s">
        <v>6</v>
      </c>
      <c r="G2185" s="646">
        <f>240/H2181</f>
        <v>2.2859319935231926E-2</v>
      </c>
      <c r="H2185" s="508" t="s">
        <v>1157</v>
      </c>
      <c r="I2185" s="508"/>
      <c r="J2185" s="446">
        <v>1.02</v>
      </c>
      <c r="K2185" s="453">
        <f>+E2185*G2185*J2185</f>
        <v>0.83356510143823226</v>
      </c>
      <c r="L2185" s="243" t="s">
        <v>8</v>
      </c>
      <c r="M2185" s="173"/>
      <c r="O2185" s="218"/>
      <c r="P2185" s="68"/>
      <c r="Q2185" s="217"/>
    </row>
    <row r="2186" spans="1:19" ht="30" customHeight="1" x14ac:dyDescent="0.35">
      <c r="A2186" s="241" t="s">
        <v>436</v>
      </c>
      <c r="B2186" s="1082" t="s">
        <v>3013</v>
      </c>
      <c r="C2186" s="1083"/>
      <c r="D2186" s="1093"/>
      <c r="E2186" s="453">
        <f>(244+267)/2</f>
        <v>255.5</v>
      </c>
      <c r="F2186" s="639" t="s">
        <v>6</v>
      </c>
      <c r="G2186" s="646">
        <f>240/H2181</f>
        <v>2.2859319935231926E-2</v>
      </c>
      <c r="H2186" s="508" t="s">
        <v>1157</v>
      </c>
      <c r="I2186" s="508"/>
      <c r="J2186" s="446">
        <v>1.02</v>
      </c>
      <c r="K2186" s="453">
        <f>+E2186*G2186*J2186</f>
        <v>5.9573673683207922</v>
      </c>
      <c r="L2186" s="243" t="s">
        <v>8</v>
      </c>
      <c r="M2186" s="173"/>
      <c r="O2186" s="218"/>
      <c r="P2186" s="68"/>
      <c r="Q2186" s="217"/>
    </row>
    <row r="2187" spans="1:19" ht="30" customHeight="1" x14ac:dyDescent="0.35">
      <c r="A2187" s="241" t="s">
        <v>377</v>
      </c>
      <c r="B2187" s="1082" t="s">
        <v>3008</v>
      </c>
      <c r="C2187" s="1083"/>
      <c r="D2187" s="1093"/>
      <c r="E2187" s="453">
        <f>(20.3+31.5)/2</f>
        <v>25.9</v>
      </c>
      <c r="F2187" s="639" t="s">
        <v>8</v>
      </c>
      <c r="G2187" s="604">
        <v>81</v>
      </c>
      <c r="H2187" s="608" t="s">
        <v>1129</v>
      </c>
      <c r="I2187" s="750">
        <f t="shared" ref="I2187:I2192" si="62">+E2187*G2187/$H$2181</f>
        <v>0.1998190303838461</v>
      </c>
      <c r="J2187" s="446">
        <v>1.03</v>
      </c>
      <c r="K2187" s="453">
        <f t="shared" ref="K2187:K2192" si="63">+I2187*J2187</f>
        <v>0.2058136012953615</v>
      </c>
      <c r="L2187" s="243" t="s">
        <v>8</v>
      </c>
      <c r="M2187" s="173"/>
      <c r="O2187" s="218"/>
      <c r="P2187" s="68"/>
      <c r="Q2187" s="217"/>
    </row>
    <row r="2188" spans="1:19" ht="30" customHeight="1" x14ac:dyDescent="0.35">
      <c r="A2188" s="241" t="s">
        <v>377</v>
      </c>
      <c r="B2188" s="1082" t="s">
        <v>1115</v>
      </c>
      <c r="C2188" s="1083"/>
      <c r="D2188" s="1093"/>
      <c r="E2188" s="453">
        <f>(1710+2420)/2</f>
        <v>2065</v>
      </c>
      <c r="F2188" s="639" t="s">
        <v>10</v>
      </c>
      <c r="G2188" s="604">
        <v>1</v>
      </c>
      <c r="H2188" s="608"/>
      <c r="I2188" s="750">
        <f t="shared" si="62"/>
        <v>0.19668539860939138</v>
      </c>
      <c r="J2188" s="446">
        <v>1.03</v>
      </c>
      <c r="K2188" s="453">
        <f t="shared" si="63"/>
        <v>0.20258596056767314</v>
      </c>
      <c r="L2188" s="243" t="s">
        <v>8</v>
      </c>
      <c r="M2188" s="173"/>
      <c r="O2188" s="218"/>
      <c r="P2188" s="68"/>
      <c r="Q2188" s="217"/>
    </row>
    <row r="2189" spans="1:19" ht="30" customHeight="1" x14ac:dyDescent="0.35">
      <c r="A2189" s="241" t="s">
        <v>380</v>
      </c>
      <c r="B2189" s="1082" t="s">
        <v>2233</v>
      </c>
      <c r="C2189" s="1083"/>
      <c r="D2189" s="1093"/>
      <c r="E2189" s="453">
        <f>(34.5+82)/2</f>
        <v>58.25</v>
      </c>
      <c r="F2189" s="639" t="s">
        <v>6</v>
      </c>
      <c r="G2189" s="604">
        <v>10</v>
      </c>
      <c r="H2189" s="608"/>
      <c r="I2189" s="750">
        <f t="shared" si="62"/>
        <v>5.5481474426135824E-2</v>
      </c>
      <c r="J2189" s="446">
        <v>1.03</v>
      </c>
      <c r="K2189" s="453">
        <f t="shared" si="63"/>
        <v>5.7145918658919902E-2</v>
      </c>
      <c r="L2189" s="243" t="s">
        <v>8</v>
      </c>
      <c r="M2189" s="173"/>
      <c r="O2189" s="218"/>
      <c r="P2189" s="68"/>
      <c r="Q2189" s="217"/>
    </row>
    <row r="2190" spans="1:19" ht="30" customHeight="1" x14ac:dyDescent="0.35">
      <c r="A2190" s="241" t="s">
        <v>380</v>
      </c>
      <c r="B2190" s="1082" t="s">
        <v>383</v>
      </c>
      <c r="C2190" s="1083"/>
      <c r="D2190" s="1093"/>
      <c r="E2190" s="453">
        <f>(6450+12300)/2</f>
        <v>9375</v>
      </c>
      <c r="F2190" s="639" t="s">
        <v>10</v>
      </c>
      <c r="G2190" s="604">
        <v>1</v>
      </c>
      <c r="H2190" s="608"/>
      <c r="I2190" s="750">
        <f t="shared" si="62"/>
        <v>0.89294218496999711</v>
      </c>
      <c r="J2190" s="446">
        <v>1.03</v>
      </c>
      <c r="K2190" s="453">
        <f t="shared" si="63"/>
        <v>0.91973045051909708</v>
      </c>
      <c r="L2190" s="243" t="s">
        <v>8</v>
      </c>
      <c r="M2190" s="173"/>
      <c r="O2190" s="218"/>
      <c r="P2190" s="68"/>
      <c r="Q2190" s="217"/>
    </row>
    <row r="2191" spans="1:19" ht="30" customHeight="1" x14ac:dyDescent="0.35">
      <c r="A2191" s="241" t="s">
        <v>380</v>
      </c>
      <c r="B2191" s="1082" t="s">
        <v>1158</v>
      </c>
      <c r="C2191" s="1083"/>
      <c r="D2191" s="1093"/>
      <c r="E2191" s="453">
        <f>(660+1010)/2</f>
        <v>835</v>
      </c>
      <c r="F2191" s="639" t="s">
        <v>10</v>
      </c>
      <c r="G2191" s="604">
        <v>1</v>
      </c>
      <c r="H2191" s="608"/>
      <c r="I2191" s="750">
        <f t="shared" si="62"/>
        <v>7.9531383941327749E-2</v>
      </c>
      <c r="J2191" s="446">
        <v>1.03</v>
      </c>
      <c r="K2191" s="453">
        <f t="shared" si="63"/>
        <v>8.1917325459567578E-2</v>
      </c>
      <c r="L2191" s="243" t="s">
        <v>8</v>
      </c>
      <c r="M2191" s="173"/>
      <c r="O2191" s="218"/>
      <c r="P2191" s="68"/>
      <c r="Q2191" s="217"/>
    </row>
    <row r="2192" spans="1:19" ht="30" customHeight="1" x14ac:dyDescent="0.35">
      <c r="A2192" s="241" t="s">
        <v>380</v>
      </c>
      <c r="B2192" s="1082" t="s">
        <v>385</v>
      </c>
      <c r="C2192" s="1083"/>
      <c r="D2192" s="1093"/>
      <c r="E2192" s="453">
        <f>+(1160+3475)/2</f>
        <v>2317.5</v>
      </c>
      <c r="F2192" s="639" t="s">
        <v>10</v>
      </c>
      <c r="G2192" s="604">
        <v>1</v>
      </c>
      <c r="H2192" s="608"/>
      <c r="I2192" s="750">
        <f t="shared" si="62"/>
        <v>0.22073530812458331</v>
      </c>
      <c r="J2192" s="446">
        <v>1.03</v>
      </c>
      <c r="K2192" s="453">
        <f t="shared" si="63"/>
        <v>0.22735736736832082</v>
      </c>
      <c r="L2192" s="243" t="s">
        <v>8</v>
      </c>
      <c r="M2192" s="173"/>
      <c r="N2192" s="419"/>
      <c r="O2192" s="171"/>
      <c r="P2192" s="216"/>
      <c r="Q2192" s="419"/>
      <c r="R2192" s="219"/>
    </row>
    <row r="2193" spans="1:24" ht="30" customHeight="1" x14ac:dyDescent="0.35">
      <c r="A2193" s="241" t="s">
        <v>360</v>
      </c>
      <c r="B2193" s="1031" t="s">
        <v>1159</v>
      </c>
      <c r="C2193" s="1032"/>
      <c r="D2193" s="1032"/>
      <c r="E2193" s="453">
        <v>3.34</v>
      </c>
      <c r="F2193" s="639" t="s">
        <v>8</v>
      </c>
      <c r="G2193" s="700"/>
      <c r="H2193" s="608"/>
      <c r="I2193" s="608"/>
      <c r="J2193" s="446">
        <v>1.01</v>
      </c>
      <c r="K2193" s="453">
        <f>+E2193*J2193</f>
        <v>3.3733999999999997</v>
      </c>
      <c r="L2193" s="243" t="s">
        <v>8</v>
      </c>
      <c r="M2193" s="173"/>
      <c r="N2193" s="419"/>
      <c r="O2193" s="171"/>
      <c r="P2193" s="216"/>
      <c r="Q2193" s="419"/>
      <c r="R2193" s="219"/>
    </row>
    <row r="2194" spans="1:24" ht="30" customHeight="1" x14ac:dyDescent="0.35">
      <c r="A2194" s="241" t="s">
        <v>360</v>
      </c>
      <c r="B2194" s="1082" t="s">
        <v>1160</v>
      </c>
      <c r="C2194" s="1083"/>
      <c r="D2194" s="1093"/>
      <c r="E2194" s="453">
        <f>0.15*E2193</f>
        <v>0.501</v>
      </c>
      <c r="F2194" s="639" t="s">
        <v>8</v>
      </c>
      <c r="G2194" s="700"/>
      <c r="H2194" s="608"/>
      <c r="I2194" s="608"/>
      <c r="J2194" s="446">
        <v>1.01</v>
      </c>
      <c r="K2194" s="453">
        <f>+E2194*J2194</f>
        <v>0.50600999999999996</v>
      </c>
      <c r="L2194" s="243" t="s">
        <v>8</v>
      </c>
      <c r="M2194" s="173"/>
      <c r="O2194" s="218"/>
      <c r="P2194" s="68"/>
      <c r="Q2194" s="217"/>
    </row>
    <row r="2195" spans="1:24" ht="30" customHeight="1" x14ac:dyDescent="0.35">
      <c r="A2195" s="241" t="s">
        <v>360</v>
      </c>
      <c r="B2195" s="1082" t="s">
        <v>910</v>
      </c>
      <c r="C2195" s="1083"/>
      <c r="D2195" s="1093"/>
      <c r="E2195" s="591">
        <f xml:space="preserve"> 0.58+((1.15+1.71)/2)</f>
        <v>2.0099999999999998</v>
      </c>
      <c r="F2195" s="639" t="s">
        <v>8</v>
      </c>
      <c r="G2195" s="700"/>
      <c r="H2195" s="608"/>
      <c r="I2195" s="608"/>
      <c r="J2195" s="446">
        <v>1.01</v>
      </c>
      <c r="K2195" s="453">
        <f>+E2195*J2195</f>
        <v>2.0301</v>
      </c>
      <c r="L2195" s="243" t="s">
        <v>8</v>
      </c>
      <c r="M2195" s="173"/>
      <c r="O2195" s="218"/>
      <c r="P2195" s="68"/>
      <c r="Q2195" s="217"/>
    </row>
    <row r="2196" spans="1:24" ht="30" customHeight="1" x14ac:dyDescent="0.35">
      <c r="A2196" s="241"/>
      <c r="B2196" s="1059"/>
      <c r="C2196" s="1059"/>
      <c r="D2196" s="1059"/>
      <c r="E2196" s="453"/>
      <c r="F2196" s="446"/>
      <c r="G2196" s="519"/>
      <c r="H2196" s="508"/>
      <c r="I2196" s="508"/>
      <c r="J2196" s="446" t="s">
        <v>335</v>
      </c>
      <c r="K2196" s="453">
        <f>SUM(K2183:K2195)</f>
        <v>269.8470405648157</v>
      </c>
      <c r="L2196" s="243" t="s">
        <v>8</v>
      </c>
      <c r="M2196" s="173"/>
      <c r="N2196" s="68"/>
      <c r="O2196" s="203"/>
      <c r="P2196" s="218"/>
      <c r="Q2196" s="68"/>
      <c r="R2196" s="217"/>
    </row>
    <row r="2197" spans="1:24" ht="30" customHeight="1" x14ac:dyDescent="0.35">
      <c r="A2197" s="241"/>
      <c r="B2197" s="506"/>
      <c r="C2197" s="506"/>
      <c r="D2197" s="506"/>
      <c r="E2197" s="506"/>
      <c r="F2197" s="1029" t="s">
        <v>302</v>
      </c>
      <c r="G2197" s="1058" t="s">
        <v>303</v>
      </c>
      <c r="H2197" s="1058"/>
      <c r="I2197" s="1058"/>
      <c r="J2197" s="1058"/>
      <c r="K2197" s="612">
        <v>1.0900000000000001</v>
      </c>
      <c r="L2197" s="243"/>
      <c r="M2197" s="173"/>
      <c r="N2197" s="68"/>
      <c r="O2197" s="203"/>
      <c r="P2197" s="218"/>
      <c r="Q2197" s="68"/>
      <c r="R2197" s="217"/>
    </row>
    <row r="2198" spans="1:24" ht="30" customHeight="1" x14ac:dyDescent="0.35">
      <c r="A2198" s="241"/>
      <c r="B2198" s="506"/>
      <c r="C2198" s="506"/>
      <c r="D2198" s="506"/>
      <c r="E2198" s="506"/>
      <c r="F2198" s="1030"/>
      <c r="G2198" s="1073" t="s">
        <v>2374</v>
      </c>
      <c r="H2198" s="1073"/>
      <c r="I2198" s="1073"/>
      <c r="J2198" s="1073"/>
      <c r="K2198" s="612">
        <v>1.08</v>
      </c>
      <c r="L2198" s="243"/>
      <c r="M2198" s="173"/>
      <c r="N2198" s="68"/>
      <c r="O2198" s="203"/>
      <c r="P2198" s="218"/>
      <c r="Q2198" s="68"/>
      <c r="R2198" s="217"/>
    </row>
    <row r="2199" spans="1:24" ht="30" customHeight="1" x14ac:dyDescent="0.35">
      <c r="A2199" s="241"/>
      <c r="B2199" s="446"/>
      <c r="C2199" s="458"/>
      <c r="D2199" s="458"/>
      <c r="E2199" s="458"/>
      <c r="F2199" s="458"/>
      <c r="G2199" s="458"/>
      <c r="H2199" s="458"/>
      <c r="I2199" s="458"/>
      <c r="J2199" s="446" t="s">
        <v>2356</v>
      </c>
      <c r="K2199" s="591">
        <f>+K2196*K2197/K2198</f>
        <v>272.34562427374919</v>
      </c>
      <c r="L2199" s="243" t="s">
        <v>8</v>
      </c>
      <c r="M2199" s="173"/>
      <c r="N2199" s="68"/>
      <c r="O2199" s="203"/>
      <c r="P2199" s="218"/>
      <c r="Q2199" s="68"/>
      <c r="R2199" s="217"/>
    </row>
    <row r="2200" spans="1:24" ht="30" customHeight="1" x14ac:dyDescent="0.35">
      <c r="A2200" s="241"/>
      <c r="B2200" s="446"/>
      <c r="C2200" s="458"/>
      <c r="D2200" s="458"/>
      <c r="E2200" s="458"/>
      <c r="F2200" s="171"/>
      <c r="G2200" s="458"/>
      <c r="H2200" s="458"/>
      <c r="I2200" s="568" t="s">
        <v>2359</v>
      </c>
      <c r="J2200" s="583">
        <f>VLOOKUP(B2181,'Mil Cost Premiums for PUCs'!$A$4:$R$272,18,FALSE)</f>
        <v>1.2969309498325658</v>
      </c>
      <c r="K2200" s="591">
        <f>+K2199*J2200</f>
        <v>353.21346917209667</v>
      </c>
      <c r="L2200" s="243" t="s">
        <v>8</v>
      </c>
      <c r="M2200" s="173"/>
      <c r="N2200" s="68"/>
      <c r="O2200" s="203"/>
      <c r="P2200" s="218"/>
      <c r="Q2200" s="68"/>
      <c r="R2200" s="217"/>
    </row>
    <row r="2201" spans="1:24" ht="60" customHeight="1" x14ac:dyDescent="0.35">
      <c r="A2201" s="1064" t="s">
        <v>1161</v>
      </c>
      <c r="B2201" s="1065"/>
      <c r="C2201" s="1065"/>
      <c r="D2201" s="1065"/>
      <c r="E2201" s="1065"/>
      <c r="F2201" s="1065"/>
      <c r="G2201" s="1065"/>
      <c r="H2201" s="1065"/>
      <c r="I2201" s="1065"/>
      <c r="J2201" s="1065"/>
      <c r="K2201" s="1065"/>
      <c r="L2201" s="1066"/>
      <c r="M2201" s="173"/>
      <c r="N2201" s="68"/>
      <c r="O2201" s="203"/>
      <c r="P2201" s="218"/>
      <c r="Q2201" s="68"/>
      <c r="R2201" s="217"/>
    </row>
    <row r="2202" spans="1:24" ht="30" customHeight="1" x14ac:dyDescent="0.35">
      <c r="A2202" s="1077" t="s">
        <v>306</v>
      </c>
      <c r="B2202" s="1042"/>
      <c r="C2202" s="1043"/>
      <c r="D2202" s="1067" t="s">
        <v>1133</v>
      </c>
      <c r="E2202" s="1065"/>
      <c r="F2202" s="1065"/>
      <c r="G2202" s="1065"/>
      <c r="H2202" s="1065"/>
      <c r="I2202" s="1065"/>
      <c r="J2202" s="1065"/>
      <c r="K2202" s="1065"/>
      <c r="L2202" s="1066"/>
      <c r="M2202" s="173"/>
      <c r="N2202" s="68"/>
      <c r="O2202" s="171"/>
      <c r="P2202" s="218"/>
      <c r="Q2202" s="68"/>
      <c r="R2202" s="217"/>
    </row>
    <row r="2203" spans="1:24" ht="30" customHeight="1" x14ac:dyDescent="0.35">
      <c r="A2203" s="1077" t="s">
        <v>307</v>
      </c>
      <c r="B2203" s="1042"/>
      <c r="C2203" s="1043"/>
      <c r="D2203" s="1067" t="s">
        <v>1162</v>
      </c>
      <c r="E2203" s="1065"/>
      <c r="F2203" s="1065"/>
      <c r="G2203" s="1065"/>
      <c r="H2203" s="1065"/>
      <c r="I2203" s="1065"/>
      <c r="J2203" s="1065"/>
      <c r="K2203" s="1065"/>
      <c r="L2203" s="1066"/>
      <c r="M2203" s="173"/>
      <c r="N2203" s="68"/>
      <c r="O2203" s="171"/>
      <c r="P2203" s="218"/>
      <c r="Q2203" s="68"/>
      <c r="R2203" s="217"/>
    </row>
    <row r="2204" spans="1:24" ht="30" customHeight="1" x14ac:dyDescent="0.35">
      <c r="A2204" s="1077" t="s">
        <v>308</v>
      </c>
      <c r="B2204" s="1042"/>
      <c r="C2204" s="1043"/>
      <c r="D2204" s="1067" t="s">
        <v>3009</v>
      </c>
      <c r="E2204" s="1065"/>
      <c r="F2204" s="1065"/>
      <c r="G2204" s="1065"/>
      <c r="H2204" s="1065"/>
      <c r="I2204" s="1065"/>
      <c r="J2204" s="1065"/>
      <c r="K2204" s="1065"/>
      <c r="L2204" s="1066"/>
      <c r="M2204" s="173"/>
      <c r="N2204" s="68"/>
      <c r="O2204" s="171"/>
      <c r="P2204" s="218"/>
      <c r="Q2204" s="68"/>
      <c r="R2204" s="217"/>
    </row>
    <row r="2205" spans="1:24" ht="30" customHeight="1" x14ac:dyDescent="0.35">
      <c r="A2205" s="1077" t="s">
        <v>309</v>
      </c>
      <c r="B2205" s="1042"/>
      <c r="C2205" s="1043"/>
      <c r="D2205" s="1067" t="s">
        <v>1163</v>
      </c>
      <c r="E2205" s="1065"/>
      <c r="F2205" s="1065"/>
      <c r="G2205" s="1065"/>
      <c r="H2205" s="1065"/>
      <c r="I2205" s="1065"/>
      <c r="J2205" s="1065"/>
      <c r="K2205" s="1065"/>
      <c r="L2205" s="1066"/>
      <c r="M2205" s="173"/>
      <c r="N2205" s="68"/>
      <c r="O2205" s="171"/>
      <c r="P2205" s="218"/>
      <c r="Q2205" s="68"/>
      <c r="R2205" s="217"/>
    </row>
    <row r="2206" spans="1:24" ht="90" customHeight="1" x14ac:dyDescent="0.35">
      <c r="A2206" s="1077" t="s">
        <v>311</v>
      </c>
      <c r="B2206" s="1042"/>
      <c r="C2206" s="1043"/>
      <c r="D2206" s="1067" t="s">
        <v>1164</v>
      </c>
      <c r="E2206" s="1065"/>
      <c r="F2206" s="1065"/>
      <c r="G2206" s="1065"/>
      <c r="H2206" s="1065"/>
      <c r="I2206" s="1065"/>
      <c r="J2206" s="1065"/>
      <c r="K2206" s="1065"/>
      <c r="L2206" s="1066"/>
      <c r="M2206" s="173"/>
      <c r="N2206" s="419"/>
      <c r="O2206" s="171"/>
      <c r="P2206" s="218"/>
      <c r="Q2206" s="68"/>
      <c r="R2206" s="217"/>
      <c r="T2206" s="208"/>
      <c r="U2206" s="208"/>
      <c r="V2206" s="208"/>
      <c r="W2206" s="208"/>
      <c r="X2206" s="208"/>
    </row>
    <row r="2207" spans="1:24" s="208" customFormat="1" ht="30" customHeight="1" x14ac:dyDescent="0.35">
      <c r="A2207" s="1077" t="s">
        <v>313</v>
      </c>
      <c r="B2207" s="1042"/>
      <c r="C2207" s="1043"/>
      <c r="D2207" s="1067" t="s">
        <v>2315</v>
      </c>
      <c r="E2207" s="1065"/>
      <c r="F2207" s="1065"/>
      <c r="G2207" s="1065"/>
      <c r="H2207" s="1065"/>
      <c r="I2207" s="1065"/>
      <c r="J2207" s="1065"/>
      <c r="K2207" s="1065"/>
      <c r="L2207" s="1066"/>
      <c r="M2207" s="173"/>
      <c r="N2207" s="203"/>
      <c r="O2207" s="218"/>
      <c r="P2207" s="68"/>
      <c r="Q2207" s="217"/>
      <c r="R2207" s="203"/>
      <c r="S2207" s="203"/>
      <c r="T2207" s="203"/>
      <c r="U2207" s="203"/>
      <c r="V2207" s="203"/>
      <c r="W2207" s="203"/>
      <c r="X2207" s="203"/>
    </row>
    <row r="2208" spans="1:24" ht="30" customHeight="1" x14ac:dyDescent="0.35">
      <c r="A2208" s="1077" t="s">
        <v>315</v>
      </c>
      <c r="B2208" s="1042"/>
      <c r="C2208" s="1043"/>
      <c r="D2208" s="1067" t="s">
        <v>1094</v>
      </c>
      <c r="E2208" s="1065"/>
      <c r="F2208" s="1065"/>
      <c r="G2208" s="1065"/>
      <c r="H2208" s="1065"/>
      <c r="I2208" s="1065"/>
      <c r="J2208" s="1065"/>
      <c r="K2208" s="1065"/>
      <c r="L2208" s="1066"/>
      <c r="M2208" s="173"/>
      <c r="N2208" s="208"/>
      <c r="O2208" s="218"/>
      <c r="P2208" s="68"/>
      <c r="Q2208" s="217"/>
      <c r="R2208" s="208"/>
      <c r="S2208" s="208"/>
    </row>
    <row r="2209" spans="1:18" ht="75" customHeight="1" x14ac:dyDescent="0.35">
      <c r="A2209" s="1077" t="s">
        <v>316</v>
      </c>
      <c r="B2209" s="1042"/>
      <c r="C2209" s="1043"/>
      <c r="D2209" s="1067" t="s">
        <v>373</v>
      </c>
      <c r="E2209" s="1065"/>
      <c r="F2209" s="1065"/>
      <c r="G2209" s="1065"/>
      <c r="H2209" s="1065"/>
      <c r="I2209" s="1065"/>
      <c r="J2209" s="1065"/>
      <c r="K2209" s="1065"/>
      <c r="L2209" s="1066"/>
      <c r="M2209" s="173"/>
      <c r="O2209" s="218"/>
      <c r="P2209" s="68"/>
      <c r="Q2209" s="217"/>
    </row>
    <row r="2210" spans="1:18" ht="45" customHeight="1" thickBot="1" x14ac:dyDescent="0.4">
      <c r="A2210" s="1078" t="s">
        <v>318</v>
      </c>
      <c r="B2210" s="1079"/>
      <c r="C2210" s="1080"/>
      <c r="D2210" s="1068" t="s">
        <v>3011</v>
      </c>
      <c r="E2210" s="1069"/>
      <c r="F2210" s="1069"/>
      <c r="G2210" s="1069"/>
      <c r="H2210" s="1069"/>
      <c r="I2210" s="1069"/>
      <c r="J2210" s="1069"/>
      <c r="K2210" s="1069"/>
      <c r="L2210" s="1070"/>
      <c r="M2210" s="173"/>
      <c r="O2210" s="218"/>
      <c r="P2210" s="68"/>
      <c r="Q2210" s="217"/>
    </row>
    <row r="2211" spans="1:18" ht="30" customHeight="1" thickBot="1" x14ac:dyDescent="0.4">
      <c r="A2211" s="1086"/>
      <c r="B2211" s="1087"/>
      <c r="C2211" s="1087"/>
      <c r="D2211" s="1087"/>
      <c r="E2211" s="1087"/>
      <c r="F2211" s="1087"/>
      <c r="G2211" s="1087"/>
      <c r="H2211" s="1087"/>
      <c r="I2211" s="1087"/>
      <c r="J2211" s="1087"/>
      <c r="K2211" s="1087"/>
      <c r="L2211" s="1088"/>
      <c r="M2211" s="173"/>
      <c r="O2211" s="218"/>
      <c r="P2211" s="68"/>
      <c r="Q2211" s="217"/>
    </row>
    <row r="2212" spans="1:18" ht="30" customHeight="1" x14ac:dyDescent="0.35">
      <c r="A2212" s="465" t="s">
        <v>278</v>
      </c>
      <c r="B2212" s="539">
        <v>3191</v>
      </c>
      <c r="C2212" s="1054" t="s">
        <v>1165</v>
      </c>
      <c r="D2212" s="1054"/>
      <c r="E2212" s="541" t="s">
        <v>280</v>
      </c>
      <c r="F2212" s="542" t="s">
        <v>8</v>
      </c>
      <c r="G2212" s="543" t="s">
        <v>285</v>
      </c>
      <c r="H2212" s="756">
        <v>8689</v>
      </c>
      <c r="I2212" s="541" t="s">
        <v>281</v>
      </c>
      <c r="J2212" s="1019" t="s">
        <v>2371</v>
      </c>
      <c r="K2212" s="1019"/>
      <c r="L2212" s="1020"/>
      <c r="M2212" s="173"/>
      <c r="O2212" s="218"/>
      <c r="P2212" s="68"/>
      <c r="Q2212" s="217"/>
    </row>
    <row r="2213" spans="1:18" ht="30" customHeight="1" x14ac:dyDescent="0.35">
      <c r="A2213" s="588" t="s">
        <v>298</v>
      </c>
      <c r="B2213" s="1038" t="s">
        <v>321</v>
      </c>
      <c r="C2213" s="1039"/>
      <c r="D2213" s="1040"/>
      <c r="E2213" s="23" t="s">
        <v>290</v>
      </c>
      <c r="F2213" s="23" t="s">
        <v>322</v>
      </c>
      <c r="G2213" s="1012" t="s">
        <v>323</v>
      </c>
      <c r="H2213" s="1179"/>
      <c r="I2213" s="500" t="s">
        <v>928</v>
      </c>
      <c r="J2213" s="509" t="s">
        <v>299</v>
      </c>
      <c r="K2213" s="1012" t="s">
        <v>292</v>
      </c>
      <c r="L2213" s="1013"/>
      <c r="M2213" s="362"/>
      <c r="O2213" s="218"/>
      <c r="P2213" s="68"/>
      <c r="Q2213" s="217"/>
    </row>
    <row r="2214" spans="1:18" ht="30" customHeight="1" x14ac:dyDescent="0.35">
      <c r="A2214" s="241" t="s">
        <v>903</v>
      </c>
      <c r="B2214" s="1082" t="s">
        <v>3014</v>
      </c>
      <c r="C2214" s="1083"/>
      <c r="D2214" s="1093"/>
      <c r="E2214" s="795">
        <f>97.5-2.64</f>
        <v>94.86</v>
      </c>
      <c r="F2214" s="446" t="s">
        <v>8</v>
      </c>
      <c r="G2214" s="53"/>
      <c r="H2214" s="498"/>
      <c r="I2214" s="271">
        <f>+E2214</f>
        <v>94.86</v>
      </c>
      <c r="J2214" s="446">
        <v>1.01</v>
      </c>
      <c r="K2214" s="409">
        <f t="shared" ref="K2214:K2224" si="64">+I2214*J2214</f>
        <v>95.808599999999998</v>
      </c>
      <c r="L2214" s="243" t="s">
        <v>8</v>
      </c>
      <c r="M2214" s="173"/>
      <c r="O2214" s="218"/>
      <c r="P2214" s="68"/>
      <c r="Q2214" s="217"/>
    </row>
    <row r="2215" spans="1:18" ht="30" customHeight="1" x14ac:dyDescent="0.35">
      <c r="A2215" s="241" t="s">
        <v>360</v>
      </c>
      <c r="B2215" s="1082" t="s">
        <v>367</v>
      </c>
      <c r="C2215" s="1083"/>
      <c r="D2215" s="1093"/>
      <c r="E2215" s="796">
        <v>4.38</v>
      </c>
      <c r="F2215" s="446" t="s">
        <v>8</v>
      </c>
      <c r="G2215" s="700"/>
      <c r="H2215" s="608"/>
      <c r="I2215" s="797">
        <f>+E2215</f>
        <v>4.38</v>
      </c>
      <c r="J2215" s="446">
        <v>1.01</v>
      </c>
      <c r="K2215" s="795">
        <f t="shared" si="64"/>
        <v>4.4238</v>
      </c>
      <c r="L2215" s="243" t="s">
        <v>8</v>
      </c>
      <c r="M2215" s="173"/>
      <c r="O2215" s="218"/>
      <c r="P2215" s="68"/>
      <c r="Q2215" s="217"/>
    </row>
    <row r="2216" spans="1:18" ht="30" customHeight="1" x14ac:dyDescent="0.35">
      <c r="A2216" s="241" t="s">
        <v>436</v>
      </c>
      <c r="B2216" s="1082" t="s">
        <v>3015</v>
      </c>
      <c r="C2216" s="1083"/>
      <c r="D2216" s="1093"/>
      <c r="E2216" s="795">
        <v>141000</v>
      </c>
      <c r="F2216" s="639" t="s">
        <v>10</v>
      </c>
      <c r="G2216" s="798">
        <f>+E2216/H2212</f>
        <v>16.227413971688343</v>
      </c>
      <c r="H2216" s="608" t="s">
        <v>932</v>
      </c>
      <c r="I2216" s="797">
        <f>+G2216</f>
        <v>16.227413971688343</v>
      </c>
      <c r="J2216" s="446">
        <v>1.02</v>
      </c>
      <c r="K2216" s="795">
        <f t="shared" si="64"/>
        <v>16.551962251122109</v>
      </c>
      <c r="L2216" s="243" t="s">
        <v>8</v>
      </c>
      <c r="M2216" s="173"/>
      <c r="O2216" s="218"/>
      <c r="P2216" s="68"/>
      <c r="Q2216" s="217"/>
    </row>
    <row r="2217" spans="1:18" ht="30" customHeight="1" x14ac:dyDescent="0.35">
      <c r="A2217" s="241" t="s">
        <v>436</v>
      </c>
      <c r="B2217" s="1082" t="s">
        <v>3016</v>
      </c>
      <c r="C2217" s="1083"/>
      <c r="D2217" s="1093"/>
      <c r="E2217" s="795">
        <f>+(244+267)/2</f>
        <v>255.5</v>
      </c>
      <c r="F2217" s="639" t="s">
        <v>6</v>
      </c>
      <c r="G2217" s="798">
        <f>200*E2217/H2212</f>
        <v>5.8809989642076186</v>
      </c>
      <c r="H2217" s="608" t="s">
        <v>932</v>
      </c>
      <c r="I2217" s="797">
        <f>+G2217</f>
        <v>5.8809989642076186</v>
      </c>
      <c r="J2217" s="446">
        <v>1.02</v>
      </c>
      <c r="K2217" s="795">
        <f t="shared" si="64"/>
        <v>5.9986189434917714</v>
      </c>
      <c r="L2217" s="243" t="s">
        <v>8</v>
      </c>
      <c r="M2217" s="173"/>
      <c r="O2217" s="218"/>
      <c r="P2217" s="68"/>
      <c r="Q2217" s="217"/>
    </row>
    <row r="2218" spans="1:18" ht="30" customHeight="1" x14ac:dyDescent="0.35">
      <c r="A2218" s="241" t="s">
        <v>436</v>
      </c>
      <c r="B2218" s="1082" t="s">
        <v>1071</v>
      </c>
      <c r="C2218" s="1083"/>
      <c r="D2218" s="1093"/>
      <c r="E2218" s="795">
        <f>(23.75+47.75)/2</f>
        <v>35.75</v>
      </c>
      <c r="F2218" s="639" t="s">
        <v>6</v>
      </c>
      <c r="G2218" s="798">
        <f>230*E2218/H2212</f>
        <v>0.94631142824260561</v>
      </c>
      <c r="H2218" s="608" t="s">
        <v>932</v>
      </c>
      <c r="I2218" s="797">
        <f>+G2218</f>
        <v>0.94631142824260561</v>
      </c>
      <c r="J2218" s="446">
        <v>1.02</v>
      </c>
      <c r="K2218" s="795">
        <f t="shared" si="64"/>
        <v>0.96523765680745777</v>
      </c>
      <c r="L2218" s="243" t="s">
        <v>8</v>
      </c>
      <c r="M2218" s="173"/>
      <c r="O2218" s="218"/>
      <c r="P2218" s="68"/>
      <c r="Q2218" s="217"/>
    </row>
    <row r="2219" spans="1:18" ht="30" customHeight="1" x14ac:dyDescent="0.35">
      <c r="A2219" s="241" t="s">
        <v>377</v>
      </c>
      <c r="B2219" s="1082" t="s">
        <v>1150</v>
      </c>
      <c r="C2219" s="1083"/>
      <c r="D2219" s="1093"/>
      <c r="E2219" s="795">
        <f>(20.3+31.5)/2</f>
        <v>25.9</v>
      </c>
      <c r="F2219" s="639" t="s">
        <v>8</v>
      </c>
      <c r="G2219" s="799">
        <f>81*E2219</f>
        <v>2097.9</v>
      </c>
      <c r="H2219" s="608"/>
      <c r="I2219" s="797">
        <f>+G2219/H2212</f>
        <v>0.24144320405109909</v>
      </c>
      <c r="J2219" s="446">
        <v>1.03</v>
      </c>
      <c r="K2219" s="795">
        <f t="shared" si="64"/>
        <v>0.24868650017263208</v>
      </c>
      <c r="L2219" s="243" t="s">
        <v>8</v>
      </c>
      <c r="M2219" s="173"/>
      <c r="O2219" s="218"/>
      <c r="P2219" s="68"/>
      <c r="Q2219" s="217"/>
    </row>
    <row r="2220" spans="1:18" ht="30" customHeight="1" x14ac:dyDescent="0.35">
      <c r="A2220" s="241" t="s">
        <v>377</v>
      </c>
      <c r="B2220" s="1082" t="s">
        <v>379</v>
      </c>
      <c r="C2220" s="1083"/>
      <c r="D2220" s="1093"/>
      <c r="E2220" s="795">
        <f>(1710+2420)/2</f>
        <v>2065</v>
      </c>
      <c r="F2220" s="639"/>
      <c r="G2220" s="798">
        <f>+E2220</f>
        <v>2065</v>
      </c>
      <c r="H2220" s="608"/>
      <c r="I2220" s="797">
        <f>+G2220/H2212</f>
        <v>0.23765680745770515</v>
      </c>
      <c r="J2220" s="446">
        <v>1.03</v>
      </c>
      <c r="K2220" s="795">
        <f t="shared" si="64"/>
        <v>0.24478651168143631</v>
      </c>
      <c r="L2220" s="243" t="s">
        <v>8</v>
      </c>
      <c r="M2220" s="173"/>
      <c r="O2220" s="218"/>
      <c r="P2220" s="68"/>
      <c r="Q2220" s="217"/>
    </row>
    <row r="2221" spans="1:18" ht="30" customHeight="1" x14ac:dyDescent="0.35">
      <c r="A2221" s="241" t="s">
        <v>380</v>
      </c>
      <c r="B2221" s="1082" t="s">
        <v>2234</v>
      </c>
      <c r="C2221" s="1083"/>
      <c r="D2221" s="1093"/>
      <c r="E2221" s="453">
        <f>(34.5+82)/2</f>
        <v>58.25</v>
      </c>
      <c r="F2221" s="639" t="s">
        <v>6</v>
      </c>
      <c r="G2221" s="700">
        <v>10</v>
      </c>
      <c r="H2221" s="608" t="s">
        <v>1058</v>
      </c>
      <c r="I2221" s="797">
        <f>+E2221*G2221/H2212</f>
        <v>6.7038784670272758E-2</v>
      </c>
      <c r="J2221" s="446">
        <v>1.03</v>
      </c>
      <c r="K2221" s="795">
        <f t="shared" si="64"/>
        <v>6.9049948210380949E-2</v>
      </c>
      <c r="L2221" s="243" t="s">
        <v>8</v>
      </c>
      <c r="M2221" s="173"/>
      <c r="N2221" s="419"/>
      <c r="O2221" s="171"/>
      <c r="P2221" s="216"/>
      <c r="Q2221" s="419"/>
      <c r="R2221" s="219"/>
    </row>
    <row r="2222" spans="1:18" ht="30" customHeight="1" x14ac:dyDescent="0.35">
      <c r="A2222" s="241" t="s">
        <v>380</v>
      </c>
      <c r="B2222" s="1082" t="s">
        <v>1172</v>
      </c>
      <c r="C2222" s="1083"/>
      <c r="D2222" s="1093"/>
      <c r="E2222" s="453">
        <f>(6450+12300)/2</f>
        <v>9375</v>
      </c>
      <c r="F2222" s="639" t="s">
        <v>10</v>
      </c>
      <c r="G2222" s="700">
        <v>1</v>
      </c>
      <c r="H2222" s="608" t="s">
        <v>932</v>
      </c>
      <c r="I2222" s="797">
        <f>+E2222/H2212</f>
        <v>1.0789503970537462</v>
      </c>
      <c r="J2222" s="446">
        <v>1.03</v>
      </c>
      <c r="K2222" s="795">
        <f t="shared" si="64"/>
        <v>1.1113189089653586</v>
      </c>
      <c r="L2222" s="243" t="s">
        <v>8</v>
      </c>
      <c r="M2222" s="173"/>
      <c r="N2222" s="419"/>
      <c r="O2222" s="171"/>
      <c r="P2222" s="216"/>
      <c r="Q2222" s="419"/>
      <c r="R2222" s="219"/>
    </row>
    <row r="2223" spans="1:18" ht="30" customHeight="1" x14ac:dyDescent="0.35">
      <c r="A2223" s="241" t="s">
        <v>380</v>
      </c>
      <c r="B2223" s="1082" t="s">
        <v>1173</v>
      </c>
      <c r="C2223" s="1083"/>
      <c r="D2223" s="1093"/>
      <c r="E2223" s="453">
        <f>(660+1010)/2</f>
        <v>835</v>
      </c>
      <c r="F2223" s="639" t="s">
        <v>10</v>
      </c>
      <c r="G2223" s="700">
        <v>1</v>
      </c>
      <c r="H2223" s="608" t="s">
        <v>932</v>
      </c>
      <c r="I2223" s="797">
        <f>+E2223/H2212</f>
        <v>9.609851536425365E-2</v>
      </c>
      <c r="J2223" s="446">
        <v>1.03</v>
      </c>
      <c r="K2223" s="795">
        <f t="shared" si="64"/>
        <v>9.8981470825181259E-2</v>
      </c>
      <c r="L2223" s="243" t="s">
        <v>8</v>
      </c>
      <c r="M2223" s="362"/>
      <c r="O2223" s="218"/>
      <c r="P2223" s="68"/>
      <c r="Q2223" s="217"/>
    </row>
    <row r="2224" spans="1:18" ht="30" customHeight="1" x14ac:dyDescent="0.35">
      <c r="A2224" s="241" t="s">
        <v>380</v>
      </c>
      <c r="B2224" s="1082" t="s">
        <v>1174</v>
      </c>
      <c r="C2224" s="1083"/>
      <c r="D2224" s="1093"/>
      <c r="E2224" s="453">
        <f>+(1160+3475)/2</f>
        <v>2317.5</v>
      </c>
      <c r="F2224" s="639" t="s">
        <v>10</v>
      </c>
      <c r="G2224" s="700">
        <v>1</v>
      </c>
      <c r="H2224" s="608" t="s">
        <v>932</v>
      </c>
      <c r="I2224" s="797">
        <f>+E2224/H2212</f>
        <v>0.26671653815168606</v>
      </c>
      <c r="J2224" s="446">
        <v>1.03</v>
      </c>
      <c r="K2224" s="795">
        <f t="shared" si="64"/>
        <v>0.27471803429623665</v>
      </c>
      <c r="L2224" s="243" t="s">
        <v>8</v>
      </c>
      <c r="M2224" s="173"/>
      <c r="O2224" s="218"/>
      <c r="P2224" s="68"/>
      <c r="Q2224" s="217"/>
    </row>
    <row r="2225" spans="1:24" ht="30" customHeight="1" x14ac:dyDescent="0.35">
      <c r="A2225" s="241"/>
      <c r="B2225" s="1059"/>
      <c r="C2225" s="1059"/>
      <c r="D2225" s="1059"/>
      <c r="E2225" s="453"/>
      <c r="F2225" s="519"/>
      <c r="G2225" s="508"/>
      <c r="H2225" s="508"/>
      <c r="I2225" s="446"/>
      <c r="J2225" s="446" t="s">
        <v>362</v>
      </c>
      <c r="K2225" s="795">
        <f>SUM(K2214:K2224)</f>
        <v>125.79576022557258</v>
      </c>
      <c r="L2225" s="243" t="s">
        <v>8</v>
      </c>
      <c r="M2225" s="173"/>
      <c r="N2225" s="68"/>
      <c r="O2225" s="203"/>
      <c r="P2225" s="218"/>
      <c r="Q2225" s="68"/>
      <c r="R2225" s="217"/>
    </row>
    <row r="2226" spans="1:24" ht="30" customHeight="1" x14ac:dyDescent="0.35">
      <c r="A2226" s="241"/>
      <c r="B2226" s="506"/>
      <c r="C2226" s="506"/>
      <c r="D2226" s="506"/>
      <c r="E2226" s="506"/>
      <c r="F2226" s="1029" t="s">
        <v>302</v>
      </c>
      <c r="G2226" s="1058" t="s">
        <v>303</v>
      </c>
      <c r="H2226" s="1058"/>
      <c r="I2226" s="1058"/>
      <c r="J2226" s="1058"/>
      <c r="K2226" s="665">
        <v>1.1000000000000001</v>
      </c>
      <c r="L2226" s="243"/>
      <c r="M2226" s="173"/>
      <c r="N2226" s="68"/>
      <c r="O2226" s="203"/>
      <c r="P2226" s="218"/>
      <c r="Q2226" s="68"/>
      <c r="R2226" s="217"/>
    </row>
    <row r="2227" spans="1:24" ht="30" customHeight="1" x14ac:dyDescent="0.35">
      <c r="A2227" s="241"/>
      <c r="B2227" s="506"/>
      <c r="C2227" s="506"/>
      <c r="D2227" s="506"/>
      <c r="E2227" s="506"/>
      <c r="F2227" s="1030"/>
      <c r="G2227" s="1073" t="s">
        <v>2374</v>
      </c>
      <c r="H2227" s="1073"/>
      <c r="I2227" s="1073"/>
      <c r="J2227" s="1073"/>
      <c r="K2227" s="612">
        <v>1.08</v>
      </c>
      <c r="L2227" s="243"/>
      <c r="M2227" s="173"/>
      <c r="N2227" s="68"/>
      <c r="O2227" s="203"/>
      <c r="P2227" s="218"/>
      <c r="Q2227" s="68"/>
      <c r="R2227" s="217"/>
    </row>
    <row r="2228" spans="1:24" ht="30" customHeight="1" x14ac:dyDescent="0.35">
      <c r="A2228" s="785"/>
      <c r="B2228" s="800"/>
      <c r="C2228" s="800"/>
      <c r="D2228" s="800"/>
      <c r="E2228" s="800"/>
      <c r="F2228" s="800"/>
      <c r="G2228" s="800"/>
      <c r="H2228" s="458"/>
      <c r="I2228" s="458"/>
      <c r="J2228" s="458" t="s">
        <v>2356</v>
      </c>
      <c r="K2228" s="801">
        <f>+K2225*K2226/K2227</f>
        <v>128.12531134086097</v>
      </c>
      <c r="L2228" s="243" t="s">
        <v>8</v>
      </c>
      <c r="M2228" s="173"/>
      <c r="N2228" s="68"/>
      <c r="O2228" s="203"/>
      <c r="P2228" s="218"/>
      <c r="Q2228" s="68"/>
      <c r="R2228" s="217"/>
    </row>
    <row r="2229" spans="1:24" ht="30" customHeight="1" x14ac:dyDescent="0.35">
      <c r="A2229" s="785"/>
      <c r="B2229" s="802"/>
      <c r="C2229" s="802"/>
      <c r="D2229" s="802"/>
      <c r="E2229" s="802"/>
      <c r="F2229" s="171"/>
      <c r="G2229" s="802"/>
      <c r="H2229" s="458"/>
      <c r="I2229" s="568" t="s">
        <v>2359</v>
      </c>
      <c r="J2229" s="583">
        <f>VLOOKUP(B2212,'Mil Cost Premiums for PUCs'!$A$4:$R$272,18,FALSE)</f>
        <v>1.3319480854780448</v>
      </c>
      <c r="K2229" s="801">
        <f>+K2228*J2229</f>
        <v>170.65626314173818</v>
      </c>
      <c r="L2229" s="243" t="s">
        <v>8</v>
      </c>
      <c r="M2229" s="173"/>
      <c r="N2229" s="68"/>
      <c r="O2229" s="203"/>
      <c r="P2229" s="218"/>
      <c r="Q2229" s="68"/>
      <c r="R2229" s="217"/>
    </row>
    <row r="2230" spans="1:24" ht="60" customHeight="1" x14ac:dyDescent="0.35">
      <c r="A2230" s="1064" t="s">
        <v>305</v>
      </c>
      <c r="B2230" s="1065"/>
      <c r="C2230" s="1065"/>
      <c r="D2230" s="1065"/>
      <c r="E2230" s="1065"/>
      <c r="F2230" s="1065"/>
      <c r="G2230" s="1065"/>
      <c r="H2230" s="1065"/>
      <c r="I2230" s="1065"/>
      <c r="J2230" s="1065"/>
      <c r="K2230" s="1065"/>
      <c r="L2230" s="1066"/>
      <c r="M2230" s="173"/>
      <c r="N2230" s="68"/>
      <c r="O2230" s="203"/>
      <c r="P2230" s="218"/>
      <c r="Q2230" s="68"/>
      <c r="R2230" s="217"/>
    </row>
    <row r="2231" spans="1:24" ht="30" customHeight="1" x14ac:dyDescent="0.35">
      <c r="A2231" s="1077" t="s">
        <v>306</v>
      </c>
      <c r="B2231" s="1042"/>
      <c r="C2231" s="1043"/>
      <c r="D2231" s="1067" t="s">
        <v>1167</v>
      </c>
      <c r="E2231" s="1065"/>
      <c r="F2231" s="1065"/>
      <c r="G2231" s="1065"/>
      <c r="H2231" s="1065"/>
      <c r="I2231" s="1065"/>
      <c r="J2231" s="1065"/>
      <c r="K2231" s="1065"/>
      <c r="L2231" s="1066"/>
      <c r="M2231" s="173"/>
      <c r="N2231" s="68"/>
      <c r="O2231" s="203"/>
      <c r="P2231" s="218"/>
      <c r="Q2231" s="68"/>
      <c r="R2231" s="217"/>
    </row>
    <row r="2232" spans="1:24" ht="30" customHeight="1" x14ac:dyDescent="0.35">
      <c r="A2232" s="1077" t="s">
        <v>307</v>
      </c>
      <c r="B2232" s="1042"/>
      <c r="C2232" s="1043"/>
      <c r="D2232" s="1067" t="s">
        <v>1168</v>
      </c>
      <c r="E2232" s="1065"/>
      <c r="F2232" s="1065"/>
      <c r="G2232" s="1065"/>
      <c r="H2232" s="1065"/>
      <c r="I2232" s="1065"/>
      <c r="J2232" s="1065"/>
      <c r="K2232" s="1065"/>
      <c r="L2232" s="1066"/>
      <c r="M2232" s="173"/>
      <c r="N2232" s="68"/>
      <c r="O2232" s="203"/>
      <c r="P2232" s="218"/>
      <c r="Q2232" s="68"/>
      <c r="R2232" s="217"/>
      <c r="T2232" s="27"/>
      <c r="U2232" s="171"/>
    </row>
    <row r="2233" spans="1:24" ht="30" customHeight="1" x14ac:dyDescent="0.35">
      <c r="A2233" s="1077" t="s">
        <v>308</v>
      </c>
      <c r="B2233" s="1042"/>
      <c r="C2233" s="1043"/>
      <c r="D2233" s="1067" t="s">
        <v>3193</v>
      </c>
      <c r="E2233" s="1065"/>
      <c r="F2233" s="1065"/>
      <c r="G2233" s="1065"/>
      <c r="H2233" s="1065"/>
      <c r="I2233" s="1065"/>
      <c r="J2233" s="1065"/>
      <c r="K2233" s="1065"/>
      <c r="L2233" s="1066"/>
      <c r="M2233" s="173"/>
      <c r="N2233" s="68"/>
      <c r="O2233" s="203"/>
      <c r="P2233" s="218"/>
      <c r="Q2233" s="68"/>
      <c r="R2233" s="217"/>
      <c r="U2233" s="171"/>
    </row>
    <row r="2234" spans="1:24" ht="30" customHeight="1" x14ac:dyDescent="0.35">
      <c r="A2234" s="1077" t="s">
        <v>309</v>
      </c>
      <c r="B2234" s="1042"/>
      <c r="C2234" s="1043"/>
      <c r="D2234" s="1067" t="s">
        <v>1169</v>
      </c>
      <c r="E2234" s="1065"/>
      <c r="F2234" s="1065"/>
      <c r="G2234" s="1065"/>
      <c r="H2234" s="1065"/>
      <c r="I2234" s="1065"/>
      <c r="J2234" s="1065"/>
      <c r="K2234" s="1065"/>
      <c r="L2234" s="1066"/>
      <c r="M2234" s="173"/>
      <c r="N2234" s="214"/>
      <c r="O2234" s="207"/>
      <c r="P2234" s="27"/>
      <c r="Q2234" s="27"/>
      <c r="R2234" s="27"/>
      <c r="S2234" s="27"/>
      <c r="U2234" s="27"/>
      <c r="V2234" s="27"/>
      <c r="W2234" s="27"/>
      <c r="X2234" s="27"/>
    </row>
    <row r="2235" spans="1:24" s="27" customFormat="1" ht="30" customHeight="1" x14ac:dyDescent="0.35">
      <c r="A2235" s="1077" t="s">
        <v>311</v>
      </c>
      <c r="B2235" s="1042"/>
      <c r="C2235" s="1043"/>
      <c r="D2235" s="1067" t="s">
        <v>1170</v>
      </c>
      <c r="E2235" s="1065"/>
      <c r="F2235" s="1065"/>
      <c r="G2235" s="1065"/>
      <c r="H2235" s="1065"/>
      <c r="I2235" s="1065"/>
      <c r="J2235" s="1065"/>
      <c r="K2235" s="1065"/>
      <c r="L2235" s="1066"/>
      <c r="M2235" s="173"/>
      <c r="N2235" s="203"/>
      <c r="O2235" s="205"/>
      <c r="P2235" s="203"/>
      <c r="Q2235" s="203"/>
      <c r="R2235" s="203"/>
      <c r="S2235" s="203"/>
      <c r="T2235" s="208"/>
      <c r="U2235" s="208"/>
      <c r="V2235" s="208"/>
      <c r="W2235" s="208"/>
      <c r="X2235" s="208"/>
    </row>
    <row r="2236" spans="1:24" s="208" customFormat="1" ht="30" customHeight="1" x14ac:dyDescent="0.35">
      <c r="A2236" s="1077" t="s">
        <v>313</v>
      </c>
      <c r="B2236" s="1042"/>
      <c r="C2236" s="1043"/>
      <c r="D2236" s="1067" t="s">
        <v>1171</v>
      </c>
      <c r="E2236" s="1065"/>
      <c r="F2236" s="1065"/>
      <c r="G2236" s="1065"/>
      <c r="H2236" s="1065"/>
      <c r="I2236" s="1065"/>
      <c r="J2236" s="1065"/>
      <c r="K2236" s="1065"/>
      <c r="L2236" s="1066"/>
      <c r="M2236" s="173"/>
      <c r="N2236" s="203"/>
      <c r="O2236" s="205"/>
      <c r="P2236" s="203"/>
      <c r="Q2236" s="203"/>
      <c r="R2236" s="203"/>
      <c r="S2236" s="203"/>
      <c r="T2236" s="51"/>
      <c r="U2236" s="203"/>
      <c r="V2236" s="203"/>
      <c r="W2236" s="203"/>
      <c r="X2236" s="203"/>
    </row>
    <row r="2237" spans="1:24" ht="30" customHeight="1" x14ac:dyDescent="0.35">
      <c r="A2237" s="1077" t="s">
        <v>315</v>
      </c>
      <c r="B2237" s="1042"/>
      <c r="C2237" s="1043"/>
      <c r="D2237" s="1067" t="s">
        <v>403</v>
      </c>
      <c r="E2237" s="1065"/>
      <c r="F2237" s="1065"/>
      <c r="G2237" s="1065"/>
      <c r="H2237" s="1065"/>
      <c r="I2237" s="1065"/>
      <c r="J2237" s="1065"/>
      <c r="K2237" s="1065"/>
      <c r="L2237" s="1066"/>
      <c r="M2237" s="173"/>
      <c r="N2237" s="208"/>
      <c r="P2237" s="208"/>
      <c r="Q2237" s="208"/>
      <c r="R2237" s="208"/>
      <c r="S2237" s="208"/>
      <c r="T2237" s="51"/>
    </row>
    <row r="2238" spans="1:24" ht="75" customHeight="1" x14ac:dyDescent="0.35">
      <c r="A2238" s="1077" t="s">
        <v>316</v>
      </c>
      <c r="B2238" s="1042"/>
      <c r="C2238" s="1043"/>
      <c r="D2238" s="1067" t="s">
        <v>373</v>
      </c>
      <c r="E2238" s="1065"/>
      <c r="F2238" s="1065"/>
      <c r="G2238" s="1065"/>
      <c r="H2238" s="1065"/>
      <c r="I2238" s="1065"/>
      <c r="J2238" s="1065"/>
      <c r="K2238" s="1065"/>
      <c r="L2238" s="1066"/>
      <c r="M2238" s="173"/>
      <c r="P2238" s="171"/>
      <c r="Q2238" s="171"/>
      <c r="R2238" s="171"/>
      <c r="S2238" s="51"/>
      <c r="T2238" s="27"/>
      <c r="U2238" s="171"/>
    </row>
    <row r="2239" spans="1:24" ht="45" customHeight="1" thickBot="1" x14ac:dyDescent="0.4">
      <c r="A2239" s="1293" t="s">
        <v>318</v>
      </c>
      <c r="B2239" s="1294"/>
      <c r="C2239" s="1295"/>
      <c r="D2239" s="1068" t="s">
        <v>2881</v>
      </c>
      <c r="E2239" s="1069"/>
      <c r="F2239" s="1069"/>
      <c r="G2239" s="1069"/>
      <c r="H2239" s="1069"/>
      <c r="I2239" s="1069"/>
      <c r="J2239" s="1069"/>
      <c r="K2239" s="1069"/>
      <c r="L2239" s="1070"/>
      <c r="M2239" s="173"/>
      <c r="P2239" s="171"/>
      <c r="Q2239" s="171"/>
      <c r="R2239" s="171"/>
      <c r="S2239" s="51"/>
      <c r="T2239" s="27"/>
      <c r="U2239" s="171"/>
    </row>
    <row r="2240" spans="1:24" ht="30" customHeight="1" thickBot="1" x14ac:dyDescent="0.4">
      <c r="A2240" s="1086"/>
      <c r="B2240" s="1087"/>
      <c r="C2240" s="1087"/>
      <c r="D2240" s="1087"/>
      <c r="E2240" s="1087"/>
      <c r="F2240" s="1087"/>
      <c r="G2240" s="1087"/>
      <c r="H2240" s="1087"/>
      <c r="I2240" s="1087"/>
      <c r="J2240" s="1087"/>
      <c r="K2240" s="1087"/>
      <c r="L2240" s="1088"/>
      <c r="M2240" s="173"/>
      <c r="N2240" s="214"/>
      <c r="O2240" s="207"/>
      <c r="P2240" s="27"/>
      <c r="Q2240" s="27"/>
      <c r="R2240" s="27"/>
      <c r="S2240" s="27"/>
      <c r="T2240" s="27"/>
      <c r="U2240" s="27"/>
      <c r="V2240" s="27"/>
      <c r="W2240" s="27"/>
      <c r="X2240" s="27"/>
    </row>
    <row r="2241" spans="1:24" s="27" customFormat="1" ht="30" customHeight="1" x14ac:dyDescent="0.35">
      <c r="A2241" s="467" t="s">
        <v>278</v>
      </c>
      <c r="B2241" s="502">
        <v>3201</v>
      </c>
      <c r="C2241" s="1178" t="s">
        <v>2643</v>
      </c>
      <c r="D2241" s="1178"/>
      <c r="E2241" s="396" t="s">
        <v>280</v>
      </c>
      <c r="F2241" s="67" t="s">
        <v>8</v>
      </c>
      <c r="G2241" s="397" t="s">
        <v>285</v>
      </c>
      <c r="H2241" s="204">
        <v>10205</v>
      </c>
      <c r="I2241" s="396" t="s">
        <v>281</v>
      </c>
      <c r="J2241" s="1019" t="s">
        <v>2371</v>
      </c>
      <c r="K2241" s="1019"/>
      <c r="L2241" s="1020"/>
      <c r="M2241" s="173"/>
      <c r="N2241" s="214"/>
      <c r="O2241" s="51"/>
      <c r="T2241" s="208"/>
      <c r="U2241" s="208"/>
      <c r="V2241" s="208"/>
      <c r="W2241" s="208"/>
      <c r="X2241" s="208"/>
    </row>
    <row r="2242" spans="1:24" s="208" customFormat="1" ht="30" customHeight="1" x14ac:dyDescent="0.35">
      <c r="A2242" s="588" t="s">
        <v>298</v>
      </c>
      <c r="B2242" s="1038" t="s">
        <v>321</v>
      </c>
      <c r="C2242" s="1039"/>
      <c r="D2242" s="1040"/>
      <c r="E2242" s="23" t="s">
        <v>290</v>
      </c>
      <c r="F2242" s="23" t="s">
        <v>322</v>
      </c>
      <c r="G2242" s="1012" t="s">
        <v>323</v>
      </c>
      <c r="H2242" s="1179"/>
      <c r="I2242" s="500" t="s">
        <v>928</v>
      </c>
      <c r="J2242" s="509" t="s">
        <v>299</v>
      </c>
      <c r="K2242" s="1012" t="s">
        <v>292</v>
      </c>
      <c r="L2242" s="1013"/>
      <c r="M2242" s="363"/>
      <c r="N2242" s="214"/>
      <c r="O2242" s="63"/>
      <c r="P2242" s="27"/>
      <c r="Q2242" s="27"/>
      <c r="R2242" s="27"/>
      <c r="S2242" s="27"/>
      <c r="T2242" s="203"/>
      <c r="U2242" s="27"/>
      <c r="V2242" s="27"/>
      <c r="W2242" s="27"/>
      <c r="X2242" s="27"/>
    </row>
    <row r="2243" spans="1:24" s="27" customFormat="1" ht="30" customHeight="1" x14ac:dyDescent="0.35">
      <c r="A2243" s="241" t="s">
        <v>903</v>
      </c>
      <c r="B2243" s="1082" t="s">
        <v>1114</v>
      </c>
      <c r="C2243" s="1083"/>
      <c r="D2243" s="1093"/>
      <c r="E2243" s="795">
        <v>97.5</v>
      </c>
      <c r="F2243" s="446" t="s">
        <v>8</v>
      </c>
      <c r="G2243" s="53"/>
      <c r="H2243" s="498"/>
      <c r="I2243" s="272">
        <f>+E2243</f>
        <v>97.5</v>
      </c>
      <c r="J2243" s="446">
        <v>1.01</v>
      </c>
      <c r="K2243" s="803">
        <f t="shared" ref="K2243:K2253" si="65">+I2243*J2243</f>
        <v>98.474999999999994</v>
      </c>
      <c r="L2243" s="243" t="s">
        <v>8</v>
      </c>
      <c r="M2243" s="173"/>
      <c r="N2243" s="208"/>
      <c r="O2243" s="425"/>
      <c r="P2243" s="208"/>
      <c r="Q2243" s="208"/>
      <c r="R2243" s="208"/>
      <c r="S2243" s="208"/>
      <c r="T2243" s="203"/>
    </row>
    <row r="2244" spans="1:24" s="27" customFormat="1" ht="30" customHeight="1" x14ac:dyDescent="0.35">
      <c r="A2244" s="241" t="s">
        <v>360</v>
      </c>
      <c r="B2244" s="1082" t="s">
        <v>367</v>
      </c>
      <c r="C2244" s="1083"/>
      <c r="D2244" s="1093"/>
      <c r="E2244" s="796">
        <v>4.38</v>
      </c>
      <c r="F2244" s="446" t="s">
        <v>8</v>
      </c>
      <c r="G2244" s="700"/>
      <c r="H2244" s="608"/>
      <c r="I2244" s="804">
        <f>+E2244</f>
        <v>4.38</v>
      </c>
      <c r="J2244" s="446">
        <v>1.01</v>
      </c>
      <c r="K2244" s="803">
        <f t="shared" si="65"/>
        <v>4.4238</v>
      </c>
      <c r="L2244" s="243" t="s">
        <v>8</v>
      </c>
      <c r="M2244" s="173"/>
      <c r="N2244" s="203"/>
      <c r="O2244" s="425"/>
      <c r="P2244" s="203"/>
      <c r="Q2244" s="203"/>
      <c r="R2244" s="203"/>
      <c r="S2244" s="203"/>
      <c r="T2244" s="51"/>
      <c r="U2244" s="203"/>
      <c r="V2244" s="203"/>
      <c r="W2244" s="203"/>
      <c r="X2244" s="203"/>
    </row>
    <row r="2245" spans="1:24" ht="30" customHeight="1" x14ac:dyDescent="0.35">
      <c r="A2245" s="241" t="s">
        <v>436</v>
      </c>
      <c r="B2245" s="1082" t="s">
        <v>1166</v>
      </c>
      <c r="C2245" s="1083"/>
      <c r="D2245" s="1093"/>
      <c r="E2245" s="795">
        <v>141000</v>
      </c>
      <c r="F2245" s="639" t="s">
        <v>10</v>
      </c>
      <c r="G2245" s="798">
        <f>+E2245/H2241</f>
        <v>13.816756491915728</v>
      </c>
      <c r="H2245" s="608" t="s">
        <v>932</v>
      </c>
      <c r="I2245" s="804">
        <f>+G2245</f>
        <v>13.816756491915728</v>
      </c>
      <c r="J2245" s="446">
        <v>1.02</v>
      </c>
      <c r="K2245" s="803">
        <f t="shared" si="65"/>
        <v>14.093091621754043</v>
      </c>
      <c r="L2245" s="243" t="s">
        <v>8</v>
      </c>
      <c r="M2245" s="173"/>
      <c r="O2245" s="425"/>
      <c r="T2245" s="51"/>
    </row>
    <row r="2246" spans="1:24" ht="30" customHeight="1" x14ac:dyDescent="0.35">
      <c r="A2246" s="241" t="s">
        <v>436</v>
      </c>
      <c r="B2246" s="1082" t="s">
        <v>2235</v>
      </c>
      <c r="C2246" s="1083"/>
      <c r="D2246" s="1093"/>
      <c r="E2246" s="795">
        <f>+(244+267)/2</f>
        <v>255.5</v>
      </c>
      <c r="F2246" s="639" t="s">
        <v>6</v>
      </c>
      <c r="G2246" s="798">
        <f>200*E2246/H2241</f>
        <v>5.0073493385595294</v>
      </c>
      <c r="H2246" s="608" t="s">
        <v>932</v>
      </c>
      <c r="I2246" s="804">
        <f>+G2246</f>
        <v>5.0073493385595294</v>
      </c>
      <c r="J2246" s="446">
        <v>1.02</v>
      </c>
      <c r="K2246" s="803">
        <f t="shared" si="65"/>
        <v>5.10749632533072</v>
      </c>
      <c r="L2246" s="243" t="s">
        <v>8</v>
      </c>
      <c r="M2246" s="173"/>
      <c r="O2246" s="425"/>
      <c r="P2246" s="171"/>
      <c r="Q2246" s="171"/>
      <c r="R2246" s="171"/>
      <c r="S2246" s="51"/>
      <c r="T2246" s="27"/>
      <c r="U2246" s="171"/>
    </row>
    <row r="2247" spans="1:24" ht="30" customHeight="1" x14ac:dyDescent="0.35">
      <c r="A2247" s="241" t="s">
        <v>436</v>
      </c>
      <c r="B2247" s="1082" t="s">
        <v>2394</v>
      </c>
      <c r="C2247" s="1083"/>
      <c r="D2247" s="1093"/>
      <c r="E2247" s="795">
        <f>(23.75+47.75)/2</f>
        <v>35.75</v>
      </c>
      <c r="F2247" s="639" t="s">
        <v>6</v>
      </c>
      <c r="G2247" s="798">
        <f>200*E2247/H2241</f>
        <v>0.70063694267515919</v>
      </c>
      <c r="H2247" s="608" t="s">
        <v>932</v>
      </c>
      <c r="I2247" s="804">
        <f>+G2247</f>
        <v>0.70063694267515919</v>
      </c>
      <c r="J2247" s="446">
        <v>1.02</v>
      </c>
      <c r="K2247" s="803">
        <f t="shared" si="65"/>
        <v>0.71464968152866237</v>
      </c>
      <c r="L2247" s="243" t="s">
        <v>8</v>
      </c>
      <c r="M2247" s="173"/>
      <c r="O2247" s="425"/>
      <c r="P2247" s="171"/>
      <c r="Q2247" s="171"/>
      <c r="R2247" s="171"/>
      <c r="S2247" s="51"/>
      <c r="T2247" s="27"/>
      <c r="U2247" s="171"/>
    </row>
    <row r="2248" spans="1:24" ht="30" customHeight="1" x14ac:dyDescent="0.35">
      <c r="A2248" s="241" t="s">
        <v>377</v>
      </c>
      <c r="B2248" s="1082" t="s">
        <v>1150</v>
      </c>
      <c r="C2248" s="1083"/>
      <c r="D2248" s="1093"/>
      <c r="E2248" s="795">
        <f>(20.3+31.5)/2</f>
        <v>25.9</v>
      </c>
      <c r="F2248" s="639" t="s">
        <v>8</v>
      </c>
      <c r="G2248" s="799">
        <f>81*E2248</f>
        <v>2097.9</v>
      </c>
      <c r="H2248" s="608"/>
      <c r="I2248" s="804">
        <f>+G2248/H2241</f>
        <v>0.20557569818716318</v>
      </c>
      <c r="J2248" s="446">
        <v>1.03</v>
      </c>
      <c r="K2248" s="803">
        <f t="shared" si="65"/>
        <v>0.21174296913277807</v>
      </c>
      <c r="L2248" s="243" t="s">
        <v>8</v>
      </c>
      <c r="M2248" s="363"/>
      <c r="N2248" s="214"/>
      <c r="O2248" s="63"/>
      <c r="P2248" s="27"/>
      <c r="Q2248" s="27"/>
      <c r="R2248" s="27"/>
      <c r="S2248" s="27"/>
      <c r="T2248" s="27"/>
      <c r="U2248" s="27"/>
      <c r="V2248" s="27"/>
      <c r="W2248" s="27"/>
      <c r="X2248" s="27"/>
    </row>
    <row r="2249" spans="1:24" s="27" customFormat="1" ht="30" customHeight="1" x14ac:dyDescent="0.35">
      <c r="A2249" s="241" t="s">
        <v>377</v>
      </c>
      <c r="B2249" s="1082" t="s">
        <v>379</v>
      </c>
      <c r="C2249" s="1083"/>
      <c r="D2249" s="1093"/>
      <c r="E2249" s="795">
        <f>(1710+2420)/2</f>
        <v>2065</v>
      </c>
      <c r="F2249" s="639"/>
      <c r="G2249" s="798">
        <f>+E2249</f>
        <v>2065</v>
      </c>
      <c r="H2249" s="608"/>
      <c r="I2249" s="804">
        <f>+G2249/H2241</f>
        <v>0.20235178833904949</v>
      </c>
      <c r="J2249" s="446">
        <v>1.03</v>
      </c>
      <c r="K2249" s="803">
        <f t="shared" si="65"/>
        <v>0.20842234198922097</v>
      </c>
      <c r="L2249" s="243" t="s">
        <v>8</v>
      </c>
      <c r="M2249" s="173"/>
      <c r="N2249" s="214"/>
      <c r="O2249" s="51"/>
      <c r="T2249" s="208"/>
      <c r="U2249" s="208"/>
      <c r="V2249" s="208"/>
      <c r="W2249" s="208"/>
      <c r="X2249" s="208"/>
    </row>
    <row r="2250" spans="1:24" s="208" customFormat="1" ht="30" customHeight="1" x14ac:dyDescent="0.35">
      <c r="A2250" s="241" t="s">
        <v>380</v>
      </c>
      <c r="B2250" s="1082" t="s">
        <v>2395</v>
      </c>
      <c r="C2250" s="1083"/>
      <c r="D2250" s="1093"/>
      <c r="E2250" s="453">
        <f>(34.5+82)/2</f>
        <v>58.25</v>
      </c>
      <c r="F2250" s="639" t="s">
        <v>6</v>
      </c>
      <c r="G2250" s="700">
        <v>10</v>
      </c>
      <c r="H2250" s="608" t="s">
        <v>1058</v>
      </c>
      <c r="I2250" s="804">
        <f>+E2250*G2250/H2241</f>
        <v>5.7079862812346886E-2</v>
      </c>
      <c r="J2250" s="446">
        <v>1.03</v>
      </c>
      <c r="K2250" s="803">
        <f t="shared" si="65"/>
        <v>5.8792258696717295E-2</v>
      </c>
      <c r="L2250" s="243" t="s">
        <v>8</v>
      </c>
      <c r="M2250" s="173"/>
      <c r="N2250" s="273"/>
      <c r="O2250" s="63"/>
      <c r="P2250" s="27"/>
      <c r="Q2250" s="27"/>
      <c r="R2250" s="27"/>
      <c r="S2250" s="27"/>
      <c r="T2250" s="203"/>
      <c r="U2250" s="27"/>
      <c r="V2250" s="27"/>
      <c r="W2250" s="27"/>
      <c r="X2250" s="27"/>
    </row>
    <row r="2251" spans="1:24" s="27" customFormat="1" ht="30" customHeight="1" x14ac:dyDescent="0.35">
      <c r="A2251" s="241" t="s">
        <v>380</v>
      </c>
      <c r="B2251" s="1082" t="s">
        <v>1172</v>
      </c>
      <c r="C2251" s="1083"/>
      <c r="D2251" s="1093"/>
      <c r="E2251" s="453">
        <f>(6450+12300)/2</f>
        <v>9375</v>
      </c>
      <c r="F2251" s="639" t="s">
        <v>10</v>
      </c>
      <c r="G2251" s="700">
        <v>1</v>
      </c>
      <c r="H2251" s="608" t="s">
        <v>932</v>
      </c>
      <c r="I2251" s="804">
        <f>+E2251/H2241</f>
        <v>0.91866731994120532</v>
      </c>
      <c r="J2251" s="446">
        <v>1.03</v>
      </c>
      <c r="K2251" s="803">
        <f t="shared" si="65"/>
        <v>0.94622733953944149</v>
      </c>
      <c r="L2251" s="243" t="s">
        <v>8</v>
      </c>
      <c r="M2251" s="173"/>
      <c r="N2251" s="230"/>
      <c r="O2251" s="205"/>
      <c r="P2251" s="208"/>
      <c r="Q2251" s="208"/>
      <c r="R2251" s="208"/>
      <c r="S2251" s="208"/>
      <c r="T2251" s="203"/>
    </row>
    <row r="2252" spans="1:24" s="27" customFormat="1" ht="30" customHeight="1" x14ac:dyDescent="0.35">
      <c r="A2252" s="241" t="s">
        <v>380</v>
      </c>
      <c r="B2252" s="1082" t="s">
        <v>1173</v>
      </c>
      <c r="C2252" s="1083"/>
      <c r="D2252" s="1093"/>
      <c r="E2252" s="453">
        <f>(660+1010)/2</f>
        <v>835</v>
      </c>
      <c r="F2252" s="639" t="s">
        <v>10</v>
      </c>
      <c r="G2252" s="700">
        <v>1</v>
      </c>
      <c r="H2252" s="608" t="s">
        <v>932</v>
      </c>
      <c r="I2252" s="804">
        <f>+E2252/H2241</f>
        <v>8.1822635962763346E-2</v>
      </c>
      <c r="J2252" s="446">
        <v>1.03</v>
      </c>
      <c r="K2252" s="803">
        <f t="shared" si="65"/>
        <v>8.4277315041646247E-2</v>
      </c>
      <c r="L2252" s="243" t="s">
        <v>8</v>
      </c>
      <c r="M2252" s="362"/>
      <c r="N2252" s="63"/>
      <c r="O2252" s="205"/>
      <c r="P2252" s="203"/>
      <c r="Q2252" s="203"/>
      <c r="R2252" s="203"/>
      <c r="S2252" s="203"/>
      <c r="T2252" s="203"/>
    </row>
    <row r="2253" spans="1:24" s="27" customFormat="1" ht="30" customHeight="1" x14ac:dyDescent="0.35">
      <c r="A2253" s="241" t="s">
        <v>380</v>
      </c>
      <c r="B2253" s="1082" t="s">
        <v>1174</v>
      </c>
      <c r="C2253" s="1083"/>
      <c r="D2253" s="1093"/>
      <c r="E2253" s="453">
        <f>+(1160+3475)/2</f>
        <v>2317.5</v>
      </c>
      <c r="F2253" s="639" t="s">
        <v>10</v>
      </c>
      <c r="G2253" s="700">
        <v>1</v>
      </c>
      <c r="H2253" s="608" t="s">
        <v>932</v>
      </c>
      <c r="I2253" s="804">
        <f>+E2253/H2241</f>
        <v>0.22709456148946594</v>
      </c>
      <c r="J2253" s="446">
        <v>1.03</v>
      </c>
      <c r="K2253" s="803">
        <f t="shared" si="65"/>
        <v>0.23390739833414992</v>
      </c>
      <c r="L2253" s="243" t="s">
        <v>8</v>
      </c>
      <c r="M2253" s="173"/>
      <c r="N2253" s="63"/>
      <c r="O2253" s="205"/>
      <c r="P2253" s="203"/>
      <c r="Q2253" s="203"/>
      <c r="R2253" s="203"/>
      <c r="S2253" s="203"/>
      <c r="T2253" s="51"/>
      <c r="U2253" s="203"/>
      <c r="V2253" s="203"/>
      <c r="W2253" s="203"/>
      <c r="X2253" s="203"/>
    </row>
    <row r="2254" spans="1:24" ht="30" customHeight="1" x14ac:dyDescent="0.35">
      <c r="A2254" s="241"/>
      <c r="B2254" s="1059"/>
      <c r="C2254" s="1059"/>
      <c r="D2254" s="1059"/>
      <c r="E2254" s="743"/>
      <c r="F2254" s="519"/>
      <c r="G2254" s="508"/>
      <c r="H2254" s="508"/>
      <c r="I2254" s="446"/>
      <c r="J2254" s="446" t="s">
        <v>362</v>
      </c>
      <c r="K2254" s="803">
        <f>SUM(K2243:K2253)</f>
        <v>124.55740725134736</v>
      </c>
      <c r="L2254" s="243" t="s">
        <v>8</v>
      </c>
      <c r="M2254" s="173"/>
      <c r="N2254" s="63"/>
      <c r="T2254" s="51"/>
    </row>
    <row r="2255" spans="1:24" ht="30" customHeight="1" x14ac:dyDescent="0.35">
      <c r="A2255" s="241"/>
      <c r="B2255" s="506"/>
      <c r="C2255" s="506"/>
      <c r="D2255" s="506"/>
      <c r="E2255" s="506"/>
      <c r="F2255" s="1029" t="s">
        <v>302</v>
      </c>
      <c r="G2255" s="1058" t="s">
        <v>303</v>
      </c>
      <c r="H2255" s="1058"/>
      <c r="I2255" s="1058"/>
      <c r="J2255" s="1058"/>
      <c r="K2255" s="665">
        <v>1.1000000000000001</v>
      </c>
      <c r="L2255" s="243"/>
      <c r="M2255" s="173"/>
      <c r="N2255" s="63"/>
      <c r="P2255" s="171"/>
      <c r="Q2255" s="171"/>
      <c r="R2255" s="171"/>
      <c r="S2255" s="51"/>
    </row>
    <row r="2256" spans="1:24" ht="30" customHeight="1" x14ac:dyDescent="0.35">
      <c r="A2256" s="241"/>
      <c r="B2256" s="506"/>
      <c r="C2256" s="506"/>
      <c r="D2256" s="506"/>
      <c r="E2256" s="506"/>
      <c r="F2256" s="1030"/>
      <c r="G2256" s="1073" t="s">
        <v>2374</v>
      </c>
      <c r="H2256" s="1073"/>
      <c r="I2256" s="1073"/>
      <c r="J2256" s="1073"/>
      <c r="K2256" s="612">
        <v>1.08</v>
      </c>
      <c r="L2256" s="243"/>
      <c r="M2256" s="363"/>
      <c r="P2256" s="171"/>
      <c r="Q2256" s="171"/>
      <c r="R2256" s="171"/>
      <c r="S2256" s="51"/>
    </row>
    <row r="2257" spans="1:24" ht="30" customHeight="1" x14ac:dyDescent="0.35">
      <c r="A2257" s="785"/>
      <c r="B2257" s="800"/>
      <c r="C2257" s="800"/>
      <c r="D2257" s="800"/>
      <c r="E2257" s="800"/>
      <c r="F2257" s="800"/>
      <c r="G2257" s="800"/>
      <c r="H2257" s="458"/>
      <c r="I2257" s="458"/>
      <c r="J2257" s="446" t="s">
        <v>2356</v>
      </c>
      <c r="K2257" s="801">
        <f>+K2254*K2255/K2256</f>
        <v>126.8640259041501</v>
      </c>
      <c r="L2257" s="243" t="s">
        <v>8</v>
      </c>
      <c r="M2257" s="173"/>
      <c r="O2257" s="203"/>
    </row>
    <row r="2258" spans="1:24" ht="30" customHeight="1" x14ac:dyDescent="0.35">
      <c r="A2258" s="785"/>
      <c r="B2258" s="802"/>
      <c r="C2258" s="802"/>
      <c r="D2258" s="802"/>
      <c r="E2258" s="802"/>
      <c r="F2258" s="171"/>
      <c r="G2258" s="802"/>
      <c r="H2258" s="458"/>
      <c r="I2258" s="568" t="s">
        <v>2359</v>
      </c>
      <c r="J2258" s="583">
        <f>VLOOKUP(B2241,'Mil Cost Premiums for PUCs'!$A$4:$R$272,18,FALSE)</f>
        <v>1.3319480854780448</v>
      </c>
      <c r="K2258" s="801">
        <f>+K2257*J2258</f>
        <v>168.9762964190698</v>
      </c>
      <c r="L2258" s="243" t="s">
        <v>8</v>
      </c>
      <c r="M2258" s="173"/>
      <c r="O2258" s="203"/>
      <c r="T2258" s="208"/>
      <c r="U2258" s="208"/>
      <c r="V2258" s="208"/>
      <c r="W2258" s="208"/>
      <c r="X2258" s="208"/>
    </row>
    <row r="2259" spans="1:24" s="208" customFormat="1" ht="60" customHeight="1" x14ac:dyDescent="0.35">
      <c r="A2259" s="1064" t="s">
        <v>305</v>
      </c>
      <c r="B2259" s="1065"/>
      <c r="C2259" s="1065"/>
      <c r="D2259" s="1065"/>
      <c r="E2259" s="1065"/>
      <c r="F2259" s="1065"/>
      <c r="G2259" s="1065"/>
      <c r="H2259" s="1065"/>
      <c r="I2259" s="1065"/>
      <c r="J2259" s="1065"/>
      <c r="K2259" s="1065"/>
      <c r="L2259" s="1066"/>
      <c r="M2259" s="173"/>
      <c r="N2259" s="203"/>
      <c r="O2259" s="203"/>
      <c r="P2259" s="203"/>
      <c r="Q2259" s="203"/>
      <c r="R2259" s="203"/>
      <c r="S2259" s="203"/>
      <c r="T2259" s="203"/>
      <c r="U2259" s="203"/>
      <c r="V2259" s="203"/>
      <c r="W2259" s="203"/>
      <c r="X2259" s="203"/>
    </row>
    <row r="2260" spans="1:24" ht="30" customHeight="1" x14ac:dyDescent="0.35">
      <c r="A2260" s="1077" t="s">
        <v>306</v>
      </c>
      <c r="B2260" s="1042"/>
      <c r="C2260" s="1043"/>
      <c r="D2260" s="1067" t="s">
        <v>1175</v>
      </c>
      <c r="E2260" s="1065"/>
      <c r="F2260" s="1065"/>
      <c r="G2260" s="1065"/>
      <c r="H2260" s="1065"/>
      <c r="I2260" s="1065"/>
      <c r="J2260" s="1065"/>
      <c r="K2260" s="1065"/>
      <c r="L2260" s="1066"/>
      <c r="M2260" s="173"/>
      <c r="N2260" s="208"/>
      <c r="O2260" s="208"/>
      <c r="P2260" s="208"/>
      <c r="Q2260" s="208"/>
      <c r="R2260" s="208"/>
      <c r="S2260" s="208"/>
    </row>
    <row r="2261" spans="1:24" ht="30" customHeight="1" x14ac:dyDescent="0.35">
      <c r="A2261" s="1077" t="s">
        <v>307</v>
      </c>
      <c r="B2261" s="1042"/>
      <c r="C2261" s="1043"/>
      <c r="D2261" s="1067" t="s">
        <v>1176</v>
      </c>
      <c r="E2261" s="1065"/>
      <c r="F2261" s="1065"/>
      <c r="G2261" s="1065"/>
      <c r="H2261" s="1065"/>
      <c r="I2261" s="1065"/>
      <c r="J2261" s="1065"/>
      <c r="K2261" s="1065"/>
      <c r="L2261" s="1066"/>
      <c r="M2261" s="173"/>
      <c r="O2261" s="203"/>
    </row>
    <row r="2262" spans="1:24" ht="30" customHeight="1" x14ac:dyDescent="0.35">
      <c r="A2262" s="1077" t="s">
        <v>308</v>
      </c>
      <c r="B2262" s="1042"/>
      <c r="C2262" s="1043"/>
      <c r="D2262" s="1067" t="s">
        <v>3017</v>
      </c>
      <c r="E2262" s="1065"/>
      <c r="F2262" s="1065"/>
      <c r="G2262" s="1065"/>
      <c r="H2262" s="1065"/>
      <c r="I2262" s="1065"/>
      <c r="J2262" s="1065"/>
      <c r="K2262" s="1065"/>
      <c r="L2262" s="1066"/>
      <c r="M2262" s="173"/>
      <c r="O2262" s="203"/>
    </row>
    <row r="2263" spans="1:24" ht="30" customHeight="1" x14ac:dyDescent="0.35">
      <c r="A2263" s="1077" t="s">
        <v>309</v>
      </c>
      <c r="B2263" s="1042"/>
      <c r="C2263" s="1043"/>
      <c r="D2263" s="1067" t="s">
        <v>1177</v>
      </c>
      <c r="E2263" s="1065"/>
      <c r="F2263" s="1065"/>
      <c r="G2263" s="1065"/>
      <c r="H2263" s="1065"/>
      <c r="I2263" s="1065"/>
      <c r="J2263" s="1065"/>
      <c r="K2263" s="1065"/>
      <c r="L2263" s="1066"/>
      <c r="M2263" s="173"/>
      <c r="O2263" s="203"/>
      <c r="T2263" s="27"/>
      <c r="U2263" s="171"/>
    </row>
    <row r="2264" spans="1:24" ht="75" customHeight="1" x14ac:dyDescent="0.35">
      <c r="A2264" s="1077" t="s">
        <v>311</v>
      </c>
      <c r="B2264" s="1042"/>
      <c r="C2264" s="1043"/>
      <c r="D2264" s="1067" t="s">
        <v>3200</v>
      </c>
      <c r="E2264" s="1065"/>
      <c r="F2264" s="1065"/>
      <c r="G2264" s="1065"/>
      <c r="H2264" s="1065"/>
      <c r="I2264" s="1065"/>
      <c r="J2264" s="1065"/>
      <c r="K2264" s="1065"/>
      <c r="L2264" s="1066"/>
      <c r="M2264" s="173"/>
      <c r="O2264" s="203"/>
      <c r="U2264" s="171"/>
    </row>
    <row r="2265" spans="1:24" ht="30" customHeight="1" x14ac:dyDescent="0.35">
      <c r="A2265" s="1077" t="s">
        <v>313</v>
      </c>
      <c r="B2265" s="1042"/>
      <c r="C2265" s="1043"/>
      <c r="D2265" s="1067" t="s">
        <v>1171</v>
      </c>
      <c r="E2265" s="1065"/>
      <c r="F2265" s="1065"/>
      <c r="G2265" s="1065"/>
      <c r="H2265" s="1065"/>
      <c r="I2265" s="1065"/>
      <c r="J2265" s="1065"/>
      <c r="K2265" s="1065"/>
      <c r="L2265" s="1066"/>
      <c r="M2265" s="363"/>
      <c r="N2265" s="214"/>
      <c r="O2265" s="207"/>
      <c r="P2265" s="27"/>
      <c r="Q2265" s="27"/>
      <c r="R2265" s="27"/>
      <c r="S2265" s="27"/>
      <c r="T2265" s="51"/>
      <c r="U2265" s="171"/>
    </row>
    <row r="2266" spans="1:24" ht="30" customHeight="1" x14ac:dyDescent="0.35">
      <c r="A2266" s="1077" t="s">
        <v>315</v>
      </c>
      <c r="B2266" s="1042"/>
      <c r="C2266" s="1043"/>
      <c r="D2266" s="1067" t="s">
        <v>852</v>
      </c>
      <c r="E2266" s="1065"/>
      <c r="F2266" s="1065"/>
      <c r="G2266" s="1065"/>
      <c r="H2266" s="1065"/>
      <c r="I2266" s="1065"/>
      <c r="J2266" s="1065"/>
      <c r="K2266" s="1065"/>
      <c r="L2266" s="1066"/>
      <c r="M2266" s="173"/>
      <c r="T2266" s="213"/>
      <c r="U2266" s="75"/>
      <c r="V2266" s="208"/>
      <c r="W2266" s="208"/>
      <c r="X2266" s="208"/>
    </row>
    <row r="2267" spans="1:24" s="208" customFormat="1" ht="75" customHeight="1" x14ac:dyDescent="0.35">
      <c r="A2267" s="1077" t="s">
        <v>316</v>
      </c>
      <c r="B2267" s="1042"/>
      <c r="C2267" s="1043"/>
      <c r="D2267" s="1067" t="s">
        <v>373</v>
      </c>
      <c r="E2267" s="1065"/>
      <c r="F2267" s="1065"/>
      <c r="G2267" s="1065"/>
      <c r="H2267" s="1065"/>
      <c r="I2267" s="1065"/>
      <c r="J2267" s="1065"/>
      <c r="K2267" s="1065"/>
      <c r="L2267" s="1066"/>
      <c r="M2267" s="173"/>
      <c r="N2267" s="425"/>
      <c r="O2267" s="205"/>
      <c r="P2267" s="171"/>
      <c r="Q2267" s="171"/>
      <c r="R2267" s="171"/>
      <c r="S2267" s="51"/>
      <c r="T2267" s="171"/>
      <c r="U2267" s="51"/>
      <c r="V2267" s="51"/>
      <c r="W2267" s="171"/>
      <c r="X2267" s="203"/>
    </row>
    <row r="2268" spans="1:24" ht="45" customHeight="1" thickBot="1" x14ac:dyDescent="0.4">
      <c r="A2268" s="1077" t="s">
        <v>318</v>
      </c>
      <c r="B2268" s="1042"/>
      <c r="C2268" s="1043"/>
      <c r="D2268" s="1068" t="s">
        <v>2882</v>
      </c>
      <c r="E2268" s="1069"/>
      <c r="F2268" s="1069"/>
      <c r="G2268" s="1069"/>
      <c r="H2268" s="1069"/>
      <c r="I2268" s="1069"/>
      <c r="J2268" s="1069"/>
      <c r="K2268" s="1069"/>
      <c r="L2268" s="1070"/>
      <c r="M2268" s="173"/>
      <c r="N2268" s="208"/>
      <c r="P2268" s="75"/>
      <c r="Q2268" s="75"/>
      <c r="R2268" s="75"/>
      <c r="S2268" s="213"/>
      <c r="T2268" s="51"/>
      <c r="U2268" s="171"/>
    </row>
    <row r="2269" spans="1:24" ht="30" customHeight="1" thickBot="1" x14ac:dyDescent="0.4">
      <c r="A2269" s="1086"/>
      <c r="B2269" s="1087"/>
      <c r="C2269" s="1087"/>
      <c r="D2269" s="1087"/>
      <c r="E2269" s="1087"/>
      <c r="F2269" s="1087"/>
      <c r="G2269" s="1087"/>
      <c r="H2269" s="1087"/>
      <c r="I2269" s="1087"/>
      <c r="J2269" s="1087"/>
      <c r="K2269" s="1087"/>
      <c r="L2269" s="1088"/>
      <c r="M2269" s="173"/>
      <c r="N2269" s="419"/>
      <c r="R2269" s="171"/>
      <c r="S2269" s="171"/>
      <c r="T2269" s="51"/>
      <c r="U2269" s="171"/>
    </row>
    <row r="2270" spans="1:24" ht="30" customHeight="1" x14ac:dyDescent="0.35">
      <c r="A2270" s="465" t="s">
        <v>278</v>
      </c>
      <c r="B2270" s="539">
        <v>3211</v>
      </c>
      <c r="C2270" s="1060" t="s">
        <v>3018</v>
      </c>
      <c r="D2270" s="1061"/>
      <c r="E2270" s="541" t="s">
        <v>280</v>
      </c>
      <c r="F2270" s="542" t="s">
        <v>8</v>
      </c>
      <c r="G2270" s="543" t="s">
        <v>285</v>
      </c>
      <c r="H2270" s="569">
        <v>14691</v>
      </c>
      <c r="I2270" s="541" t="s">
        <v>281</v>
      </c>
      <c r="J2270" s="1019" t="s">
        <v>3019</v>
      </c>
      <c r="K2270" s="1019"/>
      <c r="L2270" s="1020"/>
      <c r="M2270" s="173"/>
      <c r="P2270" s="171"/>
      <c r="Q2270" s="171"/>
      <c r="R2270" s="171"/>
      <c r="S2270" s="51"/>
      <c r="T2270" s="51"/>
      <c r="U2270" s="171"/>
    </row>
    <row r="2271" spans="1:24" ht="30" customHeight="1" x14ac:dyDescent="0.35">
      <c r="A2271" s="545"/>
      <c r="B2271" s="1021" t="s">
        <v>2921</v>
      </c>
      <c r="C2271" s="1021"/>
      <c r="D2271" s="1021"/>
      <c r="E2271" s="509" t="s">
        <v>290</v>
      </c>
      <c r="F2271" s="509" t="s">
        <v>322</v>
      </c>
      <c r="G2271" s="1034" t="s">
        <v>323</v>
      </c>
      <c r="H2271" s="1035"/>
      <c r="I2271" s="509" t="s">
        <v>327</v>
      </c>
      <c r="J2271" s="509" t="s">
        <v>419</v>
      </c>
      <c r="K2271" s="1012" t="s">
        <v>2356</v>
      </c>
      <c r="L2271" s="1013"/>
      <c r="M2271" s="173"/>
      <c r="N2271" s="210"/>
      <c r="P2271" s="171"/>
      <c r="Q2271" s="171"/>
      <c r="R2271" s="171"/>
      <c r="S2271" s="51"/>
      <c r="T2271" s="51"/>
      <c r="U2271" s="171"/>
    </row>
    <row r="2272" spans="1:24" ht="30" customHeight="1" thickBot="1" x14ac:dyDescent="0.4">
      <c r="A2272" s="546"/>
      <c r="B2272" s="1265" t="s">
        <v>4</v>
      </c>
      <c r="C2272" s="1265"/>
      <c r="D2272" s="1265"/>
      <c r="E2272" s="547"/>
      <c r="F2272" s="548"/>
      <c r="G2272" s="1015"/>
      <c r="H2272" s="1016"/>
      <c r="I2272" s="549"/>
      <c r="J2272" s="550" t="s">
        <v>4</v>
      </c>
      <c r="K2272" s="551">
        <f>K1975</f>
        <v>384.71102385485426</v>
      </c>
      <c r="L2272" s="552" t="s">
        <v>8</v>
      </c>
      <c r="M2272" s="173"/>
      <c r="N2272" s="210"/>
      <c r="P2272" s="171"/>
      <c r="Q2272" s="171"/>
      <c r="R2272" s="171"/>
      <c r="S2272" s="51"/>
      <c r="T2272" s="51"/>
      <c r="U2272" s="171"/>
    </row>
    <row r="2273" spans="1:24" ht="30" customHeight="1" thickBot="1" x14ac:dyDescent="0.4">
      <c r="A2273" s="1086"/>
      <c r="B2273" s="1087"/>
      <c r="C2273" s="1087"/>
      <c r="D2273" s="1087"/>
      <c r="E2273" s="1087"/>
      <c r="F2273" s="1087"/>
      <c r="G2273" s="1087"/>
      <c r="H2273" s="1087"/>
      <c r="I2273" s="1087"/>
      <c r="J2273" s="1087"/>
      <c r="K2273" s="1087"/>
      <c r="L2273" s="1088"/>
      <c r="M2273" s="364"/>
      <c r="N2273" s="210"/>
      <c r="P2273" s="171"/>
      <c r="Q2273" s="171"/>
      <c r="R2273" s="171"/>
      <c r="S2273" s="51"/>
      <c r="T2273" s="51"/>
      <c r="U2273" s="171"/>
    </row>
    <row r="2274" spans="1:24" ht="30" customHeight="1" x14ac:dyDescent="0.35">
      <c r="A2274" s="465" t="s">
        <v>278</v>
      </c>
      <c r="B2274" s="539">
        <v>3711</v>
      </c>
      <c r="C2274" s="1060" t="s">
        <v>1178</v>
      </c>
      <c r="D2274" s="1061"/>
      <c r="E2274" s="541" t="s">
        <v>280</v>
      </c>
      <c r="F2274" s="542" t="s">
        <v>8</v>
      </c>
      <c r="G2274" s="543" t="s">
        <v>285</v>
      </c>
      <c r="H2274" s="569">
        <v>3183</v>
      </c>
      <c r="I2274" s="541" t="s">
        <v>281</v>
      </c>
      <c r="J2274" s="1019" t="s">
        <v>1179</v>
      </c>
      <c r="K2274" s="1019"/>
      <c r="L2274" s="1020"/>
      <c r="M2274" s="173"/>
      <c r="N2274" s="210"/>
      <c r="P2274" s="171"/>
      <c r="Q2274" s="171"/>
      <c r="R2274" s="171"/>
      <c r="S2274" s="51"/>
      <c r="T2274" s="51"/>
      <c r="U2274" s="171"/>
    </row>
    <row r="2275" spans="1:24" ht="30" customHeight="1" x14ac:dyDescent="0.35">
      <c r="A2275" s="545" t="s">
        <v>288</v>
      </c>
      <c r="B2275" s="1051" t="s">
        <v>282</v>
      </c>
      <c r="C2275" s="1051"/>
      <c r="D2275" s="1051"/>
      <c r="E2275" s="561" t="s">
        <v>290</v>
      </c>
      <c r="F2275" s="509" t="s">
        <v>289</v>
      </c>
      <c r="G2275" s="1094"/>
      <c r="H2275" s="1095"/>
      <c r="I2275" s="1052" t="s">
        <v>405</v>
      </c>
      <c r="J2275" s="1053"/>
      <c r="K2275" s="1012" t="s">
        <v>292</v>
      </c>
      <c r="L2275" s="1013"/>
      <c r="M2275" s="173"/>
      <c r="N2275" s="210"/>
      <c r="P2275" s="171"/>
      <c r="Q2275" s="171"/>
      <c r="R2275" s="171"/>
      <c r="S2275" s="51"/>
      <c r="T2275" s="51"/>
      <c r="U2275" s="171"/>
    </row>
    <row r="2276" spans="1:24" ht="30" customHeight="1" x14ac:dyDescent="0.35">
      <c r="A2276" s="241">
        <v>17123</v>
      </c>
      <c r="B2276" s="1082" t="s">
        <v>1180</v>
      </c>
      <c r="C2276" s="1083"/>
      <c r="D2276" s="1093"/>
      <c r="E2276" s="805">
        <v>307</v>
      </c>
      <c r="F2276" s="439">
        <v>1100</v>
      </c>
      <c r="G2276" s="462"/>
      <c r="H2276" s="462"/>
      <c r="I2276" s="1091">
        <f>+'2021 MILCON Inflation Table'!F16</f>
        <v>1.0201832129291724</v>
      </c>
      <c r="J2276" s="1092"/>
      <c r="K2276" s="463">
        <f>+I2276*E2276</f>
        <v>313.1962463692559</v>
      </c>
      <c r="L2276" s="564" t="s">
        <v>8</v>
      </c>
      <c r="M2276" s="173"/>
      <c r="P2276" s="171"/>
      <c r="Q2276" s="171"/>
      <c r="R2276" s="171"/>
      <c r="S2276" s="51"/>
      <c r="T2276" s="51"/>
      <c r="U2276" s="171"/>
    </row>
    <row r="2277" spans="1:24" ht="30" customHeight="1" x14ac:dyDescent="0.35">
      <c r="A2277" s="241">
        <v>17213</v>
      </c>
      <c r="B2277" s="1082" t="s">
        <v>3020</v>
      </c>
      <c r="C2277" s="1083"/>
      <c r="D2277" s="1093"/>
      <c r="E2277" s="805">
        <v>432</v>
      </c>
      <c r="F2277" s="439">
        <v>66000</v>
      </c>
      <c r="G2277" s="725"/>
      <c r="H2277" s="726"/>
      <c r="I2277" s="1091">
        <f>+'2021 MILCON Inflation Table'!F20</f>
        <v>0.9432470865927236</v>
      </c>
      <c r="J2277" s="1092"/>
      <c r="K2277" s="463">
        <f>+I2277*E2277</f>
        <v>407.4827414080566</v>
      </c>
      <c r="L2277" s="564" t="s">
        <v>8</v>
      </c>
      <c r="M2277" s="173"/>
      <c r="P2277" s="171"/>
      <c r="Q2277" s="171"/>
      <c r="R2277" s="171"/>
      <c r="S2277" s="51"/>
      <c r="T2277" s="51"/>
      <c r="U2277" s="171"/>
    </row>
    <row r="2278" spans="1:24" ht="30" customHeight="1" thickBot="1" x14ac:dyDescent="0.4">
      <c r="A2278" s="241"/>
      <c r="B2278" s="1031"/>
      <c r="C2278" s="1032"/>
      <c r="D2278" s="1033"/>
      <c r="E2278" s="553"/>
      <c r="F2278" s="706"/>
      <c r="G2278" s="553"/>
      <c r="H2278" s="707"/>
      <c r="I2278" s="458"/>
      <c r="J2278" s="510" t="s">
        <v>2356</v>
      </c>
      <c r="K2278" s="459">
        <f>AVERAGE(K2276:K2277)</f>
        <v>360.33949388865625</v>
      </c>
      <c r="L2278" s="564" t="s">
        <v>8</v>
      </c>
      <c r="M2278" s="173"/>
      <c r="P2278" s="171"/>
      <c r="Q2278" s="171"/>
      <c r="R2278" s="171"/>
      <c r="S2278" s="51"/>
      <c r="T2278" s="51"/>
      <c r="U2278" s="171"/>
    </row>
    <row r="2279" spans="1:24" ht="30" customHeight="1" thickBot="1" x14ac:dyDescent="0.4">
      <c r="A2279" s="1086"/>
      <c r="B2279" s="1087"/>
      <c r="C2279" s="1087"/>
      <c r="D2279" s="1087"/>
      <c r="E2279" s="1087"/>
      <c r="F2279" s="1087"/>
      <c r="G2279" s="1087"/>
      <c r="H2279" s="1087"/>
      <c r="I2279" s="1087"/>
      <c r="J2279" s="1087"/>
      <c r="K2279" s="1087"/>
      <c r="L2279" s="1088"/>
      <c r="M2279" s="173"/>
      <c r="P2279" s="171"/>
      <c r="Q2279" s="171"/>
      <c r="R2279" s="171"/>
      <c r="S2279" s="51"/>
      <c r="T2279" s="51"/>
      <c r="U2279" s="171"/>
    </row>
    <row r="2280" spans="1:24" ht="30" customHeight="1" x14ac:dyDescent="0.35">
      <c r="A2280" s="465" t="s">
        <v>278</v>
      </c>
      <c r="B2280" s="539">
        <v>3712</v>
      </c>
      <c r="C2280" s="1060" t="s">
        <v>1181</v>
      </c>
      <c r="D2280" s="1061"/>
      <c r="E2280" s="541" t="s">
        <v>280</v>
      </c>
      <c r="F2280" s="542" t="s">
        <v>10</v>
      </c>
      <c r="G2280" s="560" t="s">
        <v>279</v>
      </c>
      <c r="H2280" s="569">
        <v>1</v>
      </c>
      <c r="I2280" s="541" t="s">
        <v>281</v>
      </c>
      <c r="J2280" s="1291" t="s">
        <v>3022</v>
      </c>
      <c r="K2280" s="1291"/>
      <c r="L2280" s="1292"/>
      <c r="M2280" s="364"/>
      <c r="P2280" s="171"/>
      <c r="Q2280" s="171"/>
      <c r="R2280" s="171"/>
      <c r="S2280" s="51"/>
      <c r="T2280" s="213"/>
      <c r="U2280" s="75"/>
      <c r="V2280" s="208"/>
      <c r="W2280" s="208"/>
      <c r="X2280" s="208"/>
    </row>
    <row r="2281" spans="1:24" ht="30" customHeight="1" x14ac:dyDescent="0.35">
      <c r="A2281" s="545" t="s">
        <v>288</v>
      </c>
      <c r="B2281" s="1051" t="s">
        <v>282</v>
      </c>
      <c r="C2281" s="1051"/>
      <c r="D2281" s="1051"/>
      <c r="E2281" s="561" t="s">
        <v>290</v>
      </c>
      <c r="F2281" s="509" t="s">
        <v>289</v>
      </c>
      <c r="G2281" s="1094" t="s">
        <v>2</v>
      </c>
      <c r="H2281" s="1095"/>
      <c r="I2281" s="1052" t="s">
        <v>405</v>
      </c>
      <c r="J2281" s="1053"/>
      <c r="K2281" s="1012" t="s">
        <v>292</v>
      </c>
      <c r="L2281" s="1013"/>
      <c r="M2281" s="364"/>
      <c r="O2281" s="218"/>
      <c r="P2281" s="68"/>
      <c r="Q2281" s="217"/>
    </row>
    <row r="2282" spans="1:24" ht="30" customHeight="1" x14ac:dyDescent="0.35">
      <c r="A2282" s="562">
        <v>62010</v>
      </c>
      <c r="B2282" s="1057" t="s">
        <v>1182</v>
      </c>
      <c r="C2282" s="1057"/>
      <c r="D2282" s="1057"/>
      <c r="E2282" s="805">
        <v>235</v>
      </c>
      <c r="F2282" s="428">
        <v>230</v>
      </c>
      <c r="G2282" s="434" t="s">
        <v>8</v>
      </c>
      <c r="H2282" s="806"/>
      <c r="I2282" s="1091">
        <f>+'2021 MILCON Inflation Table'!F8</f>
        <v>1.3794561933534744</v>
      </c>
      <c r="J2282" s="1092"/>
      <c r="K2282" s="774">
        <f>+E2282*F2282*I2282</f>
        <v>74559.607250755289</v>
      </c>
      <c r="L2282" s="564" t="s">
        <v>10</v>
      </c>
      <c r="M2282" s="173"/>
      <c r="O2282" s="218"/>
      <c r="P2282" s="68"/>
      <c r="Q2282" s="217"/>
    </row>
    <row r="2283" spans="1:24" ht="30" customHeight="1" x14ac:dyDescent="0.35">
      <c r="A2283" s="241">
        <v>17971</v>
      </c>
      <c r="B2283" s="1082" t="s">
        <v>3023</v>
      </c>
      <c r="C2283" s="1083"/>
      <c r="D2283" s="1093"/>
      <c r="E2283" s="805">
        <v>606194</v>
      </c>
      <c r="F2283" s="439">
        <v>1</v>
      </c>
      <c r="G2283" s="462" t="s">
        <v>10</v>
      </c>
      <c r="H2283" s="462"/>
      <c r="I2283" s="1044">
        <f>+'2021 MILCON Inflation Table'!F16</f>
        <v>1.0201832129291724</v>
      </c>
      <c r="J2283" s="1045"/>
      <c r="K2283" s="774">
        <f>+E2283*I2283</f>
        <v>618428.94257838675</v>
      </c>
      <c r="L2283" s="564" t="s">
        <v>10</v>
      </c>
      <c r="M2283" s="173"/>
      <c r="P2283" s="171"/>
      <c r="Q2283" s="171"/>
      <c r="R2283" s="171"/>
      <c r="S2283" s="51"/>
      <c r="T2283" s="213"/>
      <c r="U2283" s="75"/>
      <c r="V2283" s="208"/>
      <c r="W2283" s="208"/>
      <c r="X2283" s="208"/>
    </row>
    <row r="2284" spans="1:24" s="208" customFormat="1" ht="30" customHeight="1" x14ac:dyDescent="0.35">
      <c r="A2284" s="241" t="s">
        <v>1183</v>
      </c>
      <c r="B2284" s="1082" t="s">
        <v>3021</v>
      </c>
      <c r="C2284" s="1083"/>
      <c r="D2284" s="1093"/>
      <c r="E2284" s="805">
        <f>K200</f>
        <v>64228.13208333333</v>
      </c>
      <c r="F2284" s="439">
        <v>1</v>
      </c>
      <c r="G2284" s="462" t="s">
        <v>10</v>
      </c>
      <c r="H2284" s="462"/>
      <c r="I2284" s="1091"/>
      <c r="J2284" s="1092"/>
      <c r="K2284" s="805">
        <f>+E2284</f>
        <v>64228.13208333333</v>
      </c>
      <c r="L2284" s="564" t="s">
        <v>10</v>
      </c>
      <c r="M2284" s="173"/>
      <c r="N2284" s="203"/>
      <c r="O2284" s="205"/>
      <c r="P2284" s="171"/>
      <c r="Q2284" s="171"/>
      <c r="R2284" s="171"/>
      <c r="S2284" s="51"/>
      <c r="T2284" s="171"/>
      <c r="U2284" s="51"/>
      <c r="V2284" s="51"/>
      <c r="W2284" s="171"/>
      <c r="X2284" s="203"/>
    </row>
    <row r="2285" spans="1:24" ht="30" customHeight="1" x14ac:dyDescent="0.35">
      <c r="A2285" s="241"/>
      <c r="B2285" s="485"/>
      <c r="C2285" s="610"/>
      <c r="D2285" s="608"/>
      <c r="E2285" s="667"/>
      <c r="F2285" s="724"/>
      <c r="G2285" s="725"/>
      <c r="H2285" s="726"/>
      <c r="I2285" s="807"/>
      <c r="J2285" s="784" t="s">
        <v>335</v>
      </c>
      <c r="K2285" s="774">
        <f>SUM(K2282:K2284)</f>
        <v>757216.68191247538</v>
      </c>
      <c r="L2285" s="564" t="s">
        <v>10</v>
      </c>
      <c r="M2285" s="363"/>
      <c r="N2285" s="208"/>
      <c r="P2285" s="75"/>
      <c r="Q2285" s="75"/>
      <c r="R2285" s="75"/>
      <c r="S2285" s="213"/>
      <c r="T2285" s="51"/>
      <c r="U2285" s="171"/>
    </row>
    <row r="2286" spans="1:24" ht="30" customHeight="1" thickBot="1" x14ac:dyDescent="0.4">
      <c r="A2286" s="241"/>
      <c r="B2286" s="1031"/>
      <c r="C2286" s="1032"/>
      <c r="D2286" s="1033"/>
      <c r="E2286" s="553"/>
      <c r="F2286" s="706"/>
      <c r="G2286" s="553"/>
      <c r="H2286" s="707"/>
      <c r="I2286" s="707"/>
      <c r="J2286" s="510" t="s">
        <v>2356</v>
      </c>
      <c r="K2286" s="774">
        <f>+K2285</f>
        <v>757216.68191247538</v>
      </c>
      <c r="L2286" s="564" t="s">
        <v>10</v>
      </c>
      <c r="M2286" s="173"/>
      <c r="N2286" s="419"/>
      <c r="R2286" s="171"/>
      <c r="S2286" s="171"/>
      <c r="T2286" s="51"/>
      <c r="U2286" s="171"/>
    </row>
    <row r="2287" spans="1:24" ht="30" customHeight="1" thickBot="1" x14ac:dyDescent="0.4">
      <c r="A2287" s="1086"/>
      <c r="B2287" s="1087"/>
      <c r="C2287" s="1087"/>
      <c r="D2287" s="1087"/>
      <c r="E2287" s="1087"/>
      <c r="F2287" s="1087"/>
      <c r="G2287" s="1087"/>
      <c r="H2287" s="1087"/>
      <c r="I2287" s="1087"/>
      <c r="J2287" s="1087"/>
      <c r="K2287" s="1087"/>
      <c r="L2287" s="1088"/>
      <c r="M2287" s="173"/>
      <c r="P2287" s="171"/>
      <c r="Q2287" s="171"/>
      <c r="R2287" s="171"/>
      <c r="S2287" s="51"/>
      <c r="T2287" s="51"/>
      <c r="U2287" s="171"/>
    </row>
    <row r="2288" spans="1:24" ht="30" customHeight="1" x14ac:dyDescent="0.35">
      <c r="A2288" s="465" t="s">
        <v>278</v>
      </c>
      <c r="B2288" s="539">
        <v>3713</v>
      </c>
      <c r="C2288" s="1060" t="s">
        <v>1184</v>
      </c>
      <c r="D2288" s="1061"/>
      <c r="E2288" s="541" t="s">
        <v>280</v>
      </c>
      <c r="F2288" s="542" t="s">
        <v>10</v>
      </c>
      <c r="G2288" s="560" t="s">
        <v>279</v>
      </c>
      <c r="H2288" s="569">
        <v>1</v>
      </c>
      <c r="I2288" s="541" t="s">
        <v>281</v>
      </c>
      <c r="J2288" s="1291" t="s">
        <v>2993</v>
      </c>
      <c r="K2288" s="1291"/>
      <c r="L2288" s="1292"/>
      <c r="M2288" s="173"/>
      <c r="N2288" s="210"/>
      <c r="P2288" s="171"/>
      <c r="Q2288" s="171"/>
      <c r="R2288" s="171"/>
      <c r="S2288" s="51"/>
      <c r="T2288" s="51"/>
      <c r="U2288" s="171"/>
    </row>
    <row r="2289" spans="1:24" ht="30" customHeight="1" x14ac:dyDescent="0.35">
      <c r="A2289" s="545" t="s">
        <v>288</v>
      </c>
      <c r="B2289" s="1051" t="s">
        <v>282</v>
      </c>
      <c r="C2289" s="1051"/>
      <c r="D2289" s="1051"/>
      <c r="E2289" s="561" t="s">
        <v>290</v>
      </c>
      <c r="F2289" s="509" t="s">
        <v>289</v>
      </c>
      <c r="G2289" s="1094" t="s">
        <v>2</v>
      </c>
      <c r="H2289" s="1095"/>
      <c r="I2289" s="1052" t="s">
        <v>405</v>
      </c>
      <c r="J2289" s="1053"/>
      <c r="K2289" s="1012" t="s">
        <v>292</v>
      </c>
      <c r="L2289" s="1013"/>
      <c r="M2289" s="173"/>
      <c r="N2289" s="210"/>
      <c r="P2289" s="171"/>
      <c r="Q2289" s="171"/>
      <c r="R2289" s="171"/>
      <c r="S2289" s="51"/>
      <c r="T2289" s="51"/>
      <c r="U2289" s="171"/>
    </row>
    <row r="2290" spans="1:24" ht="30" customHeight="1" x14ac:dyDescent="0.35">
      <c r="A2290" s="241">
        <v>17123</v>
      </c>
      <c r="B2290" s="1082" t="s">
        <v>1185</v>
      </c>
      <c r="C2290" s="1083"/>
      <c r="D2290" s="1093"/>
      <c r="E2290" s="805">
        <v>207</v>
      </c>
      <c r="F2290" s="808">
        <v>2576</v>
      </c>
      <c r="G2290" s="462" t="s">
        <v>8</v>
      </c>
      <c r="H2290" s="462"/>
      <c r="I2290" s="1091">
        <f>+'2021 MILCON Inflation Table'!F10</f>
        <v>1.3093098833874974</v>
      </c>
      <c r="J2290" s="1092"/>
      <c r="K2290" s="774">
        <f>+E2290*F2290*I2290</f>
        <v>698165.92773848202</v>
      </c>
      <c r="L2290" s="564" t="s">
        <v>10</v>
      </c>
      <c r="M2290" s="173"/>
      <c r="N2290" s="210"/>
      <c r="P2290" s="171"/>
      <c r="Q2290" s="171"/>
      <c r="R2290" s="171"/>
      <c r="S2290" s="51"/>
      <c r="T2290" s="51"/>
      <c r="U2290" s="171"/>
    </row>
    <row r="2291" spans="1:24" ht="30" customHeight="1" x14ac:dyDescent="0.35">
      <c r="A2291" s="241">
        <v>62010</v>
      </c>
      <c r="B2291" s="1057" t="s">
        <v>474</v>
      </c>
      <c r="C2291" s="1057"/>
      <c r="D2291" s="1057"/>
      <c r="E2291" s="805">
        <v>235</v>
      </c>
      <c r="F2291" s="809">
        <v>230</v>
      </c>
      <c r="G2291" s="434" t="s">
        <v>8</v>
      </c>
      <c r="H2291" s="806"/>
      <c r="I2291" s="1091">
        <f>+'2021 MILCON Inflation Table'!F8</f>
        <v>1.3794561933534744</v>
      </c>
      <c r="J2291" s="1092"/>
      <c r="K2291" s="774">
        <f>+E2291*F2291*I2291</f>
        <v>74559.607250755289</v>
      </c>
      <c r="L2291" s="564" t="s">
        <v>10</v>
      </c>
      <c r="M2291" s="363"/>
      <c r="N2291" s="210"/>
      <c r="P2291" s="171"/>
      <c r="Q2291" s="171"/>
      <c r="R2291" s="171"/>
      <c r="S2291" s="51"/>
      <c r="T2291" s="51"/>
      <c r="U2291" s="171"/>
    </row>
    <row r="2292" spans="1:24" ht="30" customHeight="1" x14ac:dyDescent="0.35">
      <c r="A2292" s="241">
        <v>17971</v>
      </c>
      <c r="B2292" s="1082" t="s">
        <v>3024</v>
      </c>
      <c r="C2292" s="1083"/>
      <c r="D2292" s="1093"/>
      <c r="E2292" s="805">
        <v>730318</v>
      </c>
      <c r="F2292" s="808">
        <v>1</v>
      </c>
      <c r="G2292" s="462" t="s">
        <v>10</v>
      </c>
      <c r="H2292" s="462"/>
      <c r="I2292" s="1044">
        <f>+'2021 MILCON Inflation Table'!F20</f>
        <v>0.9432470865927236</v>
      </c>
      <c r="J2292" s="1045"/>
      <c r="K2292" s="774">
        <f>+E2292*I2292</f>
        <v>688870.32578622468</v>
      </c>
      <c r="L2292" s="564" t="s">
        <v>10</v>
      </c>
      <c r="M2292" s="173"/>
      <c r="N2292" s="210"/>
      <c r="P2292" s="171"/>
      <c r="Q2292" s="171"/>
      <c r="R2292" s="171"/>
      <c r="S2292" s="51"/>
      <c r="T2292" s="51"/>
      <c r="U2292" s="171"/>
    </row>
    <row r="2293" spans="1:24" ht="30" customHeight="1" x14ac:dyDescent="0.35">
      <c r="A2293" s="241">
        <v>85110</v>
      </c>
      <c r="B2293" s="1059" t="s">
        <v>3025</v>
      </c>
      <c r="C2293" s="1059"/>
      <c r="D2293" s="1059"/>
      <c r="E2293" s="805">
        <v>60</v>
      </c>
      <c r="F2293" s="808">
        <v>147</v>
      </c>
      <c r="G2293" s="462" t="s">
        <v>3</v>
      </c>
      <c r="H2293" s="462"/>
      <c r="I2293" s="1044">
        <f>+'2021 MILCON Inflation Table'!F17</f>
        <v>1</v>
      </c>
      <c r="J2293" s="1045"/>
      <c r="K2293" s="774">
        <f>+E2293*F2293*I2293</f>
        <v>8820</v>
      </c>
      <c r="L2293" s="564" t="s">
        <v>10</v>
      </c>
      <c r="M2293" s="173"/>
      <c r="P2293" s="171"/>
      <c r="Q2293" s="171"/>
      <c r="R2293" s="171"/>
      <c r="S2293" s="51"/>
      <c r="T2293" s="51"/>
      <c r="U2293" s="171"/>
    </row>
    <row r="2294" spans="1:24" ht="30" customHeight="1" x14ac:dyDescent="0.35">
      <c r="A2294" s="241" t="s">
        <v>1183</v>
      </c>
      <c r="B2294" s="1059" t="s">
        <v>3026</v>
      </c>
      <c r="C2294" s="1059"/>
      <c r="D2294" s="1059"/>
      <c r="E2294" s="805">
        <f>+K200</f>
        <v>64228.13208333333</v>
      </c>
      <c r="F2294" s="808">
        <v>1</v>
      </c>
      <c r="G2294" s="462" t="s">
        <v>10</v>
      </c>
      <c r="H2294" s="462"/>
      <c r="I2294" s="783"/>
      <c r="J2294" s="784"/>
      <c r="K2294" s="805">
        <f>+E2294</f>
        <v>64228.13208333333</v>
      </c>
      <c r="L2294" s="564" t="s">
        <v>10</v>
      </c>
      <c r="M2294" s="173"/>
      <c r="P2294" s="171"/>
      <c r="Q2294" s="171"/>
      <c r="R2294" s="171"/>
      <c r="S2294" s="51"/>
      <c r="T2294" s="51"/>
      <c r="U2294" s="171"/>
    </row>
    <row r="2295" spans="1:24" ht="30" customHeight="1" thickBot="1" x14ac:dyDescent="0.4">
      <c r="A2295" s="241"/>
      <c r="B2295" s="1109"/>
      <c r="C2295" s="1110"/>
      <c r="D2295" s="1111"/>
      <c r="E2295" s="553"/>
      <c r="F2295" s="706"/>
      <c r="G2295" s="553"/>
      <c r="H2295" s="707"/>
      <c r="I2295" s="458"/>
      <c r="J2295" s="510" t="s">
        <v>2356</v>
      </c>
      <c r="K2295" s="774">
        <f>SUM(K2290:K2294)</f>
        <v>1534643.9928587952</v>
      </c>
      <c r="L2295" s="564" t="s">
        <v>10</v>
      </c>
      <c r="M2295" s="173"/>
      <c r="P2295" s="171"/>
      <c r="Q2295" s="171"/>
      <c r="R2295" s="171"/>
      <c r="S2295" s="51"/>
      <c r="T2295" s="51"/>
      <c r="U2295" s="171"/>
    </row>
    <row r="2296" spans="1:24" ht="30" customHeight="1" thickBot="1" x14ac:dyDescent="0.4">
      <c r="A2296" s="1086"/>
      <c r="B2296" s="1087"/>
      <c r="C2296" s="1087"/>
      <c r="D2296" s="1087"/>
      <c r="E2296" s="1087"/>
      <c r="F2296" s="1087"/>
      <c r="G2296" s="1087"/>
      <c r="H2296" s="1087"/>
      <c r="I2296" s="1087"/>
      <c r="J2296" s="1087"/>
      <c r="K2296" s="1087"/>
      <c r="L2296" s="1088"/>
      <c r="M2296" s="173"/>
      <c r="P2296" s="171"/>
      <c r="Q2296" s="171"/>
      <c r="R2296" s="171"/>
      <c r="S2296" s="51"/>
      <c r="T2296" s="51"/>
      <c r="U2296" s="171"/>
    </row>
    <row r="2297" spans="1:24" ht="30" customHeight="1" x14ac:dyDescent="0.35">
      <c r="A2297" s="465" t="s">
        <v>278</v>
      </c>
      <c r="B2297" s="539">
        <v>3901</v>
      </c>
      <c r="C2297" s="1060" t="s">
        <v>3027</v>
      </c>
      <c r="D2297" s="1061"/>
      <c r="E2297" s="541" t="s">
        <v>280</v>
      </c>
      <c r="F2297" s="542" t="s">
        <v>10</v>
      </c>
      <c r="G2297" s="543" t="s">
        <v>285</v>
      </c>
      <c r="H2297" s="569">
        <v>1</v>
      </c>
      <c r="I2297" s="541" t="s">
        <v>281</v>
      </c>
      <c r="J2297" s="1019" t="s">
        <v>3029</v>
      </c>
      <c r="K2297" s="1019"/>
      <c r="L2297" s="1020"/>
      <c r="M2297" s="173"/>
      <c r="P2297" s="171"/>
      <c r="Q2297" s="171"/>
      <c r="R2297" s="171"/>
      <c r="S2297" s="51"/>
      <c r="T2297" s="213"/>
      <c r="U2297" s="75"/>
      <c r="V2297" s="208"/>
      <c r="W2297" s="208"/>
      <c r="X2297" s="208"/>
    </row>
    <row r="2298" spans="1:24" s="208" customFormat="1" ht="30" customHeight="1" x14ac:dyDescent="0.35">
      <c r="A2298" s="545"/>
      <c r="B2298" s="1021" t="s">
        <v>2921</v>
      </c>
      <c r="C2298" s="1021"/>
      <c r="D2298" s="1021"/>
      <c r="E2298" s="509" t="s">
        <v>290</v>
      </c>
      <c r="F2298" s="509" t="s">
        <v>322</v>
      </c>
      <c r="G2298" s="1034" t="s">
        <v>323</v>
      </c>
      <c r="H2298" s="1035"/>
      <c r="I2298" s="509" t="s">
        <v>327</v>
      </c>
      <c r="J2298" s="509" t="s">
        <v>419</v>
      </c>
      <c r="K2298" s="1012" t="s">
        <v>2356</v>
      </c>
      <c r="L2298" s="1013"/>
      <c r="M2298" s="173"/>
      <c r="N2298" s="203"/>
      <c r="O2298" s="205"/>
      <c r="P2298" s="171"/>
      <c r="Q2298" s="171"/>
      <c r="R2298" s="171"/>
      <c r="S2298" s="51"/>
      <c r="T2298" s="171"/>
      <c r="U2298" s="51"/>
      <c r="V2298" s="51"/>
      <c r="W2298" s="171"/>
      <c r="X2298" s="203"/>
    </row>
    <row r="2299" spans="1:24" ht="30" customHeight="1" thickBot="1" x14ac:dyDescent="0.4">
      <c r="A2299" s="546"/>
      <c r="B2299" s="1265" t="s">
        <v>4</v>
      </c>
      <c r="C2299" s="1265"/>
      <c r="D2299" s="1265"/>
      <c r="E2299" s="547"/>
      <c r="F2299" s="548"/>
      <c r="G2299" s="1015"/>
      <c r="H2299" s="1016"/>
      <c r="I2299" s="549"/>
      <c r="J2299" s="550" t="s">
        <v>4</v>
      </c>
      <c r="K2299" s="551">
        <f>K2286</f>
        <v>757216.68191247538</v>
      </c>
      <c r="L2299" s="552" t="s">
        <v>10</v>
      </c>
      <c r="M2299" s="363"/>
      <c r="N2299" s="208"/>
      <c r="P2299" s="75"/>
      <c r="Q2299" s="75"/>
      <c r="R2299" s="75"/>
      <c r="S2299" s="213"/>
      <c r="T2299" s="51"/>
      <c r="U2299" s="171"/>
    </row>
    <row r="2300" spans="1:24" ht="30" customHeight="1" thickBot="1" x14ac:dyDescent="0.4">
      <c r="A2300" s="1086"/>
      <c r="B2300" s="1087"/>
      <c r="C2300" s="1087"/>
      <c r="D2300" s="1087"/>
      <c r="E2300" s="1087"/>
      <c r="F2300" s="1087"/>
      <c r="G2300" s="1087"/>
      <c r="H2300" s="1087"/>
      <c r="I2300" s="1087"/>
      <c r="J2300" s="1087"/>
      <c r="K2300" s="1087"/>
      <c r="L2300" s="1088"/>
      <c r="M2300" s="173"/>
      <c r="N2300" s="419"/>
      <c r="R2300" s="171"/>
      <c r="S2300" s="171"/>
      <c r="T2300" s="51"/>
      <c r="U2300" s="171"/>
    </row>
    <row r="2301" spans="1:24" ht="30" customHeight="1" x14ac:dyDescent="0.35">
      <c r="A2301" s="465" t="s">
        <v>278</v>
      </c>
      <c r="B2301" s="539">
        <v>3902</v>
      </c>
      <c r="C2301" s="1060" t="s">
        <v>3028</v>
      </c>
      <c r="D2301" s="1061"/>
      <c r="E2301" s="541" t="s">
        <v>280</v>
      </c>
      <c r="F2301" s="542" t="s">
        <v>34</v>
      </c>
      <c r="G2301" s="543" t="s">
        <v>285</v>
      </c>
      <c r="H2301" s="569">
        <v>16877</v>
      </c>
      <c r="I2301" s="541" t="s">
        <v>281</v>
      </c>
      <c r="J2301" s="1019" t="s">
        <v>3030</v>
      </c>
      <c r="K2301" s="1019"/>
      <c r="L2301" s="1020"/>
      <c r="M2301" s="173"/>
      <c r="P2301" s="171"/>
      <c r="Q2301" s="171"/>
      <c r="R2301" s="171"/>
      <c r="S2301" s="51"/>
      <c r="T2301" s="51"/>
      <c r="U2301" s="171"/>
    </row>
    <row r="2302" spans="1:24" ht="30" customHeight="1" x14ac:dyDescent="0.35">
      <c r="A2302" s="545"/>
      <c r="B2302" s="1021" t="s">
        <v>2921</v>
      </c>
      <c r="C2302" s="1021"/>
      <c r="D2302" s="1021"/>
      <c r="E2302" s="509" t="s">
        <v>290</v>
      </c>
      <c r="F2302" s="509" t="s">
        <v>322</v>
      </c>
      <c r="G2302" s="1034" t="s">
        <v>323</v>
      </c>
      <c r="H2302" s="1035"/>
      <c r="I2302" s="509" t="s">
        <v>327</v>
      </c>
      <c r="J2302" s="509" t="s">
        <v>419</v>
      </c>
      <c r="K2302" s="1012" t="s">
        <v>2356</v>
      </c>
      <c r="L2302" s="1013"/>
      <c r="M2302" s="173"/>
      <c r="N2302" s="210"/>
      <c r="P2302" s="171"/>
      <c r="Q2302" s="171"/>
      <c r="R2302" s="171"/>
      <c r="S2302" s="51"/>
      <c r="T2302" s="51"/>
      <c r="U2302" s="171"/>
    </row>
    <row r="2303" spans="1:24" ht="30" customHeight="1" thickBot="1" x14ac:dyDescent="0.4">
      <c r="A2303" s="546"/>
      <c r="B2303" s="1265" t="s">
        <v>4</v>
      </c>
      <c r="C2303" s="1265"/>
      <c r="D2303" s="1265"/>
      <c r="E2303" s="547"/>
      <c r="F2303" s="548"/>
      <c r="G2303" s="1015"/>
      <c r="H2303" s="1016"/>
      <c r="I2303" s="549"/>
      <c r="J2303" s="550" t="s">
        <v>4</v>
      </c>
      <c r="K2303" s="171" t="s">
        <v>4</v>
      </c>
      <c r="L2303" s="552" t="s">
        <v>34</v>
      </c>
      <c r="M2303" s="173"/>
      <c r="N2303" s="210"/>
      <c r="P2303" s="171"/>
      <c r="Q2303" s="171"/>
      <c r="R2303" s="171"/>
      <c r="S2303" s="51"/>
      <c r="T2303" s="51"/>
      <c r="U2303" s="171"/>
    </row>
    <row r="2304" spans="1:24" ht="30" customHeight="1" thickBot="1" x14ac:dyDescent="0.4">
      <c r="A2304" s="1086"/>
      <c r="B2304" s="1087"/>
      <c r="C2304" s="1087"/>
      <c r="D2304" s="1087"/>
      <c r="E2304" s="1087"/>
      <c r="F2304" s="1087"/>
      <c r="G2304" s="1087"/>
      <c r="H2304" s="1087"/>
      <c r="I2304" s="1087"/>
      <c r="J2304" s="1087"/>
      <c r="K2304" s="1087"/>
      <c r="L2304" s="1088"/>
      <c r="M2304" s="364"/>
      <c r="N2304" s="210"/>
      <c r="P2304" s="171"/>
      <c r="Q2304" s="171"/>
      <c r="R2304" s="171"/>
      <c r="S2304" s="51"/>
      <c r="T2304" s="51"/>
      <c r="U2304" s="171"/>
    </row>
    <row r="2305" spans="1:21" ht="30" customHeight="1" x14ac:dyDescent="0.35">
      <c r="A2305" s="465" t="s">
        <v>278</v>
      </c>
      <c r="B2305" s="539">
        <v>3903</v>
      </c>
      <c r="C2305" s="1060" t="s">
        <v>3031</v>
      </c>
      <c r="D2305" s="1061"/>
      <c r="E2305" s="541" t="s">
        <v>280</v>
      </c>
      <c r="F2305" s="542" t="s">
        <v>10</v>
      </c>
      <c r="G2305" s="543" t="s">
        <v>285</v>
      </c>
      <c r="H2305" s="569">
        <v>1</v>
      </c>
      <c r="I2305" s="541" t="s">
        <v>281</v>
      </c>
      <c r="J2305" s="1019" t="s">
        <v>3192</v>
      </c>
      <c r="K2305" s="1019"/>
      <c r="L2305" s="1020"/>
      <c r="M2305" s="173"/>
      <c r="P2305" s="171"/>
      <c r="Q2305" s="171"/>
      <c r="R2305" s="171"/>
      <c r="S2305" s="51"/>
      <c r="T2305" s="51"/>
      <c r="U2305" s="171"/>
    </row>
    <row r="2306" spans="1:21" ht="30" customHeight="1" x14ac:dyDescent="0.35">
      <c r="A2306" s="545"/>
      <c r="B2306" s="1021" t="s">
        <v>2921</v>
      </c>
      <c r="C2306" s="1021"/>
      <c r="D2306" s="1021"/>
      <c r="E2306" s="509" t="s">
        <v>290</v>
      </c>
      <c r="F2306" s="509" t="s">
        <v>322</v>
      </c>
      <c r="G2306" s="1034" t="s">
        <v>323</v>
      </c>
      <c r="H2306" s="1035"/>
      <c r="I2306" s="509" t="s">
        <v>327</v>
      </c>
      <c r="J2306" s="509" t="s">
        <v>419</v>
      </c>
      <c r="K2306" s="1012" t="s">
        <v>2356</v>
      </c>
      <c r="L2306" s="1013"/>
      <c r="M2306" s="173"/>
      <c r="P2306" s="171"/>
      <c r="Q2306" s="171"/>
      <c r="R2306" s="171"/>
      <c r="S2306" s="51"/>
      <c r="T2306" s="51"/>
      <c r="U2306" s="171"/>
    </row>
    <row r="2307" spans="1:21" ht="30" customHeight="1" thickBot="1" x14ac:dyDescent="0.4">
      <c r="A2307" s="546"/>
      <c r="B2307" s="1265">
        <v>835539046.22000003</v>
      </c>
      <c r="C2307" s="1265"/>
      <c r="D2307" s="1265"/>
      <c r="E2307" s="547"/>
      <c r="F2307" s="548"/>
      <c r="G2307" s="1015"/>
      <c r="H2307" s="1016"/>
      <c r="I2307" s="549"/>
      <c r="J2307" s="550">
        <v>1.0202</v>
      </c>
      <c r="K2307" s="551">
        <f>B2307*J2307</f>
        <v>852416934.95364404</v>
      </c>
      <c r="L2307" s="552" t="s">
        <v>10</v>
      </c>
      <c r="M2307" s="173"/>
      <c r="P2307" s="171"/>
      <c r="Q2307" s="171"/>
      <c r="R2307" s="171"/>
      <c r="S2307" s="51"/>
      <c r="T2307" s="51"/>
      <c r="U2307" s="171"/>
    </row>
    <row r="2308" spans="1:21" ht="30" customHeight="1" thickBot="1" x14ac:dyDescent="0.4">
      <c r="A2308" s="1086"/>
      <c r="B2308" s="1087"/>
      <c r="C2308" s="1087"/>
      <c r="D2308" s="1087"/>
      <c r="E2308" s="1087"/>
      <c r="F2308" s="1087"/>
      <c r="G2308" s="1087"/>
      <c r="H2308" s="1087"/>
      <c r="I2308" s="1087"/>
      <c r="J2308" s="1087"/>
      <c r="K2308" s="1087"/>
      <c r="L2308" s="1088"/>
      <c r="M2308" s="364"/>
      <c r="P2308" s="171"/>
      <c r="Q2308" s="171"/>
      <c r="R2308" s="171"/>
      <c r="S2308" s="51"/>
      <c r="T2308" s="51"/>
      <c r="U2308" s="171"/>
    </row>
    <row r="2309" spans="1:21" ht="30" customHeight="1" x14ac:dyDescent="0.35">
      <c r="A2309" s="465" t="s">
        <v>278</v>
      </c>
      <c r="B2309" s="539">
        <v>3904</v>
      </c>
      <c r="C2309" s="1017" t="s">
        <v>1186</v>
      </c>
      <c r="D2309" s="1018"/>
      <c r="E2309" s="541" t="s">
        <v>280</v>
      </c>
      <c r="F2309" s="542" t="s">
        <v>10</v>
      </c>
      <c r="G2309" s="543" t="s">
        <v>285</v>
      </c>
      <c r="H2309" s="555">
        <v>26854</v>
      </c>
      <c r="I2309" s="541" t="s">
        <v>281</v>
      </c>
      <c r="J2309" s="1019" t="s">
        <v>2169</v>
      </c>
      <c r="K2309" s="1019"/>
      <c r="L2309" s="1020"/>
      <c r="M2309" s="173"/>
      <c r="P2309" s="171"/>
      <c r="Q2309" s="171"/>
      <c r="R2309" s="171"/>
      <c r="S2309" s="51"/>
    </row>
    <row r="2310" spans="1:21" ht="30" customHeight="1" x14ac:dyDescent="0.35">
      <c r="A2310" s="545" t="s">
        <v>288</v>
      </c>
      <c r="B2310" s="1051" t="s">
        <v>282</v>
      </c>
      <c r="C2310" s="1051"/>
      <c r="D2310" s="1051"/>
      <c r="E2310" s="509" t="s">
        <v>478</v>
      </c>
      <c r="F2310" s="509" t="s">
        <v>322</v>
      </c>
      <c r="G2310" s="1034" t="s">
        <v>323</v>
      </c>
      <c r="H2310" s="1035"/>
      <c r="I2310" s="810" t="s">
        <v>327</v>
      </c>
      <c r="J2310" s="509" t="s">
        <v>419</v>
      </c>
      <c r="K2310" s="1012" t="s">
        <v>292</v>
      </c>
      <c r="L2310" s="1013"/>
      <c r="M2310" s="173"/>
      <c r="P2310" s="171"/>
      <c r="Q2310" s="171"/>
      <c r="R2310" s="171"/>
      <c r="S2310" s="51"/>
      <c r="T2310" s="51"/>
      <c r="U2310" s="171"/>
    </row>
    <row r="2311" spans="1:21" ht="30" customHeight="1" x14ac:dyDescent="0.35">
      <c r="A2311" s="241">
        <v>21140</v>
      </c>
      <c r="B2311" s="1031" t="s">
        <v>925</v>
      </c>
      <c r="C2311" s="1032"/>
      <c r="D2311" s="1033"/>
      <c r="E2311" s="805">
        <v>229</v>
      </c>
      <c r="F2311" s="808" t="s">
        <v>8</v>
      </c>
      <c r="G2311" s="440">
        <f>H2309</f>
        <v>26854</v>
      </c>
      <c r="H2311" s="462" t="s">
        <v>325</v>
      </c>
      <c r="I2311" s="811">
        <v>1.08</v>
      </c>
      <c r="J2311" s="713">
        <f>+'2021 MILCON Inflation Table'!F10</f>
        <v>1.3093098833874974</v>
      </c>
      <c r="K2311" s="774">
        <f>+E2311*G2311*I2311*J2311</f>
        <v>8695822.5457312167</v>
      </c>
      <c r="L2311" s="564" t="s">
        <v>10</v>
      </c>
      <c r="M2311" s="173"/>
      <c r="T2311" s="51"/>
      <c r="U2311" s="171"/>
    </row>
    <row r="2312" spans="1:21" ht="30" customHeight="1" x14ac:dyDescent="0.35">
      <c r="A2312" s="575" t="s">
        <v>1187</v>
      </c>
      <c r="B2312" s="1059" t="s">
        <v>1188</v>
      </c>
      <c r="C2312" s="1059"/>
      <c r="D2312" s="1059"/>
      <c r="E2312" s="812">
        <v>9590000</v>
      </c>
      <c r="F2312" s="813" t="s">
        <v>10</v>
      </c>
      <c r="G2312" s="814" t="s">
        <v>406</v>
      </c>
      <c r="H2312" s="697"/>
      <c r="I2312" s="811">
        <v>1.08</v>
      </c>
      <c r="J2312" s="507">
        <f>+'2021 MILCON Inflation Table'!F4</f>
        <v>1.3697999999999999</v>
      </c>
      <c r="K2312" s="812">
        <f>+E2312/I2312*J2312</f>
        <v>12163316.666666664</v>
      </c>
      <c r="L2312" s="698" t="s">
        <v>10</v>
      </c>
      <c r="M2312" s="408"/>
      <c r="P2312" s="171"/>
      <c r="Q2312" s="171"/>
      <c r="R2312" s="171"/>
      <c r="S2312" s="51"/>
      <c r="T2312" s="51"/>
      <c r="U2312" s="171"/>
    </row>
    <row r="2313" spans="1:21" ht="30" customHeight="1" x14ac:dyDescent="0.35">
      <c r="A2313" s="546"/>
      <c r="B2313" s="514"/>
      <c r="C2313" s="514"/>
      <c r="D2313" s="514"/>
      <c r="E2313" s="815"/>
      <c r="F2313" s="436"/>
      <c r="G2313" s="458"/>
      <c r="H2313" s="697"/>
      <c r="I2313" s="816"/>
      <c r="J2313" s="816" t="s">
        <v>304</v>
      </c>
      <c r="K2313" s="812">
        <f>AVERAGE(K2311:K2312)</f>
        <v>10429569.60619894</v>
      </c>
      <c r="L2313" s="698" t="s">
        <v>10</v>
      </c>
      <c r="M2313" s="173"/>
      <c r="P2313" s="171"/>
      <c r="Q2313" s="171"/>
      <c r="R2313" s="171"/>
      <c r="S2313" s="51"/>
    </row>
    <row r="2314" spans="1:21" ht="30" customHeight="1" x14ac:dyDescent="0.35">
      <c r="A2314" s="241"/>
      <c r="B2314" s="1059" t="s">
        <v>3032</v>
      </c>
      <c r="C2314" s="1059"/>
      <c r="D2314" s="1059"/>
      <c r="E2314" s="171"/>
      <c r="F2314" s="458"/>
      <c r="G2314" s="1281" t="s">
        <v>2368</v>
      </c>
      <c r="H2314" s="1296"/>
      <c r="I2314" s="1297"/>
      <c r="J2314" s="510" t="s">
        <v>2356</v>
      </c>
      <c r="K2314" s="774">
        <f>+K2313</f>
        <v>10429569.60619894</v>
      </c>
      <c r="L2314" s="243" t="s">
        <v>10</v>
      </c>
      <c r="M2314" s="173"/>
      <c r="P2314" s="171"/>
      <c r="Q2314" s="171"/>
      <c r="R2314" s="171"/>
      <c r="S2314" s="51"/>
      <c r="T2314" s="51"/>
      <c r="U2314" s="171"/>
    </row>
    <row r="2315" spans="1:21" ht="30" customHeight="1" thickBot="1" x14ac:dyDescent="0.4">
      <c r="A2315" s="1162" t="s">
        <v>3033</v>
      </c>
      <c r="B2315" s="1069"/>
      <c r="C2315" s="1069"/>
      <c r="D2315" s="1069"/>
      <c r="E2315" s="1069"/>
      <c r="F2315" s="1069"/>
      <c r="G2315" s="1069"/>
      <c r="H2315" s="1069"/>
      <c r="I2315" s="1069"/>
      <c r="J2315" s="1069"/>
      <c r="K2315" s="1069"/>
      <c r="L2315" s="1070"/>
      <c r="M2315" s="173"/>
      <c r="T2315" s="51"/>
      <c r="U2315" s="171"/>
    </row>
    <row r="2316" spans="1:21" ht="30" customHeight="1" thickBot="1" x14ac:dyDescent="0.4">
      <c r="A2316" s="1086"/>
      <c r="B2316" s="1087"/>
      <c r="C2316" s="1087"/>
      <c r="D2316" s="1087"/>
      <c r="E2316" s="1087"/>
      <c r="F2316" s="1087"/>
      <c r="G2316" s="1087"/>
      <c r="H2316" s="1087"/>
      <c r="I2316" s="1087"/>
      <c r="J2316" s="1087"/>
      <c r="K2316" s="1087"/>
      <c r="L2316" s="1088"/>
      <c r="M2316" s="364"/>
      <c r="P2316" s="171"/>
      <c r="Q2316" s="171"/>
      <c r="R2316" s="171"/>
      <c r="S2316" s="51"/>
      <c r="T2316" s="51"/>
      <c r="U2316" s="171"/>
    </row>
    <row r="2317" spans="1:21" ht="30" customHeight="1" x14ac:dyDescent="0.35">
      <c r="A2317" s="465" t="s">
        <v>278</v>
      </c>
      <c r="B2317" s="539">
        <v>4111</v>
      </c>
      <c r="C2317" s="1017" t="s">
        <v>3034</v>
      </c>
      <c r="D2317" s="1018"/>
      <c r="E2317" s="541" t="s">
        <v>280</v>
      </c>
      <c r="F2317" s="542" t="s">
        <v>2354</v>
      </c>
      <c r="G2317" s="553" t="s">
        <v>279</v>
      </c>
      <c r="H2317" s="555">
        <v>50000</v>
      </c>
      <c r="I2317" s="541" t="s">
        <v>281</v>
      </c>
      <c r="J2317" s="1019" t="s">
        <v>2939</v>
      </c>
      <c r="K2317" s="1019"/>
      <c r="L2317" s="1020"/>
      <c r="M2317" s="173"/>
      <c r="P2317" s="171"/>
      <c r="Q2317" s="171"/>
      <c r="R2317" s="171"/>
      <c r="S2317" s="51"/>
    </row>
    <row r="2318" spans="1:21" ht="30" customHeight="1" x14ac:dyDescent="0.35">
      <c r="A2318" s="545"/>
      <c r="B2318" s="1021" t="s">
        <v>2921</v>
      </c>
      <c r="C2318" s="1021"/>
      <c r="D2318" s="1021"/>
      <c r="E2318" s="509" t="s">
        <v>290</v>
      </c>
      <c r="F2318" s="509" t="s">
        <v>322</v>
      </c>
      <c r="G2318" s="1034" t="s">
        <v>323</v>
      </c>
      <c r="H2318" s="1035"/>
      <c r="I2318" s="509" t="s">
        <v>327</v>
      </c>
      <c r="J2318" s="509" t="s">
        <v>419</v>
      </c>
      <c r="K2318" s="1012" t="s">
        <v>2356</v>
      </c>
      <c r="L2318" s="1013"/>
      <c r="M2318" s="173"/>
      <c r="P2318" s="171"/>
      <c r="Q2318" s="171"/>
      <c r="R2318" s="171"/>
      <c r="S2318" s="51"/>
      <c r="T2318" s="51"/>
      <c r="U2318" s="171"/>
    </row>
    <row r="2319" spans="1:21" ht="30" customHeight="1" thickBot="1" x14ac:dyDescent="0.4">
      <c r="A2319" s="546"/>
      <c r="B2319" s="1014">
        <v>69.459999999999994</v>
      </c>
      <c r="C2319" s="1014"/>
      <c r="D2319" s="1014"/>
      <c r="E2319" s="547"/>
      <c r="F2319" s="548"/>
      <c r="G2319" s="1015"/>
      <c r="H2319" s="1016"/>
      <c r="I2319" s="549"/>
      <c r="J2319" s="550">
        <v>1.0202</v>
      </c>
      <c r="K2319" s="551">
        <f>B2319*J2319</f>
        <v>70.863091999999995</v>
      </c>
      <c r="L2319" s="552" t="s">
        <v>2354</v>
      </c>
      <c r="M2319" s="173"/>
      <c r="T2319" s="51"/>
      <c r="U2319" s="171"/>
    </row>
    <row r="2320" spans="1:21" ht="30" customHeight="1" thickBot="1" x14ac:dyDescent="0.4">
      <c r="A2320" s="1086"/>
      <c r="B2320" s="1087"/>
      <c r="C2320" s="1087"/>
      <c r="D2320" s="1087"/>
      <c r="E2320" s="1087"/>
      <c r="F2320" s="1087"/>
      <c r="G2320" s="1087"/>
      <c r="H2320" s="1087"/>
      <c r="I2320" s="1087"/>
      <c r="J2320" s="1087"/>
      <c r="K2320" s="1087"/>
      <c r="L2320" s="1088"/>
      <c r="M2320" s="363"/>
      <c r="P2320" s="171"/>
      <c r="Q2320" s="171"/>
      <c r="R2320" s="171"/>
      <c r="S2320" s="51"/>
      <c r="T2320" s="51"/>
      <c r="U2320" s="171"/>
    </row>
    <row r="2321" spans="1:24" ht="30" customHeight="1" x14ac:dyDescent="0.35">
      <c r="A2321" s="465" t="s">
        <v>278</v>
      </c>
      <c r="B2321" s="539">
        <v>4112</v>
      </c>
      <c r="C2321" s="1017" t="s">
        <v>3035</v>
      </c>
      <c r="D2321" s="1018"/>
      <c r="E2321" s="541" t="s">
        <v>280</v>
      </c>
      <c r="F2321" s="542" t="s">
        <v>2354</v>
      </c>
      <c r="G2321" s="553" t="s">
        <v>279</v>
      </c>
      <c r="H2321" s="555">
        <v>50000</v>
      </c>
      <c r="I2321" s="541" t="s">
        <v>281</v>
      </c>
      <c r="J2321" s="1019" t="s">
        <v>3036</v>
      </c>
      <c r="K2321" s="1019"/>
      <c r="L2321" s="1020"/>
      <c r="M2321" s="173"/>
      <c r="P2321" s="171"/>
      <c r="Q2321" s="171"/>
      <c r="R2321" s="171"/>
      <c r="S2321" s="51"/>
      <c r="T2321" s="213"/>
      <c r="U2321" s="75"/>
      <c r="V2321" s="208"/>
      <c r="W2321" s="208"/>
      <c r="X2321" s="208"/>
    </row>
    <row r="2322" spans="1:24" s="208" customFormat="1" ht="30" customHeight="1" x14ac:dyDescent="0.35">
      <c r="A2322" s="545"/>
      <c r="B2322" s="1021" t="s">
        <v>2921</v>
      </c>
      <c r="C2322" s="1021"/>
      <c r="D2322" s="1021"/>
      <c r="E2322" s="509" t="s">
        <v>290</v>
      </c>
      <c r="F2322" s="509" t="s">
        <v>322</v>
      </c>
      <c r="G2322" s="1034" t="s">
        <v>323</v>
      </c>
      <c r="H2322" s="1035"/>
      <c r="I2322" s="509" t="s">
        <v>327</v>
      </c>
      <c r="J2322" s="509" t="s">
        <v>419</v>
      </c>
      <c r="K2322" s="1012" t="s">
        <v>2356</v>
      </c>
      <c r="L2322" s="1013"/>
      <c r="M2322" s="173"/>
      <c r="N2322" s="203"/>
      <c r="O2322" s="205"/>
      <c r="P2322" s="171"/>
      <c r="Q2322" s="171"/>
      <c r="R2322" s="171"/>
      <c r="S2322" s="51"/>
      <c r="T2322" s="171"/>
      <c r="U2322" s="51"/>
      <c r="V2322" s="51"/>
      <c r="W2322" s="171"/>
      <c r="X2322" s="203"/>
    </row>
    <row r="2323" spans="1:24" ht="30" customHeight="1" thickBot="1" x14ac:dyDescent="0.4">
      <c r="A2323" s="546"/>
      <c r="B2323" s="1014">
        <v>44.27</v>
      </c>
      <c r="C2323" s="1014"/>
      <c r="D2323" s="1014"/>
      <c r="E2323" s="547"/>
      <c r="F2323" s="548"/>
      <c r="G2323" s="1015"/>
      <c r="H2323" s="1016"/>
      <c r="I2323" s="549"/>
      <c r="J2323" s="550">
        <v>1.0202</v>
      </c>
      <c r="K2323" s="551">
        <f>B2323*J2323</f>
        <v>45.164254</v>
      </c>
      <c r="L2323" s="552" t="s">
        <v>2354</v>
      </c>
      <c r="M2323" s="173"/>
      <c r="N2323" s="208"/>
      <c r="P2323" s="75"/>
      <c r="Q2323" s="75"/>
      <c r="R2323" s="75"/>
      <c r="S2323" s="213"/>
      <c r="T2323" s="51"/>
      <c r="U2323" s="171"/>
    </row>
    <row r="2324" spans="1:24" ht="30" customHeight="1" thickBot="1" x14ac:dyDescent="0.4">
      <c r="A2324" s="1086"/>
      <c r="B2324" s="1087"/>
      <c r="C2324" s="1087"/>
      <c r="D2324" s="1087"/>
      <c r="E2324" s="1087"/>
      <c r="F2324" s="1087"/>
      <c r="G2324" s="1087"/>
      <c r="H2324" s="1087"/>
      <c r="I2324" s="1087"/>
      <c r="J2324" s="1087"/>
      <c r="K2324" s="1087"/>
      <c r="L2324" s="1088"/>
      <c r="M2324" s="173"/>
      <c r="N2324" s="419"/>
      <c r="R2324" s="171"/>
      <c r="S2324" s="171"/>
      <c r="T2324" s="51"/>
      <c r="U2324" s="171"/>
    </row>
    <row r="2325" spans="1:24" ht="30" customHeight="1" x14ac:dyDescent="0.35">
      <c r="A2325" s="465" t="s">
        <v>278</v>
      </c>
      <c r="B2325" s="539">
        <v>4113</v>
      </c>
      <c r="C2325" s="1017" t="s">
        <v>2591</v>
      </c>
      <c r="D2325" s="1018"/>
      <c r="E2325" s="541" t="s">
        <v>280</v>
      </c>
      <c r="F2325" s="542" t="s">
        <v>2354</v>
      </c>
      <c r="G2325" s="553" t="s">
        <v>279</v>
      </c>
      <c r="H2325" s="555">
        <v>50000</v>
      </c>
      <c r="I2325" s="541" t="s">
        <v>281</v>
      </c>
      <c r="J2325" s="1019" t="s">
        <v>2939</v>
      </c>
      <c r="K2325" s="1019"/>
      <c r="L2325" s="1020"/>
      <c r="M2325" s="173"/>
      <c r="N2325" s="419"/>
      <c r="R2325" s="171"/>
      <c r="S2325" s="171"/>
      <c r="T2325" s="51"/>
      <c r="U2325" s="171"/>
    </row>
    <row r="2326" spans="1:24" ht="30" customHeight="1" x14ac:dyDescent="0.35">
      <c r="A2326" s="545"/>
      <c r="B2326" s="1021" t="s">
        <v>2921</v>
      </c>
      <c r="C2326" s="1021"/>
      <c r="D2326" s="1021"/>
      <c r="E2326" s="509" t="s">
        <v>290</v>
      </c>
      <c r="F2326" s="509" t="s">
        <v>322</v>
      </c>
      <c r="G2326" s="1034" t="s">
        <v>323</v>
      </c>
      <c r="H2326" s="1035"/>
      <c r="I2326" s="509" t="s">
        <v>327</v>
      </c>
      <c r="J2326" s="509" t="s">
        <v>419</v>
      </c>
      <c r="K2326" s="1012" t="s">
        <v>2356</v>
      </c>
      <c r="L2326" s="1013"/>
      <c r="M2326" s="173"/>
      <c r="P2326" s="171"/>
      <c r="Q2326" s="171"/>
      <c r="R2326" s="171"/>
      <c r="S2326" s="51"/>
      <c r="T2326" s="51"/>
      <c r="U2326" s="171"/>
    </row>
    <row r="2327" spans="1:24" ht="30" customHeight="1" thickBot="1" x14ac:dyDescent="0.4">
      <c r="A2327" s="546"/>
      <c r="B2327" s="1014">
        <v>625.73</v>
      </c>
      <c r="C2327" s="1014"/>
      <c r="D2327" s="1014"/>
      <c r="E2327" s="547"/>
      <c r="F2327" s="548"/>
      <c r="G2327" s="1015"/>
      <c r="H2327" s="1016"/>
      <c r="I2327" s="549"/>
      <c r="J2327" s="550">
        <v>1.0202</v>
      </c>
      <c r="K2327" s="551">
        <f>B2327*J2327</f>
        <v>638.36974599999996</v>
      </c>
      <c r="L2327" s="552" t="s">
        <v>2354</v>
      </c>
      <c r="M2327" s="173"/>
      <c r="N2327" s="210"/>
      <c r="P2327" s="171"/>
      <c r="Q2327" s="171"/>
      <c r="R2327" s="171"/>
      <c r="S2327" s="51"/>
      <c r="T2327" s="51"/>
      <c r="U2327" s="171"/>
    </row>
    <row r="2328" spans="1:24" ht="30" customHeight="1" thickBot="1" x14ac:dyDescent="0.4">
      <c r="A2328" s="1086"/>
      <c r="B2328" s="1087"/>
      <c r="C2328" s="1087"/>
      <c r="D2328" s="1087"/>
      <c r="E2328" s="1087"/>
      <c r="F2328" s="1087"/>
      <c r="G2328" s="1087"/>
      <c r="H2328" s="1087"/>
      <c r="I2328" s="1087"/>
      <c r="J2328" s="1087"/>
      <c r="K2328" s="1087"/>
      <c r="L2328" s="1088"/>
      <c r="M2328" s="364"/>
      <c r="N2328" s="210"/>
      <c r="P2328" s="171"/>
      <c r="Q2328" s="171"/>
      <c r="R2328" s="171"/>
      <c r="S2328" s="51"/>
      <c r="T2328" s="51"/>
      <c r="U2328" s="171"/>
    </row>
    <row r="2329" spans="1:24" ht="30" customHeight="1" x14ac:dyDescent="0.35">
      <c r="A2329" s="465" t="s">
        <v>278</v>
      </c>
      <c r="B2329" s="539">
        <v>4114</v>
      </c>
      <c r="C2329" s="1138" t="s">
        <v>1190</v>
      </c>
      <c r="D2329" s="1298"/>
      <c r="E2329" s="541" t="s">
        <v>280</v>
      </c>
      <c r="F2329" s="542" t="s">
        <v>5</v>
      </c>
      <c r="G2329" s="543" t="s">
        <v>285</v>
      </c>
      <c r="H2329" s="632">
        <v>4114</v>
      </c>
      <c r="I2329" s="541" t="s">
        <v>281</v>
      </c>
      <c r="J2329" s="1019" t="s">
        <v>2371</v>
      </c>
      <c r="K2329" s="1019"/>
      <c r="L2329" s="1020"/>
      <c r="M2329" s="173"/>
      <c r="N2329" s="210"/>
      <c r="P2329" s="171"/>
      <c r="Q2329" s="171"/>
      <c r="R2329" s="171"/>
      <c r="S2329" s="51"/>
      <c r="T2329" s="51"/>
      <c r="U2329" s="171"/>
    </row>
    <row r="2330" spans="1:24" ht="30" customHeight="1" x14ac:dyDescent="0.35">
      <c r="A2330" s="588" t="s">
        <v>298</v>
      </c>
      <c r="B2330" s="1038" t="s">
        <v>321</v>
      </c>
      <c r="C2330" s="1039"/>
      <c r="D2330" s="1040"/>
      <c r="E2330" s="23" t="s">
        <v>290</v>
      </c>
      <c r="F2330" s="23" t="s">
        <v>322</v>
      </c>
      <c r="G2330" s="1012" t="s">
        <v>323</v>
      </c>
      <c r="H2330" s="1179"/>
      <c r="I2330" s="509" t="s">
        <v>299</v>
      </c>
      <c r="J2330" s="509"/>
      <c r="K2330" s="1012" t="s">
        <v>292</v>
      </c>
      <c r="L2330" s="1013"/>
      <c r="M2330" s="363"/>
      <c r="P2330" s="171"/>
      <c r="Q2330" s="171"/>
      <c r="R2330" s="171"/>
      <c r="S2330" s="51"/>
      <c r="T2330" s="51"/>
      <c r="U2330" s="171"/>
    </row>
    <row r="2331" spans="1:24" ht="30" customHeight="1" x14ac:dyDescent="0.35">
      <c r="A2331" s="241" t="s">
        <v>1191</v>
      </c>
      <c r="B2331" s="1082" t="s">
        <v>2236</v>
      </c>
      <c r="C2331" s="1083"/>
      <c r="D2331" s="1093"/>
      <c r="E2331" s="453">
        <v>14200</v>
      </c>
      <c r="F2331" s="639" t="s">
        <v>10</v>
      </c>
      <c r="G2331" s="817">
        <v>1000</v>
      </c>
      <c r="H2331" s="818" t="s">
        <v>1192</v>
      </c>
      <c r="I2331" s="704">
        <v>1.02</v>
      </c>
      <c r="J2331" s="665"/>
      <c r="K2331" s="645">
        <f>+E2331/G2331*I2331</f>
        <v>14.484</v>
      </c>
      <c r="L2331" s="243" t="s">
        <v>5</v>
      </c>
      <c r="M2331" s="173"/>
      <c r="P2331" s="171"/>
      <c r="Q2331" s="171"/>
      <c r="R2331" s="171"/>
      <c r="S2331" s="51"/>
      <c r="U2331" s="171"/>
    </row>
    <row r="2332" spans="1:24" ht="30" customHeight="1" x14ac:dyDescent="0.35">
      <c r="A2332" s="241" t="s">
        <v>1191</v>
      </c>
      <c r="B2332" s="1082" t="s">
        <v>1193</v>
      </c>
      <c r="C2332" s="1083"/>
      <c r="D2332" s="1093"/>
      <c r="E2332" s="51">
        <v>5050</v>
      </c>
      <c r="F2332" s="639" t="s">
        <v>10</v>
      </c>
      <c r="G2332" s="817">
        <v>1500</v>
      </c>
      <c r="H2332" s="818" t="s">
        <v>1192</v>
      </c>
      <c r="I2332" s="704">
        <v>1.02</v>
      </c>
      <c r="J2332" s="665"/>
      <c r="K2332" s="645">
        <f>+E2332/G2332*I2332</f>
        <v>3.4340000000000002</v>
      </c>
      <c r="L2332" s="243" t="s">
        <v>5</v>
      </c>
      <c r="M2332" s="364"/>
      <c r="N2332" s="214"/>
      <c r="O2332" s="207"/>
      <c r="P2332" s="27"/>
      <c r="Q2332" s="27"/>
      <c r="R2332" s="27"/>
      <c r="S2332" s="27"/>
      <c r="U2332" s="27"/>
      <c r="V2332" s="27"/>
      <c r="W2332" s="27"/>
      <c r="X2332" s="27"/>
    </row>
    <row r="2333" spans="1:24" s="27" customFormat="1" ht="30" customHeight="1" x14ac:dyDescent="0.35">
      <c r="A2333" s="241"/>
      <c r="B2333" s="1082"/>
      <c r="C2333" s="1083"/>
      <c r="D2333" s="1093"/>
      <c r="E2333" s="591"/>
      <c r="F2333" s="639"/>
      <c r="G2333" s="727"/>
      <c r="H2333" s="659"/>
      <c r="I2333" s="659"/>
      <c r="J2333" s="819" t="s">
        <v>304</v>
      </c>
      <c r="K2333" s="645">
        <f>AVERAGE(K2331:K2332)</f>
        <v>8.9589999999999996</v>
      </c>
      <c r="L2333" s="243" t="s">
        <v>5</v>
      </c>
      <c r="M2333" s="173"/>
      <c r="N2333" s="203"/>
      <c r="O2333" s="205"/>
      <c r="P2333" s="203"/>
      <c r="Q2333" s="203"/>
      <c r="R2333" s="203"/>
      <c r="S2333" s="203"/>
      <c r="T2333" s="213"/>
      <c r="U2333" s="208"/>
      <c r="V2333" s="208"/>
      <c r="W2333" s="208"/>
      <c r="X2333" s="208"/>
    </row>
    <row r="2334" spans="1:24" s="208" customFormat="1" ht="30" customHeight="1" x14ac:dyDescent="0.35">
      <c r="A2334" s="241" t="s">
        <v>451</v>
      </c>
      <c r="B2334" s="1082" t="s">
        <v>1194</v>
      </c>
      <c r="C2334" s="1083"/>
      <c r="D2334" s="1093"/>
      <c r="E2334" s="453">
        <v>31.5</v>
      </c>
      <c r="F2334" s="639" t="s">
        <v>283</v>
      </c>
      <c r="G2334" s="62">
        <f>106.7/H2329</f>
        <v>2.5935828877005348E-2</v>
      </c>
      <c r="H2334" s="659" t="s">
        <v>1195</v>
      </c>
      <c r="I2334" s="446">
        <v>1.05</v>
      </c>
      <c r="J2334" s="665"/>
      <c r="K2334" s="645">
        <f>+E2334*G2334*I2334</f>
        <v>0.85782754010695195</v>
      </c>
      <c r="L2334" s="243" t="s">
        <v>5</v>
      </c>
      <c r="M2334" s="173"/>
      <c r="N2334" s="203"/>
      <c r="O2334" s="205"/>
      <c r="P2334" s="203"/>
      <c r="Q2334" s="203"/>
      <c r="R2334" s="203"/>
      <c r="S2334" s="203"/>
      <c r="T2334" s="51"/>
      <c r="U2334" s="203"/>
      <c r="V2334" s="203"/>
      <c r="W2334" s="203"/>
      <c r="X2334" s="203"/>
    </row>
    <row r="2335" spans="1:24" ht="30" customHeight="1" x14ac:dyDescent="0.35">
      <c r="A2335" s="241" t="s">
        <v>475</v>
      </c>
      <c r="B2335" s="1082" t="s">
        <v>2396</v>
      </c>
      <c r="C2335" s="1083"/>
      <c r="D2335" s="1093"/>
      <c r="E2335" s="40">
        <v>37</v>
      </c>
      <c r="F2335" s="3" t="s">
        <v>333</v>
      </c>
      <c r="G2335" s="62">
        <f>130/H2329</f>
        <v>3.1599416626154592E-2</v>
      </c>
      <c r="H2335" s="498" t="s">
        <v>1196</v>
      </c>
      <c r="I2335" s="446">
        <v>1.04</v>
      </c>
      <c r="J2335" s="665"/>
      <c r="K2335" s="49">
        <f>+E2335*G2335*I2335*2</f>
        <v>2.4318911035488573</v>
      </c>
      <c r="L2335" s="676" t="s">
        <v>5</v>
      </c>
      <c r="M2335" s="173"/>
      <c r="P2335" s="171"/>
      <c r="Q2335" s="171"/>
      <c r="R2335" s="171"/>
      <c r="S2335" s="51"/>
      <c r="U2335" s="171"/>
    </row>
    <row r="2336" spans="1:24" ht="30" customHeight="1" x14ac:dyDescent="0.35">
      <c r="A2336" s="241" t="s">
        <v>451</v>
      </c>
      <c r="B2336" s="1031" t="s">
        <v>1197</v>
      </c>
      <c r="C2336" s="1032"/>
      <c r="D2336" s="1033"/>
      <c r="E2336" s="453">
        <f>+(0.65+4.8)/2</f>
        <v>2.7250000000000001</v>
      </c>
      <c r="F2336" s="639" t="s">
        <v>3</v>
      </c>
      <c r="G2336" s="692">
        <f>146.7/H2329</f>
        <v>3.5658726300437531E-2</v>
      </c>
      <c r="H2336" s="659" t="s">
        <v>1198</v>
      </c>
      <c r="I2336" s="446">
        <v>1.05</v>
      </c>
      <c r="J2336" s="665"/>
      <c r="K2336" s="645">
        <f>+E2336*G2336*I2336</f>
        <v>0.1020285306271269</v>
      </c>
      <c r="L2336" s="243" t="s">
        <v>5</v>
      </c>
      <c r="M2336" s="364"/>
      <c r="N2336" s="208"/>
      <c r="P2336" s="75"/>
      <c r="Q2336" s="75"/>
      <c r="R2336" s="75"/>
      <c r="S2336" s="213"/>
    </row>
    <row r="2337" spans="1:24" ht="30" customHeight="1" x14ac:dyDescent="0.35">
      <c r="A2337" s="241"/>
      <c r="B2337" s="1171" t="s">
        <v>1199</v>
      </c>
      <c r="C2337" s="1172"/>
      <c r="D2337" s="1172"/>
      <c r="E2337" s="1173"/>
      <c r="F2337" s="446"/>
      <c r="G2337" s="519"/>
      <c r="H2337" s="508"/>
      <c r="I2337" s="446"/>
      <c r="J2337" s="446" t="s">
        <v>335</v>
      </c>
      <c r="K2337" s="645">
        <f>+K2333+K2334+K2335+K2336</f>
        <v>12.350747174282935</v>
      </c>
      <c r="L2337" s="243" t="s">
        <v>5</v>
      </c>
      <c r="M2337" s="173"/>
      <c r="P2337" s="171"/>
      <c r="Q2337" s="171"/>
      <c r="R2337" s="171"/>
      <c r="S2337" s="51"/>
    </row>
    <row r="2338" spans="1:24" ht="30" customHeight="1" x14ac:dyDescent="0.35">
      <c r="A2338" s="241"/>
      <c r="B2338" s="506"/>
      <c r="C2338" s="506"/>
      <c r="D2338" s="506"/>
      <c r="E2338" s="453"/>
      <c r="F2338" s="1029" t="s">
        <v>302</v>
      </c>
      <c r="G2338" s="1281" t="s">
        <v>303</v>
      </c>
      <c r="H2338" s="1296"/>
      <c r="I2338" s="1296"/>
      <c r="J2338" s="1297"/>
      <c r="K2338" s="611">
        <v>1.07</v>
      </c>
      <c r="L2338" s="243"/>
      <c r="M2338" s="173"/>
      <c r="N2338" s="68"/>
      <c r="O2338" s="203"/>
      <c r="P2338" s="218"/>
      <c r="Q2338" s="68"/>
      <c r="R2338" s="217"/>
    </row>
    <row r="2339" spans="1:24" ht="30" customHeight="1" x14ac:dyDescent="0.35">
      <c r="A2339" s="241"/>
      <c r="B2339" s="506"/>
      <c r="C2339" s="506"/>
      <c r="D2339" s="506"/>
      <c r="E2339" s="453"/>
      <c r="F2339" s="1030"/>
      <c r="G2339" s="1073" t="s">
        <v>2374</v>
      </c>
      <c r="H2339" s="1073"/>
      <c r="I2339" s="1073"/>
      <c r="J2339" s="1073"/>
      <c r="K2339" s="612">
        <v>1.08</v>
      </c>
      <c r="L2339" s="243"/>
      <c r="M2339" s="173"/>
      <c r="N2339" s="68"/>
      <c r="O2339" s="203"/>
      <c r="P2339" s="218"/>
      <c r="Q2339" s="68"/>
      <c r="R2339" s="217"/>
      <c r="T2339" s="208"/>
      <c r="U2339" s="208"/>
      <c r="V2339" s="208"/>
      <c r="W2339" s="208"/>
      <c r="X2339" s="208"/>
    </row>
    <row r="2340" spans="1:24" s="208" customFormat="1" ht="30" customHeight="1" x14ac:dyDescent="0.35">
      <c r="A2340" s="241"/>
      <c r="B2340" s="446"/>
      <c r="C2340" s="458"/>
      <c r="D2340" s="458"/>
      <c r="E2340" s="458"/>
      <c r="F2340" s="458"/>
      <c r="G2340" s="458"/>
      <c r="H2340" s="458"/>
      <c r="I2340" s="458"/>
      <c r="J2340" s="446" t="s">
        <v>2356</v>
      </c>
      <c r="K2340" s="645">
        <f>+K2337*K2338/K2339</f>
        <v>12.236388404150686</v>
      </c>
      <c r="L2340" s="243" t="s">
        <v>5</v>
      </c>
      <c r="M2340" s="364"/>
      <c r="N2340" s="68"/>
      <c r="O2340" s="203"/>
      <c r="P2340" s="218"/>
      <c r="Q2340" s="68"/>
      <c r="R2340" s="217"/>
      <c r="S2340" s="203"/>
      <c r="T2340" s="203"/>
      <c r="U2340" s="203"/>
      <c r="V2340" s="203"/>
      <c r="W2340" s="203"/>
      <c r="X2340" s="203"/>
    </row>
    <row r="2341" spans="1:24" ht="30" customHeight="1" thickBot="1" x14ac:dyDescent="0.4">
      <c r="A2341" s="241"/>
      <c r="B2341" s="446"/>
      <c r="C2341" s="458"/>
      <c r="D2341" s="458"/>
      <c r="E2341" s="458"/>
      <c r="F2341" s="458"/>
      <c r="G2341" s="458"/>
      <c r="H2341" s="458"/>
      <c r="I2341" s="820" t="s">
        <v>2358</v>
      </c>
      <c r="J2341" s="583">
        <f>VLOOKUP(B2329,'Mil Cost Premiums for PUCs'!$A$4:$R$272,18,FALSE)</f>
        <v>1.0209999999999999</v>
      </c>
      <c r="K2341" s="645">
        <f>+K2340*J2341</f>
        <v>12.493352560637849</v>
      </c>
      <c r="L2341" s="243" t="s">
        <v>5</v>
      </c>
      <c r="M2341" s="173"/>
      <c r="N2341" s="68"/>
      <c r="O2341" s="208"/>
      <c r="P2341" s="218"/>
      <c r="Q2341" s="68"/>
      <c r="R2341" s="217"/>
      <c r="S2341" s="208"/>
    </row>
    <row r="2342" spans="1:24" ht="30" customHeight="1" thickBot="1" x14ac:dyDescent="0.4">
      <c r="A2342" s="1086"/>
      <c r="B2342" s="1087"/>
      <c r="C2342" s="1087"/>
      <c r="D2342" s="1087"/>
      <c r="E2342" s="1087"/>
      <c r="F2342" s="1087"/>
      <c r="G2342" s="1087"/>
      <c r="H2342" s="1087"/>
      <c r="I2342" s="1087"/>
      <c r="J2342" s="1087"/>
      <c r="K2342" s="1087"/>
      <c r="L2342" s="1088"/>
      <c r="M2342" s="363"/>
      <c r="N2342" s="68"/>
      <c r="O2342" s="203"/>
      <c r="P2342" s="218"/>
      <c r="Q2342" s="68"/>
      <c r="R2342" s="217"/>
    </row>
    <row r="2343" spans="1:24" ht="30" customHeight="1" x14ac:dyDescent="0.35">
      <c r="A2343" s="465" t="s">
        <v>278</v>
      </c>
      <c r="B2343" s="539">
        <v>4121</v>
      </c>
      <c r="C2343" s="1060" t="s">
        <v>1200</v>
      </c>
      <c r="D2343" s="1061"/>
      <c r="E2343" s="541" t="s">
        <v>280</v>
      </c>
      <c r="F2343" s="542" t="s">
        <v>5</v>
      </c>
      <c r="G2343" s="543" t="s">
        <v>285</v>
      </c>
      <c r="H2343" s="569">
        <v>129876</v>
      </c>
      <c r="I2343" s="541" t="s">
        <v>281</v>
      </c>
      <c r="J2343" s="1019" t="s">
        <v>1201</v>
      </c>
      <c r="K2343" s="1019"/>
      <c r="L2343" s="1020"/>
      <c r="M2343" s="173"/>
      <c r="N2343" s="419"/>
      <c r="O2343" s="171"/>
      <c r="P2343" s="216"/>
      <c r="Q2343" s="419"/>
      <c r="R2343" s="219"/>
    </row>
    <row r="2344" spans="1:24" ht="30" customHeight="1" x14ac:dyDescent="0.35">
      <c r="A2344" s="545" t="s">
        <v>288</v>
      </c>
      <c r="B2344" s="1051" t="s">
        <v>282</v>
      </c>
      <c r="C2344" s="1051"/>
      <c r="D2344" s="1051"/>
      <c r="E2344" s="561" t="s">
        <v>290</v>
      </c>
      <c r="F2344" s="509" t="s">
        <v>289</v>
      </c>
      <c r="G2344" s="1094" t="s">
        <v>323</v>
      </c>
      <c r="H2344" s="1095"/>
      <c r="I2344" s="1052" t="s">
        <v>405</v>
      </c>
      <c r="J2344" s="1053"/>
      <c r="K2344" s="1012" t="s">
        <v>292</v>
      </c>
      <c r="L2344" s="1013"/>
      <c r="M2344" s="173"/>
      <c r="N2344" s="419"/>
      <c r="O2344" s="171"/>
      <c r="P2344" s="216"/>
      <c r="Q2344" s="419"/>
      <c r="R2344" s="219"/>
      <c r="T2344" s="27"/>
      <c r="U2344" s="171"/>
    </row>
    <row r="2345" spans="1:24" ht="30" customHeight="1" x14ac:dyDescent="0.35">
      <c r="A2345" s="241">
        <v>41150</v>
      </c>
      <c r="B2345" s="1082" t="s">
        <v>1202</v>
      </c>
      <c r="C2345" s="1083"/>
      <c r="D2345" s="1093"/>
      <c r="E2345" s="453">
        <v>91</v>
      </c>
      <c r="F2345" s="694">
        <v>105000</v>
      </c>
      <c r="G2345" s="454">
        <v>42</v>
      </c>
      <c r="H2345" s="454" t="s">
        <v>1203</v>
      </c>
      <c r="I2345" s="1062">
        <f>+'2021 MILCON Inflation Table'!F10</f>
        <v>1.3093098833874974</v>
      </c>
      <c r="J2345" s="1063"/>
      <c r="K2345" s="451">
        <f>+E2345/G2345*I2345</f>
        <v>2.8368380806729108</v>
      </c>
      <c r="L2345" s="564" t="s">
        <v>5</v>
      </c>
      <c r="M2345" s="173"/>
      <c r="N2345" s="68"/>
      <c r="O2345" s="203"/>
      <c r="P2345" s="218"/>
      <c r="Q2345" s="68"/>
      <c r="R2345" s="217"/>
      <c r="U2345" s="171"/>
    </row>
    <row r="2346" spans="1:24" ht="30" customHeight="1" thickBot="1" x14ac:dyDescent="0.4">
      <c r="A2346" s="241"/>
      <c r="B2346" s="1031" t="s">
        <v>1204</v>
      </c>
      <c r="C2346" s="1032"/>
      <c r="D2346" s="1033"/>
      <c r="E2346" s="553"/>
      <c r="F2346" s="706"/>
      <c r="G2346" s="553"/>
      <c r="H2346" s="707"/>
      <c r="I2346" s="458"/>
      <c r="J2346" s="510" t="s">
        <v>2356</v>
      </c>
      <c r="K2346" s="459">
        <f>AVERAGE(K2345:K2345)</f>
        <v>2.8368380806729108</v>
      </c>
      <c r="L2346" s="564" t="s">
        <v>5</v>
      </c>
      <c r="M2346" s="173"/>
      <c r="N2346" s="214"/>
      <c r="O2346" s="207"/>
      <c r="P2346" s="27"/>
      <c r="Q2346" s="27"/>
      <c r="R2346" s="27"/>
      <c r="S2346" s="27"/>
      <c r="U2346" s="27"/>
      <c r="V2346" s="27"/>
      <c r="W2346" s="27"/>
      <c r="X2346" s="27"/>
    </row>
    <row r="2347" spans="1:24" s="27" customFormat="1" ht="30" customHeight="1" thickBot="1" x14ac:dyDescent="0.4">
      <c r="A2347" s="1086"/>
      <c r="B2347" s="1087"/>
      <c r="C2347" s="1087"/>
      <c r="D2347" s="1087"/>
      <c r="E2347" s="1087"/>
      <c r="F2347" s="1087"/>
      <c r="G2347" s="1087"/>
      <c r="H2347" s="1087"/>
      <c r="I2347" s="1087"/>
      <c r="J2347" s="1087"/>
      <c r="K2347" s="1087"/>
      <c r="L2347" s="1088"/>
      <c r="M2347" s="173"/>
      <c r="N2347" s="203"/>
      <c r="O2347" s="205"/>
      <c r="P2347" s="203"/>
      <c r="Q2347" s="203"/>
      <c r="R2347" s="203"/>
      <c r="S2347" s="203"/>
      <c r="T2347" s="208"/>
      <c r="U2347" s="208"/>
      <c r="V2347" s="208"/>
      <c r="W2347" s="208"/>
      <c r="X2347" s="208"/>
    </row>
    <row r="2348" spans="1:24" s="208" customFormat="1" ht="30" customHeight="1" x14ac:dyDescent="0.35">
      <c r="A2348" s="465" t="s">
        <v>278</v>
      </c>
      <c r="B2348" s="539">
        <v>4122</v>
      </c>
      <c r="C2348" s="1060" t="s">
        <v>3037</v>
      </c>
      <c r="D2348" s="1061"/>
      <c r="E2348" s="541" t="s">
        <v>280</v>
      </c>
      <c r="F2348" s="542" t="s">
        <v>8</v>
      </c>
      <c r="G2348" s="543" t="s">
        <v>285</v>
      </c>
      <c r="H2348" s="569">
        <v>1658</v>
      </c>
      <c r="I2348" s="541" t="s">
        <v>281</v>
      </c>
      <c r="J2348" s="1019" t="s">
        <v>3038</v>
      </c>
      <c r="K2348" s="1019"/>
      <c r="L2348" s="1020"/>
      <c r="M2348" s="173"/>
      <c r="N2348" s="203"/>
      <c r="O2348" s="205"/>
      <c r="P2348" s="203"/>
      <c r="Q2348" s="203"/>
      <c r="R2348" s="203"/>
      <c r="S2348" s="203"/>
      <c r="T2348" s="203"/>
      <c r="U2348" s="27"/>
      <c r="V2348" s="27"/>
      <c r="W2348" s="27"/>
      <c r="X2348" s="27"/>
    </row>
    <row r="2349" spans="1:24" s="27" customFormat="1" ht="30" customHeight="1" x14ac:dyDescent="0.35">
      <c r="A2349" s="545"/>
      <c r="B2349" s="1021" t="s">
        <v>2921</v>
      </c>
      <c r="C2349" s="1021"/>
      <c r="D2349" s="1021"/>
      <c r="E2349" s="509" t="s">
        <v>290</v>
      </c>
      <c r="F2349" s="509" t="s">
        <v>322</v>
      </c>
      <c r="G2349" s="1034" t="s">
        <v>323</v>
      </c>
      <c r="H2349" s="1035"/>
      <c r="I2349" s="509" t="s">
        <v>327</v>
      </c>
      <c r="J2349" s="509" t="s">
        <v>419</v>
      </c>
      <c r="K2349" s="1012" t="s">
        <v>2356</v>
      </c>
      <c r="L2349" s="1013"/>
      <c r="M2349" s="173"/>
      <c r="N2349" s="208"/>
      <c r="O2349" s="205"/>
      <c r="P2349" s="208"/>
      <c r="Q2349" s="208"/>
      <c r="R2349" s="208"/>
      <c r="S2349" s="208"/>
      <c r="T2349" s="51"/>
      <c r="U2349" s="203"/>
      <c r="V2349" s="203"/>
      <c r="W2349" s="203"/>
      <c r="X2349" s="203"/>
    </row>
    <row r="2350" spans="1:24" ht="30" customHeight="1" thickBot="1" x14ac:dyDescent="0.4">
      <c r="A2350" s="546"/>
      <c r="B2350" s="1014">
        <v>64.52</v>
      </c>
      <c r="C2350" s="1014"/>
      <c r="D2350" s="1014"/>
      <c r="E2350" s="547"/>
      <c r="F2350" s="548"/>
      <c r="G2350" s="1015"/>
      <c r="H2350" s="1016"/>
      <c r="I2350" s="549"/>
      <c r="J2350" s="550">
        <v>1.0202</v>
      </c>
      <c r="K2350" s="551">
        <f>B2350*J2350</f>
        <v>65.823303999999993</v>
      </c>
      <c r="L2350" s="552" t="s">
        <v>3</v>
      </c>
      <c r="M2350" s="173"/>
      <c r="T2350" s="51"/>
    </row>
    <row r="2351" spans="1:24" ht="30" customHeight="1" thickBot="1" x14ac:dyDescent="0.4">
      <c r="A2351" s="1086"/>
      <c r="B2351" s="1087"/>
      <c r="C2351" s="1087"/>
      <c r="D2351" s="1087"/>
      <c r="E2351" s="1087"/>
      <c r="F2351" s="1087"/>
      <c r="G2351" s="1087"/>
      <c r="H2351" s="1087"/>
      <c r="I2351" s="1087"/>
      <c r="J2351" s="1087"/>
      <c r="K2351" s="1087"/>
      <c r="L2351" s="1088"/>
      <c r="M2351" s="173"/>
      <c r="P2351" s="171"/>
      <c r="Q2351" s="171"/>
      <c r="R2351" s="171"/>
      <c r="S2351" s="51"/>
    </row>
    <row r="2352" spans="1:24" ht="30" customHeight="1" x14ac:dyDescent="0.35">
      <c r="A2352" s="465" t="s">
        <v>278</v>
      </c>
      <c r="B2352" s="539">
        <v>4211</v>
      </c>
      <c r="C2352" s="1060" t="s">
        <v>1205</v>
      </c>
      <c r="D2352" s="1061"/>
      <c r="E2352" s="541" t="s">
        <v>280</v>
      </c>
      <c r="F2352" s="542" t="s">
        <v>8</v>
      </c>
      <c r="G2352" s="543" t="s">
        <v>285</v>
      </c>
      <c r="H2352" s="569">
        <v>2739</v>
      </c>
      <c r="I2352" s="541" t="s">
        <v>281</v>
      </c>
      <c r="J2352" s="1019" t="s">
        <v>2749</v>
      </c>
      <c r="K2352" s="1019"/>
      <c r="L2352" s="1020"/>
      <c r="M2352" s="173"/>
      <c r="P2352" s="171"/>
      <c r="Q2352" s="171"/>
      <c r="R2352" s="171"/>
      <c r="S2352" s="51"/>
    </row>
    <row r="2353" spans="1:24" ht="30" customHeight="1" x14ac:dyDescent="0.35">
      <c r="A2353" s="545" t="s">
        <v>288</v>
      </c>
      <c r="B2353" s="1051" t="s">
        <v>282</v>
      </c>
      <c r="C2353" s="1051"/>
      <c r="D2353" s="1051"/>
      <c r="E2353" s="561" t="s">
        <v>290</v>
      </c>
      <c r="F2353" s="509" t="s">
        <v>289</v>
      </c>
      <c r="G2353" s="1094" t="s">
        <v>323</v>
      </c>
      <c r="H2353" s="1095"/>
      <c r="I2353" s="1052" t="s">
        <v>405</v>
      </c>
      <c r="J2353" s="1053"/>
      <c r="K2353" s="1012" t="s">
        <v>292</v>
      </c>
      <c r="L2353" s="1013"/>
      <c r="M2353" s="173"/>
      <c r="N2353" s="68"/>
      <c r="O2353" s="203"/>
      <c r="P2353" s="218"/>
      <c r="Q2353" s="68"/>
      <c r="R2353" s="217"/>
    </row>
    <row r="2354" spans="1:24" ht="30" customHeight="1" x14ac:dyDescent="0.35">
      <c r="A2354" s="546">
        <v>42120</v>
      </c>
      <c r="B2354" s="1057" t="s">
        <v>1206</v>
      </c>
      <c r="C2354" s="1057"/>
      <c r="D2354" s="1057"/>
      <c r="E2354" s="460">
        <v>451</v>
      </c>
      <c r="F2354" s="439">
        <v>9500</v>
      </c>
      <c r="G2354" s="462"/>
      <c r="H2354" s="462"/>
      <c r="I2354" s="1091">
        <f>+'2021 MILCON Inflation Table'!F20</f>
        <v>0.9432470865927236</v>
      </c>
      <c r="J2354" s="1092"/>
      <c r="K2354" s="812">
        <f>+E2354*I2354</f>
        <v>425.40443605331836</v>
      </c>
      <c r="L2354" s="698" t="s">
        <v>8</v>
      </c>
      <c r="M2354" s="363"/>
      <c r="N2354" s="68"/>
      <c r="O2354" s="203"/>
      <c r="P2354" s="218"/>
      <c r="Q2354" s="68"/>
      <c r="R2354" s="217"/>
      <c r="T2354" s="208"/>
      <c r="U2354" s="208"/>
      <c r="V2354" s="208"/>
      <c r="W2354" s="208"/>
      <c r="X2354" s="208"/>
    </row>
    <row r="2355" spans="1:24" s="208" customFormat="1" ht="30" customHeight="1" thickBot="1" x14ac:dyDescent="0.4">
      <c r="A2355" s="241"/>
      <c r="B2355" s="1059"/>
      <c r="C2355" s="1059"/>
      <c r="D2355" s="1059"/>
      <c r="E2355" s="565"/>
      <c r="F2355" s="566"/>
      <c r="G2355" s="566"/>
      <c r="H2355" s="567"/>
      <c r="I2355" s="458"/>
      <c r="J2355" s="510" t="s">
        <v>2356</v>
      </c>
      <c r="K2355" s="459">
        <f>+K2354</f>
        <v>425.40443605331836</v>
      </c>
      <c r="L2355" s="243" t="s">
        <v>8</v>
      </c>
      <c r="M2355" s="173"/>
      <c r="N2355" s="68"/>
      <c r="O2355" s="203"/>
      <c r="P2355" s="218"/>
      <c r="Q2355" s="68"/>
      <c r="R2355" s="217"/>
      <c r="S2355" s="203"/>
      <c r="T2355" s="203"/>
      <c r="U2355" s="203"/>
      <c r="V2355" s="203"/>
      <c r="W2355" s="203"/>
      <c r="X2355" s="203"/>
    </row>
    <row r="2356" spans="1:24" ht="30" customHeight="1" thickBot="1" x14ac:dyDescent="0.4">
      <c r="A2356" s="1086"/>
      <c r="B2356" s="1087"/>
      <c r="C2356" s="1087"/>
      <c r="D2356" s="1087"/>
      <c r="E2356" s="1087"/>
      <c r="F2356" s="1087"/>
      <c r="G2356" s="1087"/>
      <c r="H2356" s="1087"/>
      <c r="I2356" s="1087"/>
      <c r="J2356" s="1087"/>
      <c r="K2356" s="1087"/>
      <c r="L2356" s="1088"/>
      <c r="M2356" s="173"/>
      <c r="N2356" s="68"/>
      <c r="O2356" s="208"/>
      <c r="P2356" s="218"/>
      <c r="Q2356" s="68"/>
      <c r="R2356" s="217"/>
      <c r="S2356" s="208"/>
    </row>
    <row r="2357" spans="1:24" ht="30" customHeight="1" x14ac:dyDescent="0.35">
      <c r="A2357" s="465" t="s">
        <v>278</v>
      </c>
      <c r="B2357" s="539">
        <v>4221</v>
      </c>
      <c r="C2357" s="1060" t="s">
        <v>1207</v>
      </c>
      <c r="D2357" s="1061"/>
      <c r="E2357" s="541" t="s">
        <v>280</v>
      </c>
      <c r="F2357" s="542" t="s">
        <v>8</v>
      </c>
      <c r="G2357" s="543" t="s">
        <v>285</v>
      </c>
      <c r="H2357" s="569">
        <v>2291</v>
      </c>
      <c r="I2357" s="541" t="s">
        <v>281</v>
      </c>
      <c r="J2357" s="1019" t="s">
        <v>346</v>
      </c>
      <c r="K2357" s="1019"/>
      <c r="L2357" s="1020"/>
      <c r="M2357" s="173"/>
      <c r="N2357" s="68"/>
      <c r="O2357" s="203"/>
      <c r="P2357" s="218"/>
      <c r="Q2357" s="68"/>
      <c r="R2357" s="217"/>
    </row>
    <row r="2358" spans="1:24" ht="30" customHeight="1" x14ac:dyDescent="0.35">
      <c r="A2358" s="545" t="s">
        <v>288</v>
      </c>
      <c r="B2358" s="1051" t="s">
        <v>282</v>
      </c>
      <c r="C2358" s="1051"/>
      <c r="D2358" s="1051"/>
      <c r="E2358" s="561" t="s">
        <v>290</v>
      </c>
      <c r="F2358" s="509" t="s">
        <v>289</v>
      </c>
      <c r="G2358" s="1094" t="s">
        <v>323</v>
      </c>
      <c r="H2358" s="1095"/>
      <c r="I2358" s="1052" t="s">
        <v>405</v>
      </c>
      <c r="J2358" s="1053"/>
      <c r="K2358" s="1012" t="s">
        <v>292</v>
      </c>
      <c r="L2358" s="1013"/>
      <c r="M2358" s="173"/>
      <c r="N2358" s="63"/>
      <c r="O2358" s="203"/>
      <c r="P2358" s="218"/>
      <c r="Q2358" s="68"/>
      <c r="R2358" s="217"/>
    </row>
    <row r="2359" spans="1:24" ht="30" customHeight="1" x14ac:dyDescent="0.35">
      <c r="A2359" s="546">
        <v>42183</v>
      </c>
      <c r="B2359" s="1057" t="s">
        <v>1208</v>
      </c>
      <c r="C2359" s="1057"/>
      <c r="D2359" s="1057"/>
      <c r="E2359" s="453">
        <v>519</v>
      </c>
      <c r="F2359" s="694">
        <v>9600</v>
      </c>
      <c r="G2359" s="462"/>
      <c r="H2359" s="462"/>
      <c r="I2359" s="1091">
        <f>+'2021 MILCON Inflation Table'!F17</f>
        <v>1</v>
      </c>
      <c r="J2359" s="1092"/>
      <c r="K2359" s="812">
        <f>+E2359*I2359</f>
        <v>519</v>
      </c>
      <c r="L2359" s="698" t="s">
        <v>8</v>
      </c>
      <c r="M2359" s="364"/>
      <c r="N2359" s="63"/>
      <c r="O2359" s="203"/>
      <c r="P2359" s="218"/>
      <c r="Q2359" s="68"/>
      <c r="R2359" s="217"/>
    </row>
    <row r="2360" spans="1:24" ht="30" customHeight="1" thickBot="1" x14ac:dyDescent="0.4">
      <c r="A2360" s="241"/>
      <c r="B2360" s="1059"/>
      <c r="C2360" s="1059"/>
      <c r="D2360" s="1059"/>
      <c r="E2360" s="565"/>
      <c r="F2360" s="566"/>
      <c r="G2360" s="566"/>
      <c r="H2360" s="567"/>
      <c r="I2360" s="458"/>
      <c r="J2360" s="510" t="s">
        <v>2356</v>
      </c>
      <c r="K2360" s="459">
        <f>+K2359</f>
        <v>519</v>
      </c>
      <c r="L2360" s="243" t="s">
        <v>8</v>
      </c>
      <c r="M2360" s="173"/>
      <c r="P2360" s="171"/>
      <c r="Q2360" s="171"/>
      <c r="R2360" s="171"/>
      <c r="S2360" s="51"/>
    </row>
    <row r="2361" spans="1:24" ht="30" customHeight="1" thickBot="1" x14ac:dyDescent="0.4">
      <c r="A2361" s="1086"/>
      <c r="B2361" s="1087"/>
      <c r="C2361" s="1087"/>
      <c r="D2361" s="1087"/>
      <c r="E2361" s="1087"/>
      <c r="F2361" s="1087"/>
      <c r="G2361" s="1087"/>
      <c r="H2361" s="1087"/>
      <c r="I2361" s="1087"/>
      <c r="J2361" s="1087"/>
      <c r="K2361" s="1087"/>
      <c r="L2361" s="1088"/>
      <c r="M2361" s="173"/>
      <c r="N2361" s="68"/>
      <c r="O2361" s="203"/>
      <c r="P2361" s="218"/>
      <c r="Q2361" s="68"/>
      <c r="R2361" s="217"/>
    </row>
    <row r="2362" spans="1:24" ht="30" customHeight="1" thickBot="1" x14ac:dyDescent="0.4">
      <c r="A2362" s="465" t="s">
        <v>278</v>
      </c>
      <c r="B2362" s="539">
        <v>4222</v>
      </c>
      <c r="C2362" s="1060" t="s">
        <v>1209</v>
      </c>
      <c r="D2362" s="1061"/>
      <c r="E2362" s="541" t="s">
        <v>280</v>
      </c>
      <c r="F2362" s="542" t="s">
        <v>8</v>
      </c>
      <c r="G2362" s="543" t="s">
        <v>285</v>
      </c>
      <c r="H2362" s="569">
        <v>12004</v>
      </c>
      <c r="I2362" s="541" t="s">
        <v>281</v>
      </c>
      <c r="J2362" s="1019" t="s">
        <v>2369</v>
      </c>
      <c r="K2362" s="1019"/>
      <c r="L2362" s="1020"/>
      <c r="M2362" s="173"/>
      <c r="N2362" s="419"/>
      <c r="O2362" s="171"/>
      <c r="P2362" s="216"/>
      <c r="Q2362" s="419"/>
      <c r="R2362" s="219"/>
    </row>
    <row r="2363" spans="1:24" ht="30" customHeight="1" x14ac:dyDescent="0.35">
      <c r="A2363" s="545" t="s">
        <v>288</v>
      </c>
      <c r="B2363" s="1299" t="s">
        <v>282</v>
      </c>
      <c r="C2363" s="1300"/>
      <c r="D2363" s="1301"/>
      <c r="E2363" s="561" t="s">
        <v>290</v>
      </c>
      <c r="F2363" s="509" t="s">
        <v>289</v>
      </c>
      <c r="G2363" s="1302" t="s">
        <v>2</v>
      </c>
      <c r="H2363" s="1303"/>
      <c r="I2363" s="1302" t="s">
        <v>405</v>
      </c>
      <c r="J2363" s="1303"/>
      <c r="K2363" s="1304" t="s">
        <v>292</v>
      </c>
      <c r="L2363" s="1305"/>
      <c r="M2363" s="363"/>
      <c r="N2363" s="68"/>
      <c r="O2363" s="203"/>
      <c r="P2363" s="218"/>
      <c r="Q2363" s="68"/>
      <c r="R2363" s="217"/>
    </row>
    <row r="2364" spans="1:24" ht="30" customHeight="1" x14ac:dyDescent="0.35">
      <c r="A2364" s="241">
        <v>44222</v>
      </c>
      <c r="B2364" s="1082" t="s">
        <v>1210</v>
      </c>
      <c r="C2364" s="1083"/>
      <c r="D2364" s="1093"/>
      <c r="E2364" s="453">
        <v>77</v>
      </c>
      <c r="F2364" s="694">
        <v>2250</v>
      </c>
      <c r="G2364" s="462" t="s">
        <v>8</v>
      </c>
      <c r="H2364" s="462"/>
      <c r="I2364" s="1044">
        <f>+'2021 MILCON Inflation Table'!F19</f>
        <v>0.96211202832457809</v>
      </c>
      <c r="J2364" s="1045"/>
      <c r="K2364" s="463">
        <f>+E2364*I2364</f>
        <v>74.08262618099252</v>
      </c>
      <c r="L2364" s="564" t="s">
        <v>8</v>
      </c>
      <c r="M2364" s="173"/>
      <c r="N2364" s="68"/>
      <c r="O2364" s="203"/>
      <c r="P2364" s="218"/>
      <c r="Q2364" s="68"/>
      <c r="R2364" s="217"/>
    </row>
    <row r="2365" spans="1:24" ht="30" customHeight="1" thickBot="1" x14ac:dyDescent="0.4">
      <c r="A2365" s="241"/>
      <c r="B2365" s="1212" t="s">
        <v>2370</v>
      </c>
      <c r="C2365" s="1213"/>
      <c r="D2365" s="1214"/>
      <c r="E2365" s="553"/>
      <c r="F2365" s="706"/>
      <c r="G2365" s="553"/>
      <c r="H2365" s="707"/>
      <c r="I2365" s="458"/>
      <c r="J2365" s="510" t="s">
        <v>2356</v>
      </c>
      <c r="K2365" s="459">
        <f>AVERAGE(K2364:K2364)</f>
        <v>74.08262618099252</v>
      </c>
      <c r="L2365" s="564" t="s">
        <v>8</v>
      </c>
      <c r="M2365" s="173"/>
      <c r="N2365" s="68"/>
      <c r="O2365" s="203"/>
      <c r="P2365" s="218"/>
      <c r="Q2365" s="68"/>
      <c r="R2365" s="217"/>
    </row>
    <row r="2366" spans="1:24" ht="30" customHeight="1" thickBot="1" x14ac:dyDescent="0.4">
      <c r="A2366" s="1086"/>
      <c r="B2366" s="1087"/>
      <c r="C2366" s="1087"/>
      <c r="D2366" s="1087"/>
      <c r="E2366" s="1087"/>
      <c r="F2366" s="1087"/>
      <c r="G2366" s="1087"/>
      <c r="H2366" s="1087"/>
      <c r="I2366" s="1087"/>
      <c r="J2366" s="1087"/>
      <c r="K2366" s="1087"/>
      <c r="L2366" s="1088"/>
      <c r="M2366" s="173"/>
      <c r="N2366" s="68"/>
      <c r="O2366" s="203"/>
      <c r="P2366" s="218"/>
      <c r="Q2366" s="68"/>
      <c r="R2366" s="217"/>
    </row>
    <row r="2367" spans="1:24" ht="30" customHeight="1" x14ac:dyDescent="0.35">
      <c r="A2367" s="465" t="s">
        <v>278</v>
      </c>
      <c r="B2367" s="539">
        <v>4231</v>
      </c>
      <c r="C2367" s="1060" t="s">
        <v>1211</v>
      </c>
      <c r="D2367" s="1061"/>
      <c r="E2367" s="541" t="s">
        <v>280</v>
      </c>
      <c r="F2367" s="542" t="s">
        <v>5</v>
      </c>
      <c r="G2367" s="543" t="s">
        <v>285</v>
      </c>
      <c r="H2367" s="632">
        <v>19918</v>
      </c>
      <c r="I2367" s="541" t="s">
        <v>281</v>
      </c>
      <c r="J2367" s="1019" t="s">
        <v>2371</v>
      </c>
      <c r="K2367" s="1019"/>
      <c r="L2367" s="1020"/>
      <c r="M2367" s="173"/>
      <c r="N2367" s="68"/>
      <c r="O2367" s="203"/>
      <c r="P2367" s="218"/>
      <c r="Q2367" s="68"/>
      <c r="R2367" s="217"/>
    </row>
    <row r="2368" spans="1:24" ht="30" customHeight="1" x14ac:dyDescent="0.35">
      <c r="A2368" s="588" t="s">
        <v>298</v>
      </c>
      <c r="B2368" s="1038" t="s">
        <v>321</v>
      </c>
      <c r="C2368" s="1039"/>
      <c r="D2368" s="1040"/>
      <c r="E2368" s="23"/>
      <c r="F2368" s="23" t="s">
        <v>322</v>
      </c>
      <c r="G2368" s="1034" t="s">
        <v>323</v>
      </c>
      <c r="H2368" s="1035"/>
      <c r="I2368" s="509" t="s">
        <v>299</v>
      </c>
      <c r="J2368" s="509"/>
      <c r="K2368" s="1012" t="s">
        <v>292</v>
      </c>
      <c r="L2368" s="1013"/>
      <c r="M2368" s="363"/>
      <c r="N2368" s="63"/>
      <c r="O2368" s="203"/>
      <c r="P2368" s="218"/>
      <c r="Q2368" s="68"/>
      <c r="R2368" s="217"/>
    </row>
    <row r="2369" spans="1:24" ht="30" customHeight="1" x14ac:dyDescent="0.35">
      <c r="A2369" s="241" t="s">
        <v>355</v>
      </c>
      <c r="B2369" s="1031" t="s">
        <v>3039</v>
      </c>
      <c r="C2369" s="1032"/>
      <c r="D2369" s="1033"/>
      <c r="E2369" s="453">
        <v>157000</v>
      </c>
      <c r="F2369" s="446" t="s">
        <v>10</v>
      </c>
      <c r="G2369" s="456">
        <f>+H2367</f>
        <v>19918</v>
      </c>
      <c r="H2369" s="548" t="s">
        <v>3040</v>
      </c>
      <c r="I2369" s="665">
        <v>1.02</v>
      </c>
      <c r="J2369" s="446"/>
      <c r="K2369" s="453">
        <f>+E2369/G2369*I2369</f>
        <v>8.0399638517923488</v>
      </c>
      <c r="L2369" s="243" t="s">
        <v>5</v>
      </c>
      <c r="M2369" s="173"/>
      <c r="N2369" s="63"/>
      <c r="O2369" s="203"/>
      <c r="P2369" s="218"/>
      <c r="Q2369" s="68"/>
      <c r="R2369" s="217"/>
    </row>
    <row r="2370" spans="1:24" ht="30" customHeight="1" x14ac:dyDescent="0.35">
      <c r="A2370" s="241"/>
      <c r="B2370" s="506"/>
      <c r="C2370" s="506"/>
      <c r="D2370" s="506"/>
      <c r="E2370" s="453"/>
      <c r="F2370" s="1029" t="s">
        <v>302</v>
      </c>
      <c r="G2370" s="1058" t="s">
        <v>303</v>
      </c>
      <c r="H2370" s="1058"/>
      <c r="I2370" s="1058"/>
      <c r="J2370" s="1058"/>
      <c r="K2370" s="665">
        <v>1.07</v>
      </c>
      <c r="L2370" s="243"/>
      <c r="M2370" s="173"/>
      <c r="O2370" s="203"/>
      <c r="P2370" s="218"/>
      <c r="Q2370" s="68"/>
      <c r="R2370" s="217"/>
    </row>
    <row r="2371" spans="1:24" ht="30" customHeight="1" x14ac:dyDescent="0.35">
      <c r="A2371" s="241"/>
      <c r="B2371" s="506"/>
      <c r="C2371" s="506"/>
      <c r="D2371" s="506"/>
      <c r="E2371" s="453"/>
      <c r="F2371" s="1030"/>
      <c r="G2371" s="1073" t="s">
        <v>2374</v>
      </c>
      <c r="H2371" s="1073"/>
      <c r="I2371" s="1073"/>
      <c r="J2371" s="1073"/>
      <c r="K2371" s="612">
        <v>1.08</v>
      </c>
      <c r="L2371" s="243"/>
      <c r="M2371" s="173"/>
      <c r="O2371" s="203"/>
      <c r="P2371" s="218"/>
      <c r="Q2371" s="68"/>
      <c r="R2371" s="217"/>
    </row>
    <row r="2372" spans="1:24" ht="30" customHeight="1" x14ac:dyDescent="0.35">
      <c r="A2372" s="241"/>
      <c r="B2372" s="446"/>
      <c r="C2372" s="458"/>
      <c r="D2372" s="458"/>
      <c r="E2372" s="458"/>
      <c r="F2372" s="458"/>
      <c r="G2372" s="458"/>
      <c r="H2372" s="458"/>
      <c r="I2372" s="458"/>
      <c r="J2372" s="446" t="s">
        <v>2356</v>
      </c>
      <c r="K2372" s="591">
        <f>+K2369*K2370/K2371</f>
        <v>7.9655197420535311</v>
      </c>
      <c r="L2372" s="243" t="s">
        <v>5</v>
      </c>
      <c r="M2372" s="173"/>
      <c r="N2372" s="68"/>
      <c r="O2372" s="203"/>
      <c r="P2372" s="218"/>
      <c r="Q2372" s="68"/>
      <c r="R2372" s="217"/>
    </row>
    <row r="2373" spans="1:24" ht="30" customHeight="1" thickBot="1" x14ac:dyDescent="0.4">
      <c r="A2373" s="241"/>
      <c r="B2373" s="446"/>
      <c r="C2373" s="458"/>
      <c r="D2373" s="458"/>
      <c r="E2373" s="458"/>
      <c r="F2373" s="458"/>
      <c r="G2373" s="458"/>
      <c r="H2373" s="458"/>
      <c r="I2373" s="820" t="s">
        <v>2358</v>
      </c>
      <c r="J2373" s="583">
        <f>VLOOKUP(B2367,'Mil Cost Premiums for PUCs'!$A$4:$R$272,18,FALSE)</f>
        <v>1.0209999999999999</v>
      </c>
      <c r="K2373" s="591">
        <f>+K2372*J2373</f>
        <v>8.1327956566366542</v>
      </c>
      <c r="L2373" s="243" t="s">
        <v>5</v>
      </c>
      <c r="M2373" s="363"/>
      <c r="N2373" s="68"/>
      <c r="O2373" s="203"/>
      <c r="P2373" s="218"/>
      <c r="Q2373" s="68"/>
      <c r="R2373" s="217"/>
    </row>
    <row r="2374" spans="1:24" ht="30" customHeight="1" thickBot="1" x14ac:dyDescent="0.4">
      <c r="A2374" s="1086"/>
      <c r="B2374" s="1087"/>
      <c r="C2374" s="1087"/>
      <c r="D2374" s="1087"/>
      <c r="E2374" s="1087"/>
      <c r="F2374" s="1087"/>
      <c r="G2374" s="1087"/>
      <c r="H2374" s="1087"/>
      <c r="I2374" s="1087"/>
      <c r="J2374" s="1087"/>
      <c r="K2374" s="1087"/>
      <c r="L2374" s="1088"/>
      <c r="M2374" s="173"/>
      <c r="N2374" s="68"/>
      <c r="O2374" s="203"/>
      <c r="P2374" s="218"/>
      <c r="Q2374" s="68"/>
      <c r="R2374" s="217"/>
    </row>
    <row r="2375" spans="1:24" ht="30" customHeight="1" x14ac:dyDescent="0.35">
      <c r="A2375" s="465" t="s">
        <v>278</v>
      </c>
      <c r="B2375" s="539">
        <v>4241</v>
      </c>
      <c r="C2375" s="1060" t="s">
        <v>1212</v>
      </c>
      <c r="D2375" s="1061"/>
      <c r="E2375" s="541" t="s">
        <v>280</v>
      </c>
      <c r="F2375" s="542" t="s">
        <v>8</v>
      </c>
      <c r="G2375" s="543" t="s">
        <v>285</v>
      </c>
      <c r="H2375" s="569">
        <v>1779</v>
      </c>
      <c r="I2375" s="541" t="s">
        <v>281</v>
      </c>
      <c r="J2375" s="1019" t="s">
        <v>3041</v>
      </c>
      <c r="K2375" s="1019"/>
      <c r="L2375" s="1020"/>
      <c r="M2375" s="173"/>
      <c r="N2375" s="68"/>
      <c r="O2375" s="203"/>
      <c r="P2375" s="218"/>
      <c r="Q2375" s="68"/>
      <c r="R2375" s="217"/>
      <c r="T2375" s="208"/>
      <c r="U2375" s="208"/>
      <c r="V2375" s="208"/>
      <c r="W2375" s="208"/>
      <c r="X2375" s="208"/>
    </row>
    <row r="2376" spans="1:24" s="208" customFormat="1" ht="30" customHeight="1" x14ac:dyDescent="0.35">
      <c r="A2376" s="545" t="s">
        <v>288</v>
      </c>
      <c r="B2376" s="1051" t="s">
        <v>282</v>
      </c>
      <c r="C2376" s="1051"/>
      <c r="D2376" s="1051"/>
      <c r="E2376" s="561" t="s">
        <v>290</v>
      </c>
      <c r="F2376" s="509" t="s">
        <v>289</v>
      </c>
      <c r="G2376" s="1094" t="s">
        <v>2</v>
      </c>
      <c r="H2376" s="1095"/>
      <c r="I2376" s="1052" t="s">
        <v>405</v>
      </c>
      <c r="J2376" s="1053"/>
      <c r="K2376" s="1012" t="s">
        <v>292</v>
      </c>
      <c r="L2376" s="1013"/>
      <c r="M2376" s="173"/>
      <c r="N2376" s="203"/>
      <c r="O2376" s="203"/>
      <c r="P2376" s="218"/>
      <c r="Q2376" s="68"/>
      <c r="R2376" s="217"/>
      <c r="S2376" s="203"/>
      <c r="T2376" s="203"/>
      <c r="U2376" s="203"/>
      <c r="V2376" s="203"/>
      <c r="W2376" s="203"/>
      <c r="X2376" s="203"/>
    </row>
    <row r="2377" spans="1:24" ht="30" customHeight="1" x14ac:dyDescent="0.35">
      <c r="A2377" s="241">
        <v>21850</v>
      </c>
      <c r="B2377" s="1031" t="s">
        <v>1214</v>
      </c>
      <c r="C2377" s="1032"/>
      <c r="D2377" s="1033"/>
      <c r="E2377" s="453">
        <v>300</v>
      </c>
      <c r="F2377" s="694">
        <v>600</v>
      </c>
      <c r="G2377" s="462" t="s">
        <v>8</v>
      </c>
      <c r="H2377" s="462"/>
      <c r="I2377" s="1044">
        <f>+'2021 MILCON Inflation Table'!$F$20</f>
        <v>0.9432470865927236</v>
      </c>
      <c r="J2377" s="1045"/>
      <c r="K2377" s="463">
        <f>+E2377*I2377</f>
        <v>282.9741259778171</v>
      </c>
      <c r="L2377" s="564" t="s">
        <v>8</v>
      </c>
      <c r="M2377" s="173"/>
      <c r="N2377" s="208"/>
      <c r="O2377" s="208"/>
      <c r="P2377" s="218"/>
      <c r="Q2377" s="68"/>
      <c r="R2377" s="217"/>
      <c r="S2377" s="208"/>
    </row>
    <row r="2378" spans="1:24" ht="30" customHeight="1" x14ac:dyDescent="0.35">
      <c r="A2378" s="241">
        <v>43211</v>
      </c>
      <c r="B2378" s="516" t="s">
        <v>1215</v>
      </c>
      <c r="C2378" s="570"/>
      <c r="D2378" s="571"/>
      <c r="E2378" s="453">
        <v>242</v>
      </c>
      <c r="F2378" s="694">
        <v>6000</v>
      </c>
      <c r="G2378" s="462" t="s">
        <v>8</v>
      </c>
      <c r="H2378" s="462"/>
      <c r="I2378" s="1044">
        <f>+'2021 MILCON Inflation Table'!$F$8</f>
        <v>1.3794561933534744</v>
      </c>
      <c r="J2378" s="1045"/>
      <c r="K2378" s="463">
        <f>+E2378*I2378</f>
        <v>333.82839879154079</v>
      </c>
      <c r="L2378" s="564" t="s">
        <v>8</v>
      </c>
      <c r="M2378" s="173"/>
      <c r="N2378" s="68"/>
      <c r="O2378" s="203"/>
      <c r="P2378" s="218"/>
      <c r="Q2378" s="68"/>
      <c r="R2378" s="217"/>
    </row>
    <row r="2379" spans="1:24" ht="30" customHeight="1" x14ac:dyDescent="0.35">
      <c r="A2379" s="241"/>
      <c r="B2379" s="516"/>
      <c r="C2379" s="570"/>
      <c r="D2379" s="571"/>
      <c r="E2379" s="667"/>
      <c r="F2379" s="724"/>
      <c r="G2379" s="725"/>
      <c r="H2379" s="726"/>
      <c r="I2379" s="712"/>
      <c r="J2379" s="713" t="s">
        <v>304</v>
      </c>
      <c r="K2379" s="463">
        <f>AVERAGE(K2377:K2378)</f>
        <v>308.40126238467894</v>
      </c>
      <c r="L2379" s="564" t="s">
        <v>8</v>
      </c>
      <c r="M2379" s="173"/>
      <c r="N2379" s="63"/>
      <c r="O2379" s="203"/>
      <c r="P2379" s="218"/>
      <c r="Q2379" s="68"/>
      <c r="R2379" s="217"/>
    </row>
    <row r="2380" spans="1:24" ht="30" customHeight="1" thickBot="1" x14ac:dyDescent="0.4">
      <c r="A2380" s="241"/>
      <c r="B2380" s="1031"/>
      <c r="C2380" s="1032"/>
      <c r="D2380" s="1033"/>
      <c r="E2380" s="553"/>
      <c r="F2380" s="706"/>
      <c r="G2380" s="553"/>
      <c r="H2380" s="707"/>
      <c r="I2380" s="458"/>
      <c r="J2380" s="510" t="s">
        <v>2356</v>
      </c>
      <c r="K2380" s="459">
        <f>+K2379</f>
        <v>308.40126238467894</v>
      </c>
      <c r="L2380" s="564" t="s">
        <v>8</v>
      </c>
      <c r="M2380" s="173"/>
      <c r="O2380" s="203"/>
      <c r="P2380" s="218"/>
      <c r="Q2380" s="68"/>
      <c r="R2380" s="217"/>
    </row>
    <row r="2381" spans="1:24" ht="30" customHeight="1" thickBot="1" x14ac:dyDescent="0.4">
      <c r="A2381" s="1086"/>
      <c r="B2381" s="1087"/>
      <c r="C2381" s="1087"/>
      <c r="D2381" s="1087"/>
      <c r="E2381" s="1087"/>
      <c r="F2381" s="1087"/>
      <c r="G2381" s="1087"/>
      <c r="H2381" s="1087"/>
      <c r="I2381" s="1087"/>
      <c r="J2381" s="1087"/>
      <c r="K2381" s="1087"/>
      <c r="L2381" s="1088"/>
      <c r="M2381" s="173"/>
      <c r="N2381" s="68"/>
      <c r="O2381" s="203"/>
      <c r="P2381" s="218"/>
      <c r="Q2381" s="68"/>
      <c r="R2381" s="217"/>
    </row>
    <row r="2382" spans="1:24" ht="30" customHeight="1" x14ac:dyDescent="0.35">
      <c r="A2382" s="465" t="s">
        <v>278</v>
      </c>
      <c r="B2382" s="539">
        <v>4251</v>
      </c>
      <c r="C2382" s="1096" t="s">
        <v>1216</v>
      </c>
      <c r="D2382" s="1097"/>
      <c r="E2382" s="541" t="s">
        <v>280</v>
      </c>
      <c r="F2382" s="542" t="s">
        <v>3</v>
      </c>
      <c r="G2382" s="543" t="s">
        <v>285</v>
      </c>
      <c r="H2382" s="632">
        <v>1822</v>
      </c>
      <c r="I2382" s="541" t="s">
        <v>281</v>
      </c>
      <c r="J2382" s="1019" t="s">
        <v>2371</v>
      </c>
      <c r="K2382" s="1019"/>
      <c r="L2382" s="1020"/>
      <c r="M2382" s="173"/>
      <c r="N2382" s="419"/>
      <c r="O2382" s="171"/>
      <c r="P2382" s="216"/>
      <c r="Q2382" s="419"/>
      <c r="R2382" s="219"/>
    </row>
    <row r="2383" spans="1:24" ht="30" customHeight="1" x14ac:dyDescent="0.35">
      <c r="A2383" s="588" t="s">
        <v>298</v>
      </c>
      <c r="B2383" s="1038" t="s">
        <v>321</v>
      </c>
      <c r="C2383" s="1039"/>
      <c r="D2383" s="1040"/>
      <c r="E2383" s="23" t="s">
        <v>290</v>
      </c>
      <c r="F2383" s="23" t="s">
        <v>322</v>
      </c>
      <c r="G2383" s="1034" t="s">
        <v>323</v>
      </c>
      <c r="H2383" s="1035"/>
      <c r="I2383" s="509" t="s">
        <v>299</v>
      </c>
      <c r="J2383" s="509"/>
      <c r="K2383" s="1012" t="s">
        <v>292</v>
      </c>
      <c r="L2383" s="1013"/>
      <c r="M2383" s="173"/>
      <c r="N2383" s="63"/>
      <c r="O2383" s="203"/>
      <c r="P2383" s="218"/>
      <c r="Q2383" s="68"/>
      <c r="R2383" s="217"/>
    </row>
    <row r="2384" spans="1:24" ht="30" customHeight="1" x14ac:dyDescent="0.35">
      <c r="A2384" s="241" t="s">
        <v>331</v>
      </c>
      <c r="B2384" s="1031" t="s">
        <v>1217</v>
      </c>
      <c r="C2384" s="1032"/>
      <c r="D2384" s="1033"/>
      <c r="E2384" s="453">
        <v>0.78</v>
      </c>
      <c r="F2384" s="446" t="s">
        <v>8</v>
      </c>
      <c r="G2384" s="454">
        <v>9</v>
      </c>
      <c r="H2384" s="446" t="s">
        <v>1218</v>
      </c>
      <c r="I2384" s="446">
        <v>1.03</v>
      </c>
      <c r="J2384" s="446"/>
      <c r="K2384" s="453">
        <f>+E2384*I2384*G2384</f>
        <v>7.2305999999999999</v>
      </c>
      <c r="L2384" s="243" t="s">
        <v>3</v>
      </c>
      <c r="M2384" s="173"/>
      <c r="O2384" s="203"/>
      <c r="P2384" s="218"/>
      <c r="Q2384" s="68"/>
      <c r="R2384" s="217"/>
    </row>
    <row r="2385" spans="1:24" ht="30" customHeight="1" x14ac:dyDescent="0.35">
      <c r="A2385" s="241" t="s">
        <v>331</v>
      </c>
      <c r="B2385" s="1082" t="s">
        <v>1219</v>
      </c>
      <c r="C2385" s="1083"/>
      <c r="D2385" s="1093"/>
      <c r="E2385" s="51">
        <v>2.29</v>
      </c>
      <c r="F2385" s="446" t="s">
        <v>8</v>
      </c>
      <c r="G2385" s="454">
        <v>9</v>
      </c>
      <c r="H2385" s="446" t="s">
        <v>1218</v>
      </c>
      <c r="I2385" s="446">
        <v>1.03</v>
      </c>
      <c r="J2385" s="446"/>
      <c r="K2385" s="453">
        <f>+E2385*I2385*G2385</f>
        <v>21.228300000000001</v>
      </c>
      <c r="L2385" s="243" t="s">
        <v>3</v>
      </c>
      <c r="M2385" s="173"/>
      <c r="N2385" s="68"/>
      <c r="O2385" s="203"/>
      <c r="P2385" s="218"/>
      <c r="Q2385" s="68"/>
      <c r="R2385" s="217"/>
      <c r="T2385" s="208"/>
      <c r="U2385" s="208"/>
      <c r="V2385" s="208"/>
      <c r="W2385" s="208"/>
      <c r="X2385" s="208"/>
    </row>
    <row r="2386" spans="1:24" s="208" customFormat="1" ht="30" customHeight="1" x14ac:dyDescent="0.35">
      <c r="A2386" s="241" t="s">
        <v>331</v>
      </c>
      <c r="B2386" s="1031" t="s">
        <v>1220</v>
      </c>
      <c r="C2386" s="1032"/>
      <c r="D2386" s="1032"/>
      <c r="E2386" s="453">
        <v>4.07</v>
      </c>
      <c r="F2386" s="639" t="s">
        <v>8</v>
      </c>
      <c r="G2386" s="454">
        <v>9</v>
      </c>
      <c r="H2386" s="446" t="s">
        <v>1218</v>
      </c>
      <c r="I2386" s="446">
        <v>1.03</v>
      </c>
      <c r="J2386" s="446"/>
      <c r="K2386" s="453">
        <f>+E2386*I2386*G2386</f>
        <v>37.72890000000001</v>
      </c>
      <c r="L2386" s="243" t="s">
        <v>3</v>
      </c>
      <c r="M2386" s="363"/>
      <c r="N2386" s="203"/>
      <c r="O2386" s="203"/>
      <c r="P2386" s="218"/>
      <c r="Q2386" s="68"/>
      <c r="R2386" s="217"/>
      <c r="S2386" s="203"/>
      <c r="T2386" s="203"/>
      <c r="U2386" s="203"/>
      <c r="V2386" s="203"/>
      <c r="W2386" s="203"/>
      <c r="X2386" s="203"/>
    </row>
    <row r="2387" spans="1:24" ht="30" customHeight="1" x14ac:dyDescent="0.35">
      <c r="A2387" s="241"/>
      <c r="B2387" s="1082"/>
      <c r="C2387" s="1083"/>
      <c r="D2387" s="1093"/>
      <c r="E2387" s="453"/>
      <c r="F2387" s="446"/>
      <c r="G2387" s="458"/>
      <c r="H2387" s="458"/>
      <c r="I2387" s="1104" t="s">
        <v>1221</v>
      </c>
      <c r="J2387" s="1106"/>
      <c r="K2387" s="607">
        <f>AVERAGE(K2385:K2386)</f>
        <v>29.478600000000007</v>
      </c>
      <c r="L2387" s="243" t="s">
        <v>3</v>
      </c>
      <c r="M2387" s="173"/>
      <c r="N2387" s="208"/>
      <c r="O2387" s="208"/>
      <c r="P2387" s="218"/>
      <c r="Q2387" s="68"/>
      <c r="R2387" s="217"/>
      <c r="S2387" s="208"/>
    </row>
    <row r="2388" spans="1:24" ht="30" customHeight="1" x14ac:dyDescent="0.35">
      <c r="A2388" s="241"/>
      <c r="B2388" s="1175"/>
      <c r="C2388" s="1176"/>
      <c r="D2388" s="1177"/>
      <c r="E2388" s="453"/>
      <c r="F2388" s="639"/>
      <c r="G2388" s="454"/>
      <c r="H2388" s="446"/>
      <c r="I2388" s="446"/>
      <c r="J2388" s="446" t="s">
        <v>335</v>
      </c>
      <c r="K2388" s="453">
        <f>+K2387+K2384</f>
        <v>36.70920000000001</v>
      </c>
      <c r="L2388" s="243" t="s">
        <v>3</v>
      </c>
      <c r="M2388" s="173"/>
      <c r="N2388" s="68"/>
      <c r="O2388" s="203"/>
      <c r="P2388" s="218"/>
      <c r="Q2388" s="68"/>
      <c r="R2388" s="217"/>
    </row>
    <row r="2389" spans="1:24" ht="30" customHeight="1" x14ac:dyDescent="0.35">
      <c r="A2389" s="241"/>
      <c r="B2389" s="506"/>
      <c r="C2389" s="506"/>
      <c r="D2389" s="506"/>
      <c r="E2389" s="453"/>
      <c r="F2389" s="1029" t="s">
        <v>302</v>
      </c>
      <c r="G2389" s="1058" t="s">
        <v>303</v>
      </c>
      <c r="H2389" s="1058"/>
      <c r="I2389" s="1058"/>
      <c r="J2389" s="1058"/>
      <c r="K2389" s="665">
        <v>1.07</v>
      </c>
      <c r="L2389" s="243"/>
      <c r="M2389" s="173"/>
      <c r="N2389" s="68"/>
      <c r="O2389" s="203"/>
      <c r="P2389" s="218"/>
      <c r="Q2389" s="68"/>
      <c r="R2389" s="217"/>
    </row>
    <row r="2390" spans="1:24" ht="30" customHeight="1" x14ac:dyDescent="0.35">
      <c r="A2390" s="241"/>
      <c r="B2390" s="506"/>
      <c r="C2390" s="506"/>
      <c r="D2390" s="506"/>
      <c r="E2390" s="453"/>
      <c r="F2390" s="1030"/>
      <c r="G2390" s="1073" t="s">
        <v>2374</v>
      </c>
      <c r="H2390" s="1073"/>
      <c r="I2390" s="1073"/>
      <c r="J2390" s="1073"/>
      <c r="K2390" s="612">
        <v>1.08</v>
      </c>
      <c r="L2390" s="243"/>
      <c r="M2390" s="173"/>
      <c r="N2390" s="63"/>
      <c r="O2390" s="203"/>
      <c r="P2390" s="218"/>
      <c r="Q2390" s="68"/>
      <c r="R2390" s="217"/>
    </row>
    <row r="2391" spans="1:24" ht="30" customHeight="1" x14ac:dyDescent="0.35">
      <c r="A2391" s="241"/>
      <c r="B2391" s="1082"/>
      <c r="C2391" s="1083"/>
      <c r="D2391" s="1093"/>
      <c r="E2391" s="453"/>
      <c r="F2391" s="639"/>
      <c r="G2391" s="519"/>
      <c r="H2391" s="508"/>
      <c r="I2391" s="1163" t="s">
        <v>2356</v>
      </c>
      <c r="J2391" s="1174"/>
      <c r="K2391" s="591">
        <f>+K2388*K2389/K2390</f>
        <v>36.36930000000001</v>
      </c>
      <c r="L2391" s="243" t="s">
        <v>3</v>
      </c>
      <c r="M2391" s="173"/>
      <c r="N2391" s="68"/>
      <c r="O2391" s="203"/>
      <c r="P2391" s="218"/>
      <c r="Q2391" s="68"/>
      <c r="R2391" s="217"/>
    </row>
    <row r="2392" spans="1:24" ht="30" customHeight="1" x14ac:dyDescent="0.35">
      <c r="A2392" s="241"/>
      <c r="B2392" s="485"/>
      <c r="C2392" s="610"/>
      <c r="D2392" s="608"/>
      <c r="E2392" s="453"/>
      <c r="F2392" s="639"/>
      <c r="G2392" s="171"/>
      <c r="H2392" s="508"/>
      <c r="I2392" s="821" t="s">
        <v>2359</v>
      </c>
      <c r="J2392" s="583">
        <f>VLOOKUP(B2382,'Mil Cost Premiums for PUCs'!$A$4:$R$272,18,FALSE)</f>
        <v>1.0905505199999999</v>
      </c>
      <c r="K2392" s="591">
        <f>+K2391*J2392</f>
        <v>39.662559027036004</v>
      </c>
      <c r="L2392" s="243" t="s">
        <v>3</v>
      </c>
      <c r="M2392" s="173"/>
      <c r="N2392" s="419"/>
      <c r="O2392" s="171"/>
      <c r="P2392" s="216"/>
      <c r="Q2392" s="419"/>
      <c r="R2392" s="219"/>
    </row>
    <row r="2393" spans="1:24" ht="60" customHeight="1" x14ac:dyDescent="0.35">
      <c r="A2393" s="1064" t="s">
        <v>305</v>
      </c>
      <c r="B2393" s="1065"/>
      <c r="C2393" s="1065"/>
      <c r="D2393" s="1065"/>
      <c r="E2393" s="1065"/>
      <c r="F2393" s="1065"/>
      <c r="G2393" s="1065"/>
      <c r="H2393" s="1065"/>
      <c r="I2393" s="1065"/>
      <c r="J2393" s="1065"/>
      <c r="K2393" s="1065"/>
      <c r="L2393" s="1066"/>
      <c r="M2393" s="173"/>
      <c r="N2393" s="419"/>
      <c r="O2393" s="171"/>
      <c r="P2393" s="216"/>
      <c r="Q2393" s="419"/>
      <c r="R2393" s="219"/>
      <c r="T2393" s="51"/>
      <c r="U2393" s="171"/>
    </row>
    <row r="2394" spans="1:24" ht="30" customHeight="1" x14ac:dyDescent="0.35">
      <c r="A2394" s="1077" t="s">
        <v>306</v>
      </c>
      <c r="B2394" s="1042"/>
      <c r="C2394" s="1043"/>
      <c r="D2394" s="1067" t="s">
        <v>1222</v>
      </c>
      <c r="E2394" s="1065"/>
      <c r="F2394" s="1065"/>
      <c r="G2394" s="1065"/>
      <c r="H2394" s="1065"/>
      <c r="I2394" s="1065"/>
      <c r="J2394" s="1065"/>
      <c r="K2394" s="1065"/>
      <c r="L2394" s="1066"/>
      <c r="M2394" s="173"/>
      <c r="N2394" s="13"/>
      <c r="O2394" s="203"/>
      <c r="P2394" s="218"/>
      <c r="Q2394" s="68"/>
      <c r="R2394" s="217"/>
      <c r="T2394" s="51"/>
      <c r="U2394" s="171"/>
    </row>
    <row r="2395" spans="1:24" ht="30" customHeight="1" x14ac:dyDescent="0.35">
      <c r="A2395" s="1077" t="s">
        <v>307</v>
      </c>
      <c r="B2395" s="1042"/>
      <c r="C2395" s="1043"/>
      <c r="D2395" s="1067" t="s">
        <v>1223</v>
      </c>
      <c r="E2395" s="1065"/>
      <c r="F2395" s="1065"/>
      <c r="G2395" s="1065"/>
      <c r="H2395" s="1065"/>
      <c r="I2395" s="1065"/>
      <c r="J2395" s="1065"/>
      <c r="K2395" s="1065"/>
      <c r="L2395" s="1066"/>
      <c r="M2395" s="173"/>
      <c r="N2395" s="13"/>
      <c r="P2395" s="171"/>
      <c r="Q2395" s="171"/>
      <c r="R2395" s="171"/>
      <c r="S2395" s="51"/>
      <c r="T2395" s="27"/>
      <c r="U2395" s="27"/>
      <c r="V2395" s="27"/>
      <c r="W2395" s="27"/>
      <c r="X2395" s="27"/>
    </row>
    <row r="2396" spans="1:24" s="27" customFormat="1" ht="30" customHeight="1" x14ac:dyDescent="0.35">
      <c r="A2396" s="1077" t="s">
        <v>308</v>
      </c>
      <c r="B2396" s="1042"/>
      <c r="C2396" s="1043"/>
      <c r="D2396" s="1067" t="s">
        <v>3042</v>
      </c>
      <c r="E2396" s="1065"/>
      <c r="F2396" s="1065"/>
      <c r="G2396" s="1065"/>
      <c r="H2396" s="1065"/>
      <c r="I2396" s="1065"/>
      <c r="J2396" s="1065"/>
      <c r="K2396" s="1065"/>
      <c r="L2396" s="1066"/>
      <c r="M2396" s="173"/>
      <c r="N2396" s="425"/>
      <c r="O2396" s="205"/>
      <c r="P2396" s="171"/>
      <c r="Q2396" s="171"/>
      <c r="R2396" s="171"/>
      <c r="S2396" s="51"/>
      <c r="T2396" s="208"/>
      <c r="U2396" s="208"/>
      <c r="V2396" s="208"/>
      <c r="W2396" s="208"/>
      <c r="X2396" s="208"/>
    </row>
    <row r="2397" spans="1:24" s="208" customFormat="1" ht="30" customHeight="1" x14ac:dyDescent="0.35">
      <c r="A2397" s="1077" t="s">
        <v>309</v>
      </c>
      <c r="B2397" s="1042"/>
      <c r="C2397" s="1043"/>
      <c r="D2397" s="1067" t="s">
        <v>1224</v>
      </c>
      <c r="E2397" s="1065"/>
      <c r="F2397" s="1065"/>
      <c r="G2397" s="1065"/>
      <c r="H2397" s="1065"/>
      <c r="I2397" s="1065"/>
      <c r="J2397" s="1065"/>
      <c r="K2397" s="1065"/>
      <c r="L2397" s="1066"/>
      <c r="M2397" s="363"/>
      <c r="N2397" s="27"/>
      <c r="O2397" s="207"/>
      <c r="P2397" s="27"/>
      <c r="Q2397" s="27"/>
      <c r="R2397" s="27"/>
      <c r="S2397" s="27"/>
      <c r="T2397" s="203"/>
      <c r="U2397" s="203"/>
      <c r="V2397" s="203"/>
      <c r="W2397" s="203"/>
      <c r="X2397" s="203"/>
    </row>
    <row r="2398" spans="1:24" ht="30" customHeight="1" x14ac:dyDescent="0.35">
      <c r="A2398" s="1077" t="s">
        <v>311</v>
      </c>
      <c r="B2398" s="1042"/>
      <c r="C2398" s="1043"/>
      <c r="D2398" s="1067" t="s">
        <v>1225</v>
      </c>
      <c r="E2398" s="1065"/>
      <c r="F2398" s="1065"/>
      <c r="G2398" s="1065"/>
      <c r="H2398" s="1065"/>
      <c r="I2398" s="1065"/>
      <c r="J2398" s="1065"/>
      <c r="K2398" s="1065"/>
      <c r="L2398" s="1066"/>
      <c r="M2398" s="173"/>
      <c r="N2398" s="63"/>
      <c r="P2398" s="208"/>
      <c r="Q2398" s="208"/>
      <c r="R2398" s="208"/>
      <c r="S2398" s="208"/>
      <c r="T2398" s="27"/>
      <c r="U2398" s="171"/>
    </row>
    <row r="2399" spans="1:24" ht="30" customHeight="1" x14ac:dyDescent="0.35">
      <c r="A2399" s="1077" t="s">
        <v>313</v>
      </c>
      <c r="B2399" s="1042"/>
      <c r="C2399" s="1043"/>
      <c r="D2399" s="1067" t="s">
        <v>314</v>
      </c>
      <c r="E2399" s="1065"/>
      <c r="F2399" s="1065"/>
      <c r="G2399" s="1065"/>
      <c r="H2399" s="1065"/>
      <c r="I2399" s="1065"/>
      <c r="J2399" s="1065"/>
      <c r="K2399" s="1065"/>
      <c r="L2399" s="1066"/>
      <c r="M2399" s="173"/>
      <c r="N2399" s="425"/>
      <c r="U2399" s="171"/>
    </row>
    <row r="2400" spans="1:24" ht="30" customHeight="1" x14ac:dyDescent="0.35">
      <c r="A2400" s="1077" t="s">
        <v>315</v>
      </c>
      <c r="B2400" s="1042"/>
      <c r="C2400" s="1043"/>
      <c r="D2400" s="1067" t="s">
        <v>1226</v>
      </c>
      <c r="E2400" s="1065"/>
      <c r="F2400" s="1065"/>
      <c r="G2400" s="1065"/>
      <c r="H2400" s="1065"/>
      <c r="I2400" s="1065"/>
      <c r="J2400" s="1065"/>
      <c r="K2400" s="1065"/>
      <c r="L2400" s="1066"/>
      <c r="M2400" s="173"/>
      <c r="N2400" s="214"/>
      <c r="O2400" s="207"/>
      <c r="P2400" s="27"/>
      <c r="Q2400" s="27"/>
      <c r="R2400" s="27"/>
      <c r="S2400" s="27"/>
      <c r="U2400" s="27"/>
      <c r="V2400" s="27"/>
      <c r="W2400" s="27"/>
      <c r="X2400" s="27"/>
    </row>
    <row r="2401" spans="1:24" s="27" customFormat="1" ht="45" customHeight="1" x14ac:dyDescent="0.35">
      <c r="A2401" s="1077" t="s">
        <v>316</v>
      </c>
      <c r="B2401" s="1042"/>
      <c r="C2401" s="1043"/>
      <c r="D2401" s="1067" t="s">
        <v>1227</v>
      </c>
      <c r="E2401" s="1065"/>
      <c r="F2401" s="1065"/>
      <c r="G2401" s="1065"/>
      <c r="H2401" s="1065"/>
      <c r="I2401" s="1065"/>
      <c r="J2401" s="1065"/>
      <c r="K2401" s="1065"/>
      <c r="L2401" s="1066"/>
      <c r="M2401" s="173"/>
      <c r="N2401" s="203"/>
      <c r="O2401" s="205"/>
      <c r="P2401" s="203"/>
      <c r="Q2401" s="203"/>
      <c r="R2401" s="203"/>
      <c r="S2401" s="203"/>
      <c r="T2401" s="213"/>
      <c r="U2401" s="208"/>
      <c r="V2401" s="208"/>
      <c r="W2401" s="208"/>
      <c r="X2401" s="208"/>
    </row>
    <row r="2402" spans="1:24" s="208" customFormat="1" ht="30" customHeight="1" thickBot="1" x14ac:dyDescent="0.4">
      <c r="A2402" s="1077" t="s">
        <v>318</v>
      </c>
      <c r="B2402" s="1042"/>
      <c r="C2402" s="1043"/>
      <c r="D2402" s="1068" t="s">
        <v>3043</v>
      </c>
      <c r="E2402" s="1069"/>
      <c r="F2402" s="1069"/>
      <c r="G2402" s="1069"/>
      <c r="H2402" s="1069"/>
      <c r="I2402" s="1069"/>
      <c r="J2402" s="1069"/>
      <c r="K2402" s="1069"/>
      <c r="L2402" s="1070"/>
      <c r="M2402" s="363"/>
      <c r="N2402" s="27"/>
      <c r="O2402" s="205"/>
      <c r="P2402" s="203"/>
      <c r="Q2402" s="203"/>
      <c r="R2402" s="203"/>
      <c r="S2402" s="203"/>
      <c r="T2402" s="51"/>
      <c r="U2402" s="203"/>
      <c r="V2402" s="203"/>
      <c r="W2402" s="203"/>
      <c r="X2402" s="203"/>
    </row>
    <row r="2403" spans="1:24" ht="30" customHeight="1" thickBot="1" x14ac:dyDescent="0.4">
      <c r="A2403" s="1086"/>
      <c r="B2403" s="1087"/>
      <c r="C2403" s="1087"/>
      <c r="D2403" s="1087"/>
      <c r="E2403" s="1087"/>
      <c r="F2403" s="1087"/>
      <c r="G2403" s="1087"/>
      <c r="H2403" s="1087"/>
      <c r="I2403" s="1087"/>
      <c r="J2403" s="1087"/>
      <c r="K2403" s="1087"/>
      <c r="L2403" s="1088"/>
      <c r="M2403" s="173"/>
      <c r="N2403" s="208"/>
      <c r="P2403" s="75"/>
      <c r="Q2403" s="75"/>
      <c r="R2403" s="75"/>
      <c r="S2403" s="213"/>
      <c r="T2403" s="51"/>
      <c r="U2403" s="171"/>
    </row>
    <row r="2404" spans="1:24" ht="30" customHeight="1" x14ac:dyDescent="0.35">
      <c r="A2404" s="465" t="s">
        <v>278</v>
      </c>
      <c r="B2404" s="539">
        <v>4311</v>
      </c>
      <c r="C2404" s="1017" t="s">
        <v>1228</v>
      </c>
      <c r="D2404" s="1018"/>
      <c r="E2404" s="541" t="s">
        <v>280</v>
      </c>
      <c r="F2404" s="542" t="s">
        <v>8</v>
      </c>
      <c r="G2404" s="543" t="s">
        <v>285</v>
      </c>
      <c r="H2404" s="632">
        <v>24809</v>
      </c>
      <c r="I2404" s="541" t="s">
        <v>281</v>
      </c>
      <c r="J2404" s="1019" t="s">
        <v>2371</v>
      </c>
      <c r="K2404" s="1019"/>
      <c r="L2404" s="1020"/>
      <c r="M2404" s="173"/>
      <c r="P2404" s="171"/>
      <c r="Q2404" s="171"/>
      <c r="R2404" s="171"/>
      <c r="S2404" s="51"/>
      <c r="T2404" s="51"/>
      <c r="U2404" s="171"/>
    </row>
    <row r="2405" spans="1:24" ht="30" customHeight="1" x14ac:dyDescent="0.35">
      <c r="A2405" s="588" t="s">
        <v>298</v>
      </c>
      <c r="B2405" s="1038" t="s">
        <v>321</v>
      </c>
      <c r="C2405" s="1039"/>
      <c r="D2405" s="1040"/>
      <c r="E2405" s="23" t="s">
        <v>290</v>
      </c>
      <c r="F2405" s="23" t="s">
        <v>322</v>
      </c>
      <c r="G2405" s="1034" t="s">
        <v>323</v>
      </c>
      <c r="H2405" s="1035"/>
      <c r="I2405" s="509" t="s">
        <v>299</v>
      </c>
      <c r="J2405" s="509"/>
      <c r="K2405" s="1012" t="s">
        <v>292</v>
      </c>
      <c r="L2405" s="1013"/>
      <c r="M2405" s="173"/>
      <c r="P2405" s="171"/>
      <c r="Q2405" s="171"/>
      <c r="R2405" s="171"/>
      <c r="S2405" s="51"/>
      <c r="U2405" s="171"/>
    </row>
    <row r="2406" spans="1:24" ht="30" customHeight="1" x14ac:dyDescent="0.35">
      <c r="A2406" s="241" t="s">
        <v>1229</v>
      </c>
      <c r="B2406" s="1031" t="s">
        <v>1230</v>
      </c>
      <c r="C2406" s="1032"/>
      <c r="D2406" s="1033"/>
      <c r="E2406" s="453">
        <v>86.5</v>
      </c>
      <c r="F2406" s="446" t="s">
        <v>8</v>
      </c>
      <c r="G2406" s="454"/>
      <c r="H2406" s="446"/>
      <c r="I2406" s="446">
        <f>(1.01+1.05)/2</f>
        <v>1.03</v>
      </c>
      <c r="J2406" s="446"/>
      <c r="K2406" s="453">
        <f>+E2406*I2406</f>
        <v>89.094999999999999</v>
      </c>
      <c r="L2406" s="243" t="s">
        <v>8</v>
      </c>
      <c r="M2406" s="173"/>
      <c r="P2406" s="171"/>
      <c r="Q2406" s="171"/>
      <c r="R2406" s="171"/>
      <c r="S2406" s="51"/>
      <c r="T2406" s="213"/>
      <c r="U2406" s="208"/>
      <c r="V2406" s="208"/>
      <c r="W2406" s="208"/>
      <c r="X2406" s="208"/>
    </row>
    <row r="2407" spans="1:24" s="208" customFormat="1" ht="30" customHeight="1" x14ac:dyDescent="0.35">
      <c r="A2407" s="241" t="s">
        <v>1229</v>
      </c>
      <c r="B2407" s="1082" t="s">
        <v>2397</v>
      </c>
      <c r="C2407" s="1083"/>
      <c r="D2407" s="1093"/>
      <c r="E2407" s="51">
        <v>22.95</v>
      </c>
      <c r="F2407" s="446" t="s">
        <v>8</v>
      </c>
      <c r="G2407" s="605"/>
      <c r="H2407" s="508"/>
      <c r="I2407" s="446">
        <f t="shared" ref="I2407:I2408" si="66">(1.01+1.05)/2</f>
        <v>1.03</v>
      </c>
      <c r="J2407" s="446"/>
      <c r="K2407" s="453">
        <f>+E2407*I2407</f>
        <v>23.638500000000001</v>
      </c>
      <c r="L2407" s="243" t="s">
        <v>8</v>
      </c>
      <c r="M2407" s="173"/>
      <c r="N2407" s="425"/>
      <c r="O2407" s="205"/>
      <c r="P2407" s="203"/>
      <c r="Q2407" s="203"/>
      <c r="R2407" s="203"/>
      <c r="S2407" s="203"/>
      <c r="T2407" s="51"/>
      <c r="U2407" s="203"/>
      <c r="V2407" s="203"/>
      <c r="W2407" s="203"/>
      <c r="X2407" s="203"/>
    </row>
    <row r="2408" spans="1:24" ht="30" customHeight="1" x14ac:dyDescent="0.35">
      <c r="A2408" s="241" t="s">
        <v>360</v>
      </c>
      <c r="B2408" s="1031" t="s">
        <v>3044</v>
      </c>
      <c r="C2408" s="1032"/>
      <c r="D2408" s="1032"/>
      <c r="E2408" s="453">
        <v>3.61</v>
      </c>
      <c r="F2408" s="446" t="s">
        <v>8</v>
      </c>
      <c r="G2408" s="519"/>
      <c r="H2408" s="508"/>
      <c r="I2408" s="446">
        <f t="shared" si="66"/>
        <v>1.03</v>
      </c>
      <c r="J2408" s="446"/>
      <c r="K2408" s="453">
        <f>+E2408*I2408</f>
        <v>3.7183000000000002</v>
      </c>
      <c r="L2408" s="243" t="s">
        <v>8</v>
      </c>
      <c r="M2408" s="173"/>
      <c r="N2408" s="425"/>
      <c r="P2408" s="75"/>
      <c r="Q2408" s="75"/>
      <c r="R2408" s="75"/>
      <c r="S2408" s="213"/>
    </row>
    <row r="2409" spans="1:24" ht="30" customHeight="1" x14ac:dyDescent="0.35">
      <c r="A2409" s="241"/>
      <c r="B2409" s="1082"/>
      <c r="C2409" s="1083"/>
      <c r="D2409" s="1093"/>
      <c r="E2409" s="453"/>
      <c r="F2409" s="639"/>
      <c r="G2409" s="519"/>
      <c r="H2409" s="508"/>
      <c r="I2409" s="446"/>
      <c r="J2409" s="446" t="s">
        <v>335</v>
      </c>
      <c r="K2409" s="453">
        <f>SUM(K2406:K2408)</f>
        <v>116.45179999999999</v>
      </c>
      <c r="L2409" s="243" t="s">
        <v>8</v>
      </c>
      <c r="M2409" s="173"/>
      <c r="N2409" s="171"/>
      <c r="P2409" s="171"/>
      <c r="Q2409" s="171"/>
      <c r="R2409" s="171"/>
      <c r="S2409" s="51"/>
    </row>
    <row r="2410" spans="1:24" ht="30" customHeight="1" x14ac:dyDescent="0.35">
      <c r="A2410" s="241"/>
      <c r="B2410" s="506"/>
      <c r="C2410" s="506"/>
      <c r="D2410" s="506"/>
      <c r="E2410" s="453"/>
      <c r="F2410" s="1029" t="s">
        <v>302</v>
      </c>
      <c r="G2410" s="1058" t="s">
        <v>303</v>
      </c>
      <c r="H2410" s="1058"/>
      <c r="I2410" s="1058"/>
      <c r="J2410" s="1058"/>
      <c r="K2410" s="665">
        <v>1.0900000000000001</v>
      </c>
      <c r="L2410" s="243"/>
      <c r="M2410" s="173"/>
      <c r="N2410" s="277"/>
      <c r="O2410" s="203"/>
      <c r="P2410" s="218"/>
      <c r="Q2410" s="68"/>
      <c r="R2410" s="217"/>
    </row>
    <row r="2411" spans="1:24" ht="30" customHeight="1" x14ac:dyDescent="0.35">
      <c r="A2411" s="241"/>
      <c r="B2411" s="506"/>
      <c r="C2411" s="506"/>
      <c r="D2411" s="506"/>
      <c r="E2411" s="453"/>
      <c r="F2411" s="1030"/>
      <c r="G2411" s="1073" t="s">
        <v>2374</v>
      </c>
      <c r="H2411" s="1073"/>
      <c r="I2411" s="1073"/>
      <c r="J2411" s="1073"/>
      <c r="K2411" s="612">
        <v>1.08</v>
      </c>
      <c r="L2411" s="243"/>
      <c r="M2411" s="173"/>
      <c r="N2411" s="277"/>
      <c r="O2411" s="171"/>
      <c r="P2411" s="218"/>
      <c r="Q2411" s="68"/>
      <c r="R2411" s="217"/>
      <c r="T2411" s="208"/>
      <c r="U2411" s="208"/>
      <c r="V2411" s="208"/>
      <c r="W2411" s="208"/>
      <c r="X2411" s="208"/>
    </row>
    <row r="2412" spans="1:24" s="208" customFormat="1" ht="30" customHeight="1" x14ac:dyDescent="0.35">
      <c r="A2412" s="241"/>
      <c r="B2412" s="446"/>
      <c r="C2412" s="458"/>
      <c r="D2412" s="458"/>
      <c r="E2412" s="458"/>
      <c r="F2412" s="458"/>
      <c r="G2412" s="458"/>
      <c r="H2412" s="458"/>
      <c r="I2412" s="171"/>
      <c r="J2412" s="446" t="s">
        <v>2356</v>
      </c>
      <c r="K2412" s="591">
        <f>+K2409*K2410/K2411</f>
        <v>117.5300574074074</v>
      </c>
      <c r="L2412" s="243" t="s">
        <v>8</v>
      </c>
      <c r="M2412" s="173"/>
      <c r="N2412" s="203"/>
      <c r="O2412" s="68"/>
      <c r="P2412" s="217"/>
      <c r="Q2412" s="203"/>
      <c r="R2412" s="203"/>
      <c r="S2412" s="203"/>
      <c r="T2412" s="203"/>
      <c r="U2412" s="203"/>
      <c r="V2412" s="203"/>
      <c r="W2412" s="203"/>
      <c r="X2412" s="203"/>
    </row>
    <row r="2413" spans="1:24" ht="30" customHeight="1" thickBot="1" x14ac:dyDescent="0.4">
      <c r="A2413" s="241"/>
      <c r="B2413" s="446"/>
      <c r="C2413" s="458"/>
      <c r="D2413" s="458"/>
      <c r="E2413" s="458"/>
      <c r="F2413" s="458"/>
      <c r="G2413" s="592" t="s">
        <v>2358</v>
      </c>
      <c r="H2413" s="458"/>
      <c r="I2413" s="458"/>
      <c r="J2413" s="583">
        <f>VLOOKUP(B2404,'Mil Cost Premiums for PUCs'!$A$4:$R$272,18,FALSE)</f>
        <v>1.168693068754227</v>
      </c>
      <c r="K2413" s="591">
        <f>+K2412*J2413</f>
        <v>137.35656346232341</v>
      </c>
      <c r="L2413" s="243" t="s">
        <v>8</v>
      </c>
      <c r="M2413" s="173"/>
      <c r="N2413" s="208"/>
      <c r="O2413" s="68"/>
      <c r="P2413" s="217"/>
      <c r="Q2413" s="208"/>
      <c r="R2413" s="208"/>
      <c r="S2413" s="208"/>
    </row>
    <row r="2414" spans="1:24" ht="30" customHeight="1" thickBot="1" x14ac:dyDescent="0.4">
      <c r="A2414" s="1086"/>
      <c r="B2414" s="1087"/>
      <c r="C2414" s="1087"/>
      <c r="D2414" s="1087"/>
      <c r="E2414" s="1087"/>
      <c r="F2414" s="1087"/>
      <c r="G2414" s="1087"/>
      <c r="H2414" s="1087"/>
      <c r="I2414" s="1087"/>
      <c r="J2414" s="1087"/>
      <c r="K2414" s="1087"/>
      <c r="L2414" s="1088"/>
      <c r="M2414" s="173"/>
      <c r="N2414" s="218"/>
      <c r="O2414" s="68"/>
      <c r="P2414" s="217"/>
    </row>
    <row r="2415" spans="1:24" ht="30" customHeight="1" x14ac:dyDescent="0.35">
      <c r="A2415" s="465" t="s">
        <v>278</v>
      </c>
      <c r="B2415" s="539">
        <v>4321</v>
      </c>
      <c r="C2415" s="1017" t="s">
        <v>1231</v>
      </c>
      <c r="D2415" s="1018"/>
      <c r="E2415" s="541" t="s">
        <v>280</v>
      </c>
      <c r="F2415" s="542" t="s">
        <v>8</v>
      </c>
      <c r="G2415" s="543" t="s">
        <v>285</v>
      </c>
      <c r="H2415" s="632">
        <v>9135</v>
      </c>
      <c r="I2415" s="541" t="s">
        <v>281</v>
      </c>
      <c r="J2415" s="1019" t="s">
        <v>2371</v>
      </c>
      <c r="K2415" s="1019"/>
      <c r="L2415" s="1020"/>
      <c r="M2415" s="173"/>
      <c r="N2415" s="425"/>
      <c r="O2415" s="68"/>
      <c r="P2415" s="217"/>
    </row>
    <row r="2416" spans="1:24" ht="30" customHeight="1" x14ac:dyDescent="0.35">
      <c r="A2416" s="588" t="s">
        <v>298</v>
      </c>
      <c r="B2416" s="1038" t="s">
        <v>321</v>
      </c>
      <c r="C2416" s="1039"/>
      <c r="D2416" s="1040"/>
      <c r="E2416" s="23" t="s">
        <v>290</v>
      </c>
      <c r="F2416" s="23" t="s">
        <v>322</v>
      </c>
      <c r="G2416" s="1034" t="s">
        <v>323</v>
      </c>
      <c r="H2416" s="1035"/>
      <c r="I2416" s="509" t="s">
        <v>299</v>
      </c>
      <c r="J2416" s="509"/>
      <c r="K2416" s="1012" t="s">
        <v>292</v>
      </c>
      <c r="L2416" s="1013"/>
      <c r="M2416" s="173"/>
      <c r="N2416" s="218"/>
      <c r="O2416" s="68"/>
      <c r="P2416" s="217"/>
    </row>
    <row r="2417" spans="1:18" ht="30" customHeight="1" x14ac:dyDescent="0.35">
      <c r="A2417" s="241" t="s">
        <v>1229</v>
      </c>
      <c r="B2417" s="1031" t="s">
        <v>1230</v>
      </c>
      <c r="C2417" s="1032"/>
      <c r="D2417" s="1033"/>
      <c r="E2417" s="453">
        <v>86.5</v>
      </c>
      <c r="F2417" s="446" t="s">
        <v>8</v>
      </c>
      <c r="G2417" s="454"/>
      <c r="H2417" s="446"/>
      <c r="I2417" s="446">
        <v>1.03</v>
      </c>
      <c r="J2417" s="446"/>
      <c r="K2417" s="453">
        <f>+E2417*I2417</f>
        <v>89.094999999999999</v>
      </c>
      <c r="L2417" s="243" t="s">
        <v>8</v>
      </c>
      <c r="M2417" s="173"/>
      <c r="N2417" s="218"/>
      <c r="O2417" s="68"/>
      <c r="P2417" s="217"/>
    </row>
    <row r="2418" spans="1:18" ht="30" customHeight="1" x14ac:dyDescent="0.35">
      <c r="A2418" s="241" t="s">
        <v>1229</v>
      </c>
      <c r="B2418" s="1082" t="s">
        <v>2398</v>
      </c>
      <c r="C2418" s="1083"/>
      <c r="D2418" s="1093"/>
      <c r="E2418" s="51">
        <v>19.649999999999999</v>
      </c>
      <c r="F2418" s="446" t="s">
        <v>8</v>
      </c>
      <c r="G2418" s="605"/>
      <c r="H2418" s="508"/>
      <c r="I2418" s="446">
        <v>1.03</v>
      </c>
      <c r="J2418" s="446"/>
      <c r="K2418" s="453">
        <f>+E2418*I2418</f>
        <v>20.2395</v>
      </c>
      <c r="L2418" s="243" t="s">
        <v>8</v>
      </c>
      <c r="M2418" s="173"/>
      <c r="N2418" s="218"/>
      <c r="O2418" s="68"/>
      <c r="P2418" s="217"/>
    </row>
    <row r="2419" spans="1:18" ht="30" customHeight="1" x14ac:dyDescent="0.35">
      <c r="A2419" s="241" t="s">
        <v>360</v>
      </c>
      <c r="B2419" s="1031" t="s">
        <v>2237</v>
      </c>
      <c r="C2419" s="1032"/>
      <c r="D2419" s="1032"/>
      <c r="E2419" s="453">
        <v>4.38</v>
      </c>
      <c r="F2419" s="446" t="s">
        <v>8</v>
      </c>
      <c r="G2419" s="519"/>
      <c r="H2419" s="508"/>
      <c r="I2419" s="446">
        <v>1.03</v>
      </c>
      <c r="J2419" s="446"/>
      <c r="K2419" s="453">
        <f>+E2419*I2419</f>
        <v>4.5114000000000001</v>
      </c>
      <c r="L2419" s="243" t="s">
        <v>8</v>
      </c>
      <c r="M2419" s="173"/>
      <c r="N2419" s="218"/>
      <c r="O2419" s="68"/>
      <c r="P2419" s="217"/>
    </row>
    <row r="2420" spans="1:18" ht="30" customHeight="1" x14ac:dyDescent="0.35">
      <c r="A2420" s="241"/>
      <c r="B2420" s="1082"/>
      <c r="C2420" s="1083"/>
      <c r="D2420" s="1093"/>
      <c r="E2420" s="453"/>
      <c r="F2420" s="639"/>
      <c r="G2420" s="519"/>
      <c r="H2420" s="508"/>
      <c r="I2420" s="446"/>
      <c r="J2420" s="446" t="s">
        <v>335</v>
      </c>
      <c r="K2420" s="453">
        <f>SUM(K2417:K2419)</f>
        <v>113.84589999999999</v>
      </c>
      <c r="L2420" s="243" t="s">
        <v>8</v>
      </c>
      <c r="M2420" s="173"/>
      <c r="N2420" s="218"/>
      <c r="O2420" s="68"/>
      <c r="P2420" s="217"/>
    </row>
    <row r="2421" spans="1:18" ht="30" customHeight="1" x14ac:dyDescent="0.35">
      <c r="A2421" s="241"/>
      <c r="B2421" s="506"/>
      <c r="C2421" s="506"/>
      <c r="D2421" s="506"/>
      <c r="E2421" s="453"/>
      <c r="F2421" s="1029" t="s">
        <v>302</v>
      </c>
      <c r="G2421" s="1058" t="s">
        <v>303</v>
      </c>
      <c r="H2421" s="1058"/>
      <c r="I2421" s="1058"/>
      <c r="J2421" s="1058"/>
      <c r="K2421" s="665">
        <v>1.0900000000000001</v>
      </c>
      <c r="L2421" s="243"/>
      <c r="M2421" s="173"/>
      <c r="N2421" s="218"/>
      <c r="O2421" s="68"/>
      <c r="P2421" s="217"/>
    </row>
    <row r="2422" spans="1:18" ht="30" customHeight="1" x14ac:dyDescent="0.35">
      <c r="A2422" s="241"/>
      <c r="B2422" s="506"/>
      <c r="C2422" s="506"/>
      <c r="D2422" s="506"/>
      <c r="E2422" s="453"/>
      <c r="F2422" s="1030"/>
      <c r="G2422" s="1073" t="s">
        <v>2374</v>
      </c>
      <c r="H2422" s="1073"/>
      <c r="I2422" s="1073"/>
      <c r="J2422" s="1073"/>
      <c r="K2422" s="612">
        <v>1.08</v>
      </c>
      <c r="L2422" s="243"/>
      <c r="M2422" s="173"/>
      <c r="N2422" s="218"/>
      <c r="O2422" s="68"/>
      <c r="P2422" s="217"/>
    </row>
    <row r="2423" spans="1:18" ht="30" customHeight="1" x14ac:dyDescent="0.35">
      <c r="A2423" s="241"/>
      <c r="B2423" s="446"/>
      <c r="C2423" s="458"/>
      <c r="D2423" s="458"/>
      <c r="E2423" s="458"/>
      <c r="F2423" s="458"/>
      <c r="G2423" s="458"/>
      <c r="H2423" s="458"/>
      <c r="I2423" s="458"/>
      <c r="J2423" s="458" t="s">
        <v>2356</v>
      </c>
      <c r="K2423" s="591">
        <f>+K2420*K2421/K2422</f>
        <v>114.90002870370368</v>
      </c>
      <c r="L2423" s="243" t="s">
        <v>8</v>
      </c>
      <c r="M2423" s="173"/>
      <c r="N2423" s="419"/>
      <c r="O2423" s="171"/>
      <c r="P2423" s="216"/>
      <c r="Q2423" s="419"/>
      <c r="R2423" s="219"/>
    </row>
    <row r="2424" spans="1:18" ht="30" customHeight="1" thickBot="1" x14ac:dyDescent="0.4">
      <c r="A2424" s="241"/>
      <c r="B2424" s="446"/>
      <c r="C2424" s="458"/>
      <c r="D2424" s="458"/>
      <c r="E2424" s="458"/>
      <c r="F2424" s="458"/>
      <c r="G2424" s="458"/>
      <c r="H2424" s="458"/>
      <c r="I2424" s="820" t="s">
        <v>2358</v>
      </c>
      <c r="J2424" s="583">
        <f>VLOOKUP(B2415,'Mil Cost Premiums for PUCs'!$A$4:$R$272,18,FALSE)</f>
        <v>1.1651974763252515</v>
      </c>
      <c r="K2424" s="591">
        <f>+K2423*J2424</f>
        <v>133.8812234752545</v>
      </c>
      <c r="L2424" s="243" t="s">
        <v>8</v>
      </c>
      <c r="M2424" s="173"/>
      <c r="N2424" s="419"/>
      <c r="O2424" s="171"/>
      <c r="P2424" s="216"/>
      <c r="Q2424" s="419"/>
      <c r="R2424" s="219"/>
    </row>
    <row r="2425" spans="1:18" ht="30" customHeight="1" thickBot="1" x14ac:dyDescent="0.4">
      <c r="A2425" s="1086"/>
      <c r="B2425" s="1087"/>
      <c r="C2425" s="1087"/>
      <c r="D2425" s="1087"/>
      <c r="E2425" s="1087"/>
      <c r="F2425" s="1087"/>
      <c r="G2425" s="1087"/>
      <c r="H2425" s="1087"/>
      <c r="I2425" s="1087"/>
      <c r="J2425" s="1087"/>
      <c r="K2425" s="1087"/>
      <c r="L2425" s="1088"/>
      <c r="M2425" s="173"/>
      <c r="N2425" s="218"/>
      <c r="O2425" s="68"/>
      <c r="P2425" s="217"/>
    </row>
    <row r="2426" spans="1:18" ht="30" customHeight="1" x14ac:dyDescent="0.35">
      <c r="A2426" s="465" t="s">
        <v>278</v>
      </c>
      <c r="B2426" s="539">
        <v>4411</v>
      </c>
      <c r="C2426" s="1060" t="s">
        <v>1232</v>
      </c>
      <c r="D2426" s="1061"/>
      <c r="E2426" s="541" t="s">
        <v>280</v>
      </c>
      <c r="F2426" s="542" t="s">
        <v>8</v>
      </c>
      <c r="G2426" s="543" t="s">
        <v>285</v>
      </c>
      <c r="H2426" s="437">
        <v>17663</v>
      </c>
      <c r="I2426" s="541" t="s">
        <v>281</v>
      </c>
      <c r="J2426" s="1019" t="s">
        <v>287</v>
      </c>
      <c r="K2426" s="1019"/>
      <c r="L2426" s="1020"/>
      <c r="M2426" s="173"/>
      <c r="N2426" s="218"/>
      <c r="O2426" s="68"/>
      <c r="P2426" s="217"/>
    </row>
    <row r="2427" spans="1:18" ht="30" customHeight="1" x14ac:dyDescent="0.35">
      <c r="A2427" s="545" t="s">
        <v>288</v>
      </c>
      <c r="B2427" s="1051" t="s">
        <v>282</v>
      </c>
      <c r="C2427" s="1051"/>
      <c r="D2427" s="1051"/>
      <c r="E2427" s="561" t="s">
        <v>290</v>
      </c>
      <c r="F2427" s="530" t="s">
        <v>289</v>
      </c>
      <c r="G2427" s="646"/>
      <c r="H2427" s="509"/>
      <c r="I2427" s="1052" t="s">
        <v>405</v>
      </c>
      <c r="J2427" s="1053"/>
      <c r="K2427" s="1012" t="s">
        <v>292</v>
      </c>
      <c r="L2427" s="1013"/>
      <c r="M2427" s="173"/>
      <c r="O2427" s="218"/>
      <c r="P2427" s="68"/>
      <c r="Q2427" s="217"/>
    </row>
    <row r="2428" spans="1:18" ht="30" customHeight="1" x14ac:dyDescent="0.35">
      <c r="A2428" s="562" t="s">
        <v>293</v>
      </c>
      <c r="B2428" s="1057" t="s">
        <v>1233</v>
      </c>
      <c r="C2428" s="1057"/>
      <c r="D2428" s="1057"/>
      <c r="E2428" s="444">
        <v>209</v>
      </c>
      <c r="F2428" s="563">
        <v>21000</v>
      </c>
      <c r="G2428" s="435"/>
      <c r="H2428" s="17"/>
      <c r="I2428" s="1044">
        <f>+'2021 MILCON Inflation Table'!F14</f>
        <v>1.1198495748855462</v>
      </c>
      <c r="J2428" s="1045"/>
      <c r="K2428" s="444">
        <f>+E2428*I2428</f>
        <v>234.04856115107916</v>
      </c>
      <c r="L2428" s="564" t="s">
        <v>8</v>
      </c>
      <c r="M2428" s="173"/>
      <c r="O2428" s="218"/>
      <c r="P2428" s="68"/>
      <c r="Q2428" s="217"/>
    </row>
    <row r="2429" spans="1:18" ht="30" customHeight="1" thickBot="1" x14ac:dyDescent="0.4">
      <c r="A2429" s="241"/>
      <c r="B2429" s="1059"/>
      <c r="C2429" s="1059"/>
      <c r="D2429" s="1059"/>
      <c r="E2429" s="565"/>
      <c r="F2429" s="566"/>
      <c r="G2429" s="566"/>
      <c r="H2429" s="567"/>
      <c r="I2429" s="458"/>
      <c r="J2429" s="510" t="s">
        <v>2356</v>
      </c>
      <c r="K2429" s="585">
        <f>+K2428</f>
        <v>234.04856115107916</v>
      </c>
      <c r="L2429" s="243" t="s">
        <v>8</v>
      </c>
      <c r="M2429" s="173"/>
      <c r="O2429" s="218"/>
      <c r="P2429" s="68"/>
      <c r="Q2429" s="217"/>
    </row>
    <row r="2430" spans="1:18" ht="30" customHeight="1" thickBot="1" x14ac:dyDescent="0.4">
      <c r="A2430" s="1086"/>
      <c r="B2430" s="1087"/>
      <c r="C2430" s="1087"/>
      <c r="D2430" s="1087"/>
      <c r="E2430" s="1087"/>
      <c r="F2430" s="1087"/>
      <c r="G2430" s="1087"/>
      <c r="H2430" s="1087"/>
      <c r="I2430" s="1087"/>
      <c r="J2430" s="1087"/>
      <c r="K2430" s="1087"/>
      <c r="L2430" s="1088"/>
      <c r="M2430" s="173"/>
      <c r="O2430" s="218"/>
      <c r="P2430" s="68"/>
      <c r="Q2430" s="217"/>
    </row>
    <row r="2431" spans="1:18" ht="30" customHeight="1" x14ac:dyDescent="0.35">
      <c r="A2431" s="465" t="s">
        <v>278</v>
      </c>
      <c r="B2431" s="539">
        <v>4412</v>
      </c>
      <c r="C2431" s="1060" t="s">
        <v>1234</v>
      </c>
      <c r="D2431" s="1061"/>
      <c r="E2431" s="541" t="s">
        <v>280</v>
      </c>
      <c r="F2431" s="542" t="s">
        <v>8</v>
      </c>
      <c r="G2431" s="543" t="s">
        <v>285</v>
      </c>
      <c r="H2431" s="569">
        <v>11718</v>
      </c>
      <c r="I2431" s="541" t="s">
        <v>281</v>
      </c>
      <c r="J2431" s="1019" t="s">
        <v>2372</v>
      </c>
      <c r="K2431" s="1019"/>
      <c r="L2431" s="1020"/>
      <c r="M2431" s="173"/>
      <c r="O2431" s="218"/>
      <c r="P2431" s="68"/>
      <c r="Q2431" s="217"/>
    </row>
    <row r="2432" spans="1:18" ht="30" customHeight="1" x14ac:dyDescent="0.35">
      <c r="A2432" s="545" t="s">
        <v>288</v>
      </c>
      <c r="B2432" s="1051" t="s">
        <v>282</v>
      </c>
      <c r="C2432" s="1051"/>
      <c r="D2432" s="1051"/>
      <c r="E2432" s="561" t="s">
        <v>290</v>
      </c>
      <c r="F2432" s="509" t="s">
        <v>289</v>
      </c>
      <c r="G2432" s="1094" t="s">
        <v>2</v>
      </c>
      <c r="H2432" s="1095"/>
      <c r="I2432" s="1052" t="s">
        <v>405</v>
      </c>
      <c r="J2432" s="1053"/>
      <c r="K2432" s="1012" t="s">
        <v>292</v>
      </c>
      <c r="L2432" s="1013"/>
      <c r="M2432" s="173"/>
      <c r="O2432" s="218"/>
      <c r="P2432" s="68"/>
      <c r="Q2432" s="217"/>
    </row>
    <row r="2433" spans="1:24" ht="30" customHeight="1" x14ac:dyDescent="0.35">
      <c r="A2433" s="241">
        <v>44222</v>
      </c>
      <c r="B2433" s="1031" t="s">
        <v>1210</v>
      </c>
      <c r="C2433" s="1032"/>
      <c r="D2433" s="1033"/>
      <c r="E2433" s="460">
        <v>77</v>
      </c>
      <c r="F2433" s="439">
        <v>2250</v>
      </c>
      <c r="G2433" s="462" t="s">
        <v>8</v>
      </c>
      <c r="H2433" s="462"/>
      <c r="I2433" s="1044">
        <f>+'2021 MILCON Inflation Table'!F19</f>
        <v>0.96211202832457809</v>
      </c>
      <c r="J2433" s="1045"/>
      <c r="K2433" s="463">
        <f>+E2433*I2433</f>
        <v>74.08262618099252</v>
      </c>
      <c r="L2433" s="564" t="s">
        <v>8</v>
      </c>
      <c r="M2433" s="173"/>
      <c r="O2433" s="218"/>
      <c r="P2433" s="68"/>
      <c r="Q2433" s="217"/>
    </row>
    <row r="2434" spans="1:24" ht="30" customHeight="1" thickBot="1" x14ac:dyDescent="0.4">
      <c r="A2434" s="241"/>
      <c r="B2434" s="1171"/>
      <c r="C2434" s="1172"/>
      <c r="D2434" s="1173"/>
      <c r="E2434" s="553"/>
      <c r="F2434" s="706"/>
      <c r="G2434" s="553"/>
      <c r="H2434" s="707"/>
      <c r="I2434" s="458"/>
      <c r="J2434" s="510" t="s">
        <v>2356</v>
      </c>
      <c r="K2434" s="459">
        <f>AVERAGE(K2433:K2433)</f>
        <v>74.08262618099252</v>
      </c>
      <c r="L2434" s="564" t="s">
        <v>8</v>
      </c>
      <c r="M2434" s="173"/>
      <c r="O2434" s="218"/>
      <c r="P2434" s="68"/>
      <c r="Q2434" s="217"/>
      <c r="T2434" s="171"/>
    </row>
    <row r="2435" spans="1:24" ht="30" customHeight="1" thickBot="1" x14ac:dyDescent="0.4">
      <c r="A2435" s="1086"/>
      <c r="B2435" s="1087"/>
      <c r="C2435" s="1087"/>
      <c r="D2435" s="1087"/>
      <c r="E2435" s="1087"/>
      <c r="F2435" s="1087"/>
      <c r="G2435" s="1087"/>
      <c r="H2435" s="1087"/>
      <c r="I2435" s="1087"/>
      <c r="J2435" s="1087"/>
      <c r="K2435" s="1087"/>
      <c r="L2435" s="1088"/>
      <c r="M2435" s="173"/>
      <c r="O2435" s="218"/>
      <c r="P2435" s="68"/>
      <c r="Q2435" s="217"/>
      <c r="T2435" s="51"/>
      <c r="U2435" s="171"/>
    </row>
    <row r="2436" spans="1:24" ht="30" customHeight="1" x14ac:dyDescent="0.35">
      <c r="A2436" s="465" t="s">
        <v>278</v>
      </c>
      <c r="B2436" s="539">
        <v>4413</v>
      </c>
      <c r="C2436" s="1017" t="s">
        <v>1235</v>
      </c>
      <c r="D2436" s="1018"/>
      <c r="E2436" s="541" t="s">
        <v>280</v>
      </c>
      <c r="F2436" s="542" t="s">
        <v>8</v>
      </c>
      <c r="G2436" s="543" t="s">
        <v>285</v>
      </c>
      <c r="H2436" s="555">
        <v>4299</v>
      </c>
      <c r="I2436" s="541" t="s">
        <v>281</v>
      </c>
      <c r="J2436" s="1019" t="s">
        <v>1036</v>
      </c>
      <c r="K2436" s="1019"/>
      <c r="L2436" s="1020"/>
      <c r="M2436" s="173"/>
      <c r="N2436" s="205"/>
      <c r="O2436" s="171"/>
      <c r="P2436" s="171"/>
      <c r="Q2436" s="171"/>
      <c r="R2436" s="51"/>
      <c r="S2436" s="51"/>
      <c r="T2436" s="27"/>
      <c r="U2436" s="27"/>
      <c r="V2436" s="27"/>
      <c r="W2436" s="27"/>
      <c r="X2436" s="27"/>
    </row>
    <row r="2437" spans="1:24" s="27" customFormat="1" ht="30" customHeight="1" x14ac:dyDescent="0.35">
      <c r="A2437" s="545"/>
      <c r="B2437" s="1051" t="s">
        <v>282</v>
      </c>
      <c r="C2437" s="1051"/>
      <c r="D2437" s="1051"/>
      <c r="E2437" s="561" t="s">
        <v>290</v>
      </c>
      <c r="F2437" s="509" t="s">
        <v>289</v>
      </c>
      <c r="G2437" s="646"/>
      <c r="H2437" s="660"/>
      <c r="I2437" s="1052" t="s">
        <v>405</v>
      </c>
      <c r="J2437" s="1053"/>
      <c r="K2437" s="1012" t="s">
        <v>292</v>
      </c>
      <c r="L2437" s="1013"/>
      <c r="M2437" s="173"/>
      <c r="N2437" s="425"/>
      <c r="O2437" s="205"/>
      <c r="P2437" s="171"/>
      <c r="Q2437" s="171"/>
      <c r="R2437" s="171"/>
      <c r="S2437" s="51"/>
      <c r="T2437" s="208"/>
      <c r="U2437" s="208"/>
      <c r="V2437" s="208"/>
      <c r="W2437" s="208"/>
      <c r="X2437" s="208"/>
    </row>
    <row r="2438" spans="1:24" s="208" customFormat="1" ht="30" customHeight="1" x14ac:dyDescent="0.35">
      <c r="A2438" s="546" t="s">
        <v>293</v>
      </c>
      <c r="B2438" s="1057" t="s">
        <v>2654</v>
      </c>
      <c r="C2438" s="1057"/>
      <c r="D2438" s="1057"/>
      <c r="E2438" s="822">
        <v>367</v>
      </c>
      <c r="F2438" s="772">
        <v>4300</v>
      </c>
      <c r="G2438" s="458"/>
      <c r="H2438" s="823"/>
      <c r="I2438" s="1245">
        <f>+'2021 MILCON Inflation Table'!F9</f>
        <v>1.3557007125890734</v>
      </c>
      <c r="J2438" s="1245"/>
      <c r="K2438" s="709">
        <f>+E2438*I2438</f>
        <v>497.54216152018995</v>
      </c>
      <c r="L2438" s="698" t="s">
        <v>8</v>
      </c>
      <c r="M2438" s="173"/>
      <c r="N2438" s="203"/>
      <c r="O2438" s="207"/>
      <c r="P2438" s="27"/>
      <c r="Q2438" s="27"/>
      <c r="R2438" s="27"/>
      <c r="S2438" s="27"/>
      <c r="T2438" s="203"/>
      <c r="U2438" s="203"/>
      <c r="V2438" s="203"/>
      <c r="W2438" s="203"/>
      <c r="X2438" s="203"/>
    </row>
    <row r="2439" spans="1:24" ht="30" customHeight="1" thickBot="1" x14ac:dyDescent="0.4">
      <c r="A2439" s="241"/>
      <c r="B2439" s="1059"/>
      <c r="C2439" s="1059"/>
      <c r="D2439" s="1059"/>
      <c r="E2439" s="565"/>
      <c r="F2439" s="566"/>
      <c r="G2439" s="566"/>
      <c r="H2439" s="567"/>
      <c r="I2439" s="458"/>
      <c r="J2439" s="510" t="s">
        <v>2356</v>
      </c>
      <c r="K2439" s="459">
        <f>+K2438</f>
        <v>497.54216152018995</v>
      </c>
      <c r="L2439" s="243" t="s">
        <v>8</v>
      </c>
      <c r="M2439" s="173"/>
      <c r="N2439" s="208"/>
      <c r="P2439" s="208"/>
      <c r="Q2439" s="208"/>
      <c r="R2439" s="208"/>
      <c r="S2439" s="208"/>
      <c r="T2439" s="51"/>
      <c r="U2439" s="171"/>
    </row>
    <row r="2440" spans="1:24" ht="30" customHeight="1" thickBot="1" x14ac:dyDescent="0.4">
      <c r="A2440" s="1086"/>
      <c r="B2440" s="1087"/>
      <c r="C2440" s="1087"/>
      <c r="D2440" s="1087"/>
      <c r="E2440" s="1087"/>
      <c r="F2440" s="1087"/>
      <c r="G2440" s="1087"/>
      <c r="H2440" s="1087"/>
      <c r="I2440" s="1087"/>
      <c r="J2440" s="1087"/>
      <c r="K2440" s="1087"/>
      <c r="L2440" s="1088"/>
      <c r="M2440" s="173"/>
      <c r="N2440" s="214"/>
      <c r="T2440" s="51"/>
      <c r="U2440" s="171"/>
    </row>
    <row r="2441" spans="1:24" ht="30" customHeight="1" x14ac:dyDescent="0.35">
      <c r="A2441" s="824" t="s">
        <v>278</v>
      </c>
      <c r="B2441" s="274">
        <v>4414</v>
      </c>
      <c r="C2441" s="1306" t="s">
        <v>1236</v>
      </c>
      <c r="D2441" s="1306"/>
      <c r="E2441" s="257" t="s">
        <v>280</v>
      </c>
      <c r="F2441" s="275" t="s">
        <v>8</v>
      </c>
      <c r="G2441" s="52" t="s">
        <v>285</v>
      </c>
      <c r="H2441" s="276">
        <v>21481</v>
      </c>
      <c r="I2441" s="257" t="s">
        <v>281</v>
      </c>
      <c r="J2441" s="1019" t="s">
        <v>2371</v>
      </c>
      <c r="K2441" s="1019"/>
      <c r="L2441" s="1020"/>
      <c r="M2441" s="173"/>
      <c r="P2441" s="171"/>
      <c r="Q2441" s="171"/>
      <c r="R2441" s="171"/>
      <c r="S2441" s="51"/>
      <c r="T2441" s="27"/>
      <c r="U2441" s="27"/>
      <c r="V2441" s="27"/>
      <c r="W2441" s="27"/>
      <c r="X2441" s="27"/>
    </row>
    <row r="2442" spans="1:24" s="27" customFormat="1" ht="30" customHeight="1" x14ac:dyDescent="0.35">
      <c r="A2442" s="588" t="s">
        <v>298</v>
      </c>
      <c r="B2442" s="1038" t="s">
        <v>321</v>
      </c>
      <c r="C2442" s="1039"/>
      <c r="D2442" s="1040"/>
      <c r="E2442" s="23" t="s">
        <v>290</v>
      </c>
      <c r="F2442" s="23" t="s">
        <v>322</v>
      </c>
      <c r="G2442" s="1034" t="s">
        <v>323</v>
      </c>
      <c r="H2442" s="1035"/>
      <c r="I2442" s="500" t="s">
        <v>1125</v>
      </c>
      <c r="J2442" s="509" t="s">
        <v>299</v>
      </c>
      <c r="K2442" s="1012" t="s">
        <v>292</v>
      </c>
      <c r="L2442" s="1013"/>
      <c r="M2442" s="363"/>
      <c r="N2442" s="203"/>
      <c r="O2442" s="205"/>
      <c r="P2442" s="171"/>
      <c r="Q2442" s="171"/>
      <c r="R2442" s="171"/>
      <c r="S2442" s="51"/>
      <c r="T2442" s="208"/>
      <c r="U2442" s="208"/>
      <c r="V2442" s="208"/>
      <c r="W2442" s="208"/>
      <c r="X2442" s="208"/>
    </row>
    <row r="2443" spans="1:24" s="208" customFormat="1" ht="30" customHeight="1" x14ac:dyDescent="0.35">
      <c r="A2443" s="241" t="s">
        <v>1229</v>
      </c>
      <c r="B2443" s="1082" t="s">
        <v>1237</v>
      </c>
      <c r="C2443" s="1083"/>
      <c r="D2443" s="1093"/>
      <c r="E2443" s="453">
        <v>86.5</v>
      </c>
      <c r="F2443" s="446" t="s">
        <v>8</v>
      </c>
      <c r="G2443" s="171"/>
      <c r="H2443" s="446"/>
      <c r="I2443" s="446"/>
      <c r="J2443" s="446">
        <f>(1.01+1.05)/2</f>
        <v>1.03</v>
      </c>
      <c r="K2443" s="453">
        <f>+E2443*J2443</f>
        <v>89.094999999999999</v>
      </c>
      <c r="L2443" s="243" t="s">
        <v>8</v>
      </c>
      <c r="M2443" s="363"/>
      <c r="N2443" s="203"/>
      <c r="O2443" s="207"/>
      <c r="P2443" s="27"/>
      <c r="Q2443" s="27"/>
      <c r="R2443" s="27"/>
      <c r="S2443" s="27"/>
      <c r="T2443" s="203"/>
      <c r="U2443" s="203"/>
      <c r="V2443" s="203"/>
      <c r="W2443" s="203"/>
      <c r="X2443" s="203"/>
    </row>
    <row r="2444" spans="1:24" ht="30" customHeight="1" x14ac:dyDescent="0.35">
      <c r="A2444" s="241" t="s">
        <v>377</v>
      </c>
      <c r="B2444" s="1082" t="s">
        <v>1238</v>
      </c>
      <c r="C2444" s="1083"/>
      <c r="D2444" s="1093"/>
      <c r="E2444" s="453">
        <f>(20.3+31.5)/2</f>
        <v>25.9</v>
      </c>
      <c r="F2444" s="446" t="s">
        <v>378</v>
      </c>
      <c r="G2444" s="745">
        <f>13*81</f>
        <v>1053</v>
      </c>
      <c r="H2444" s="659" t="s">
        <v>1239</v>
      </c>
      <c r="I2444" s="825">
        <f t="shared" ref="I2444:I2449" si="67">+E2444*G2444/$H$2441</f>
        <v>1.269619663889018</v>
      </c>
      <c r="J2444" s="446">
        <v>1.03</v>
      </c>
      <c r="K2444" s="453">
        <f t="shared" ref="K2444:K2449" si="68">+I2444*J2444</f>
        <v>1.3077082538056886</v>
      </c>
      <c r="L2444" s="243" t="s">
        <v>8</v>
      </c>
      <c r="M2444" s="173"/>
      <c r="N2444" s="208"/>
      <c r="P2444" s="208"/>
      <c r="Q2444" s="208"/>
      <c r="R2444" s="208"/>
      <c r="S2444" s="208"/>
      <c r="T2444" s="51"/>
      <c r="U2444" s="171"/>
    </row>
    <row r="2445" spans="1:24" ht="30" customHeight="1" x14ac:dyDescent="0.35">
      <c r="A2445" s="241" t="s">
        <v>377</v>
      </c>
      <c r="B2445" s="1082" t="s">
        <v>1115</v>
      </c>
      <c r="C2445" s="1083"/>
      <c r="D2445" s="1093"/>
      <c r="E2445" s="453">
        <f>(1710+2420)/2</f>
        <v>2065</v>
      </c>
      <c r="F2445" s="446" t="s">
        <v>10</v>
      </c>
      <c r="G2445" s="458">
        <v>13</v>
      </c>
      <c r="H2445" s="659" t="s">
        <v>10</v>
      </c>
      <c r="I2445" s="825">
        <f t="shared" si="67"/>
        <v>1.2497090452027373</v>
      </c>
      <c r="J2445" s="446">
        <v>1.03</v>
      </c>
      <c r="K2445" s="453">
        <f>+I2445*J2445</f>
        <v>1.2872003165588195</v>
      </c>
      <c r="L2445" s="243" t="s">
        <v>8</v>
      </c>
      <c r="M2445" s="173"/>
      <c r="N2445" s="214"/>
      <c r="T2445" s="51"/>
      <c r="U2445" s="171"/>
    </row>
    <row r="2446" spans="1:24" ht="30" customHeight="1" x14ac:dyDescent="0.35">
      <c r="A2446" s="241" t="s">
        <v>380</v>
      </c>
      <c r="B2446" s="1031" t="s">
        <v>1240</v>
      </c>
      <c r="C2446" s="1032"/>
      <c r="D2446" s="1033"/>
      <c r="E2446" s="453">
        <f>+(34.4+82)/2</f>
        <v>58.2</v>
      </c>
      <c r="F2446" s="446" t="s">
        <v>10</v>
      </c>
      <c r="G2446" s="826">
        <f>13*10</f>
        <v>130</v>
      </c>
      <c r="H2446" s="659" t="s">
        <v>6</v>
      </c>
      <c r="I2446" s="825">
        <f t="shared" si="67"/>
        <v>0.35221823937433078</v>
      </c>
      <c r="J2446" s="446">
        <v>1.03</v>
      </c>
      <c r="K2446" s="453">
        <f t="shared" si="68"/>
        <v>0.36278478655556073</v>
      </c>
      <c r="L2446" s="243" t="s">
        <v>8</v>
      </c>
      <c r="M2446" s="173"/>
      <c r="P2446" s="171"/>
      <c r="Q2446" s="171"/>
      <c r="R2446" s="171"/>
      <c r="S2446" s="51"/>
      <c r="U2446" s="171"/>
    </row>
    <row r="2447" spans="1:24" ht="30" customHeight="1" x14ac:dyDescent="0.35">
      <c r="A2447" s="241" t="s">
        <v>380</v>
      </c>
      <c r="B2447" s="516" t="s">
        <v>383</v>
      </c>
      <c r="C2447" s="570"/>
      <c r="D2447" s="571"/>
      <c r="E2447" s="453">
        <f>+(6450+12300)/2</f>
        <v>9375</v>
      </c>
      <c r="F2447" s="446" t="s">
        <v>10</v>
      </c>
      <c r="G2447" s="458">
        <v>13</v>
      </c>
      <c r="H2447" s="659" t="s">
        <v>10</v>
      </c>
      <c r="I2447" s="825">
        <f t="shared" si="67"/>
        <v>5.6736185466225963</v>
      </c>
      <c r="J2447" s="446">
        <v>1.03</v>
      </c>
      <c r="K2447" s="453">
        <f t="shared" si="68"/>
        <v>5.8438271030212743</v>
      </c>
      <c r="L2447" s="243" t="s">
        <v>8</v>
      </c>
      <c r="M2447" s="363"/>
      <c r="P2447" s="171"/>
      <c r="Q2447" s="171"/>
      <c r="R2447" s="171"/>
      <c r="S2447" s="51"/>
      <c r="T2447" s="213"/>
      <c r="U2447" s="208"/>
      <c r="V2447" s="208"/>
      <c r="W2447" s="208"/>
      <c r="X2447" s="208"/>
    </row>
    <row r="2448" spans="1:24" s="208" customFormat="1" ht="30" customHeight="1" x14ac:dyDescent="0.35">
      <c r="A2448" s="241" t="s">
        <v>380</v>
      </c>
      <c r="B2448" s="1031" t="s">
        <v>1241</v>
      </c>
      <c r="C2448" s="1032"/>
      <c r="D2448" s="1033"/>
      <c r="E2448" s="453">
        <f>+(660+1010)/2</f>
        <v>835</v>
      </c>
      <c r="F2448" s="446" t="s">
        <v>10</v>
      </c>
      <c r="G2448" s="458">
        <v>13</v>
      </c>
      <c r="H2448" s="659" t="s">
        <v>10</v>
      </c>
      <c r="I2448" s="825">
        <f t="shared" si="67"/>
        <v>0.50533029188585266</v>
      </c>
      <c r="J2448" s="446">
        <v>1.03</v>
      </c>
      <c r="K2448" s="453">
        <f t="shared" si="68"/>
        <v>0.52049020064242824</v>
      </c>
      <c r="L2448" s="243" t="s">
        <v>8</v>
      </c>
      <c r="M2448" s="173"/>
      <c r="N2448" s="13"/>
      <c r="O2448" s="205"/>
      <c r="P2448" s="203"/>
      <c r="Q2448" s="203"/>
      <c r="R2448" s="203"/>
      <c r="S2448" s="203"/>
      <c r="T2448" s="51"/>
      <c r="U2448" s="203"/>
      <c r="V2448" s="203"/>
      <c r="W2448" s="203"/>
      <c r="X2448" s="203"/>
    </row>
    <row r="2449" spans="1:24" ht="30" customHeight="1" x14ac:dyDescent="0.35">
      <c r="A2449" s="241" t="s">
        <v>380</v>
      </c>
      <c r="B2449" s="1031" t="s">
        <v>385</v>
      </c>
      <c r="C2449" s="1032"/>
      <c r="D2449" s="1033"/>
      <c r="E2449" s="453">
        <f>+(1160+3475)/2</f>
        <v>2317.5</v>
      </c>
      <c r="F2449" s="446" t="s">
        <v>10</v>
      </c>
      <c r="G2449" s="458">
        <v>13</v>
      </c>
      <c r="H2449" s="659" t="s">
        <v>10</v>
      </c>
      <c r="I2449" s="825">
        <f t="shared" si="67"/>
        <v>1.4025185047251059</v>
      </c>
      <c r="J2449" s="446">
        <v>1.03</v>
      </c>
      <c r="K2449" s="453">
        <f t="shared" si="68"/>
        <v>1.4445940598668592</v>
      </c>
      <c r="L2449" s="243" t="s">
        <v>8</v>
      </c>
      <c r="M2449" s="173"/>
      <c r="N2449" s="208"/>
      <c r="P2449" s="75"/>
      <c r="Q2449" s="75"/>
      <c r="R2449" s="75"/>
      <c r="S2449" s="213"/>
    </row>
    <row r="2450" spans="1:24" ht="30" customHeight="1" x14ac:dyDescent="0.35">
      <c r="A2450" s="241" t="s">
        <v>360</v>
      </c>
      <c r="B2450" s="1031" t="s">
        <v>1295</v>
      </c>
      <c r="C2450" s="1032"/>
      <c r="D2450" s="1032"/>
      <c r="E2450" s="453">
        <v>3.85</v>
      </c>
      <c r="F2450" s="446" t="s">
        <v>8</v>
      </c>
      <c r="G2450" s="519"/>
      <c r="H2450" s="508"/>
      <c r="I2450" s="508"/>
      <c r="J2450" s="446">
        <f>(1.01+1.05)/2</f>
        <v>1.03</v>
      </c>
      <c r="K2450" s="453">
        <f>+E2450*J2450</f>
        <v>3.9655</v>
      </c>
      <c r="L2450" s="243" t="s">
        <v>8</v>
      </c>
      <c r="M2450" s="173"/>
      <c r="P2450" s="171"/>
      <c r="Q2450" s="171"/>
      <c r="R2450" s="171"/>
      <c r="S2450" s="51"/>
    </row>
    <row r="2451" spans="1:24" ht="30" customHeight="1" x14ac:dyDescent="0.35">
      <c r="A2451" s="241"/>
      <c r="B2451" s="1059"/>
      <c r="C2451" s="1059"/>
      <c r="D2451" s="1059"/>
      <c r="E2451" s="453"/>
      <c r="F2451" s="519"/>
      <c r="G2451" s="508"/>
      <c r="H2451" s="508"/>
      <c r="I2451" s="446"/>
      <c r="J2451" s="446" t="s">
        <v>335</v>
      </c>
      <c r="K2451" s="453">
        <f>SUM(K2443:K2450)</f>
        <v>103.82710472045063</v>
      </c>
      <c r="L2451" s="243" t="s">
        <v>8</v>
      </c>
      <c r="M2451" s="173"/>
      <c r="N2451" s="13"/>
      <c r="O2451" s="203"/>
      <c r="P2451" s="218"/>
      <c r="Q2451" s="68"/>
      <c r="R2451" s="217"/>
    </row>
    <row r="2452" spans="1:24" ht="30" customHeight="1" x14ac:dyDescent="0.35">
      <c r="A2452" s="241"/>
      <c r="B2452" s="506"/>
      <c r="C2452" s="506"/>
      <c r="D2452" s="506"/>
      <c r="E2452" s="506"/>
      <c r="F2452" s="1029" t="s">
        <v>302</v>
      </c>
      <c r="G2452" s="1058" t="s">
        <v>303</v>
      </c>
      <c r="H2452" s="1058"/>
      <c r="I2452" s="1058"/>
      <c r="J2452" s="1058"/>
      <c r="K2452" s="665">
        <v>1.0900000000000001</v>
      </c>
      <c r="L2452" s="243"/>
      <c r="M2452" s="173"/>
      <c r="O2452" s="203"/>
      <c r="P2452" s="218"/>
      <c r="Q2452" s="68"/>
      <c r="R2452" s="217"/>
      <c r="T2452" s="208"/>
      <c r="U2452" s="208"/>
      <c r="V2452" s="208"/>
      <c r="W2452" s="208"/>
      <c r="X2452" s="208"/>
    </row>
    <row r="2453" spans="1:24" s="208" customFormat="1" ht="30" customHeight="1" x14ac:dyDescent="0.35">
      <c r="A2453" s="241"/>
      <c r="B2453" s="506"/>
      <c r="C2453" s="506"/>
      <c r="D2453" s="506"/>
      <c r="E2453" s="506"/>
      <c r="F2453" s="1030"/>
      <c r="G2453" s="1073" t="s">
        <v>2374</v>
      </c>
      <c r="H2453" s="1073"/>
      <c r="I2453" s="1073"/>
      <c r="J2453" s="1073"/>
      <c r="K2453" s="612">
        <v>1.08</v>
      </c>
      <c r="L2453" s="243"/>
      <c r="M2453" s="173"/>
      <c r="N2453" s="203"/>
      <c r="O2453" s="218"/>
      <c r="P2453" s="68"/>
      <c r="Q2453" s="217"/>
      <c r="R2453" s="203"/>
      <c r="S2453" s="203"/>
      <c r="T2453" s="203"/>
      <c r="U2453" s="203"/>
      <c r="V2453" s="203"/>
      <c r="W2453" s="203"/>
      <c r="X2453" s="203"/>
    </row>
    <row r="2454" spans="1:24" ht="30" customHeight="1" x14ac:dyDescent="0.35">
      <c r="A2454" s="241"/>
      <c r="B2454" s="446"/>
      <c r="C2454" s="458"/>
      <c r="D2454" s="458"/>
      <c r="E2454" s="458"/>
      <c r="F2454" s="458"/>
      <c r="G2454" s="458"/>
      <c r="H2454" s="458"/>
      <c r="I2454" s="458"/>
      <c r="J2454" s="446" t="s">
        <v>2356</v>
      </c>
      <c r="K2454" s="591">
        <f>+K2451*K2452/K2453</f>
        <v>104.78846680119554</v>
      </c>
      <c r="L2454" s="243" t="s">
        <v>8</v>
      </c>
      <c r="M2454" s="173"/>
      <c r="N2454" s="208"/>
      <c r="O2454" s="218"/>
      <c r="P2454" s="68"/>
      <c r="Q2454" s="217"/>
      <c r="R2454" s="208"/>
      <c r="S2454" s="208"/>
    </row>
    <row r="2455" spans="1:24" ht="30" customHeight="1" x14ac:dyDescent="0.35">
      <c r="A2455" s="241"/>
      <c r="B2455" s="446"/>
      <c r="C2455" s="458"/>
      <c r="D2455" s="458"/>
      <c r="E2455" s="458"/>
      <c r="F2455" s="458"/>
      <c r="G2455" s="458"/>
      <c r="H2455" s="171"/>
      <c r="I2455" s="568" t="s">
        <v>2359</v>
      </c>
      <c r="J2455" s="583">
        <f>VLOOKUP(B2441,'Mil Cost Premiums for PUCs'!$A$4:$R$272,18,FALSE)</f>
        <v>1.168693068754227</v>
      </c>
      <c r="K2455" s="591">
        <f>+K2454*J2455</f>
        <v>122.46555483593964</v>
      </c>
      <c r="L2455" s="243" t="s">
        <v>8</v>
      </c>
      <c r="M2455" s="173"/>
      <c r="O2455" s="218"/>
      <c r="P2455" s="68"/>
      <c r="Q2455" s="217"/>
    </row>
    <row r="2456" spans="1:24" ht="60" customHeight="1" x14ac:dyDescent="0.35">
      <c r="A2456" s="1064" t="s">
        <v>305</v>
      </c>
      <c r="B2456" s="1065"/>
      <c r="C2456" s="1065"/>
      <c r="D2456" s="1065"/>
      <c r="E2456" s="1065"/>
      <c r="F2456" s="1065"/>
      <c r="G2456" s="1065"/>
      <c r="H2456" s="1065"/>
      <c r="I2456" s="1065"/>
      <c r="J2456" s="1065"/>
      <c r="K2456" s="1065"/>
      <c r="L2456" s="1066"/>
      <c r="M2456" s="173"/>
      <c r="O2456" s="218"/>
      <c r="P2456" s="68"/>
      <c r="Q2456" s="217"/>
    </row>
    <row r="2457" spans="1:24" ht="30" customHeight="1" x14ac:dyDescent="0.35">
      <c r="A2457" s="1077" t="s">
        <v>306</v>
      </c>
      <c r="B2457" s="1042"/>
      <c r="C2457" s="1043"/>
      <c r="D2457" s="1067" t="s">
        <v>1242</v>
      </c>
      <c r="E2457" s="1065"/>
      <c r="F2457" s="1065"/>
      <c r="G2457" s="1065"/>
      <c r="H2457" s="1065"/>
      <c r="I2457" s="1065"/>
      <c r="J2457" s="1065"/>
      <c r="K2457" s="1065"/>
      <c r="L2457" s="1066"/>
      <c r="M2457" s="173"/>
      <c r="O2457" s="218"/>
      <c r="P2457" s="68"/>
      <c r="Q2457" s="217"/>
    </row>
    <row r="2458" spans="1:24" ht="45" customHeight="1" x14ac:dyDescent="0.35">
      <c r="A2458" s="1077" t="s">
        <v>307</v>
      </c>
      <c r="B2458" s="1042"/>
      <c r="C2458" s="1043"/>
      <c r="D2458" s="1067" t="s">
        <v>1243</v>
      </c>
      <c r="E2458" s="1065"/>
      <c r="F2458" s="1065"/>
      <c r="G2458" s="1065"/>
      <c r="H2458" s="1065"/>
      <c r="I2458" s="1065"/>
      <c r="J2458" s="1065"/>
      <c r="K2458" s="1065"/>
      <c r="L2458" s="1066"/>
      <c r="M2458" s="173"/>
      <c r="O2458" s="218"/>
      <c r="P2458" s="68"/>
      <c r="Q2458" s="217"/>
    </row>
    <row r="2459" spans="1:24" ht="30" customHeight="1" x14ac:dyDescent="0.35">
      <c r="A2459" s="1077" t="s">
        <v>308</v>
      </c>
      <c r="B2459" s="1042"/>
      <c r="C2459" s="1043"/>
      <c r="D2459" s="1067" t="s">
        <v>3045</v>
      </c>
      <c r="E2459" s="1065"/>
      <c r="F2459" s="1065"/>
      <c r="G2459" s="1065"/>
      <c r="H2459" s="1065"/>
      <c r="I2459" s="1065"/>
      <c r="J2459" s="1065"/>
      <c r="K2459" s="1065"/>
      <c r="L2459" s="1066"/>
      <c r="M2459" s="173"/>
      <c r="O2459" s="218"/>
      <c r="P2459" s="68"/>
      <c r="Q2459" s="217"/>
    </row>
    <row r="2460" spans="1:24" ht="45" customHeight="1" x14ac:dyDescent="0.35">
      <c r="A2460" s="1077" t="s">
        <v>309</v>
      </c>
      <c r="B2460" s="1042"/>
      <c r="C2460" s="1043"/>
      <c r="D2460" s="1067" t="s">
        <v>1244</v>
      </c>
      <c r="E2460" s="1065"/>
      <c r="F2460" s="1065"/>
      <c r="G2460" s="1065"/>
      <c r="H2460" s="1065"/>
      <c r="I2460" s="1065"/>
      <c r="J2460" s="1065"/>
      <c r="K2460" s="1065"/>
      <c r="L2460" s="1066"/>
      <c r="M2460" s="173"/>
      <c r="O2460" s="218"/>
      <c r="P2460" s="68"/>
      <c r="Q2460" s="217"/>
    </row>
    <row r="2461" spans="1:24" ht="60" customHeight="1" x14ac:dyDescent="0.35">
      <c r="A2461" s="1077" t="s">
        <v>311</v>
      </c>
      <c r="B2461" s="1042"/>
      <c r="C2461" s="1043"/>
      <c r="D2461" s="1067" t="s">
        <v>2599</v>
      </c>
      <c r="E2461" s="1065"/>
      <c r="F2461" s="1065"/>
      <c r="G2461" s="1065"/>
      <c r="H2461" s="1065"/>
      <c r="I2461" s="1065"/>
      <c r="J2461" s="1065"/>
      <c r="K2461" s="1065"/>
      <c r="L2461" s="1066"/>
      <c r="M2461" s="173"/>
      <c r="O2461" s="218"/>
      <c r="P2461" s="68"/>
      <c r="Q2461" s="217"/>
    </row>
    <row r="2462" spans="1:24" ht="30" customHeight="1" x14ac:dyDescent="0.35">
      <c r="A2462" s="1077" t="s">
        <v>313</v>
      </c>
      <c r="B2462" s="1042"/>
      <c r="C2462" s="1043"/>
      <c r="D2462" s="1067" t="s">
        <v>388</v>
      </c>
      <c r="E2462" s="1065"/>
      <c r="F2462" s="1065"/>
      <c r="G2462" s="1065"/>
      <c r="H2462" s="1065"/>
      <c r="I2462" s="1065"/>
      <c r="J2462" s="1065"/>
      <c r="K2462" s="1065"/>
      <c r="L2462" s="1066"/>
      <c r="M2462" s="173"/>
      <c r="O2462" s="218"/>
      <c r="P2462" s="68"/>
      <c r="Q2462" s="217"/>
    </row>
    <row r="2463" spans="1:24" ht="30" customHeight="1" x14ac:dyDescent="0.35">
      <c r="A2463" s="1077" t="s">
        <v>315</v>
      </c>
      <c r="B2463" s="1042"/>
      <c r="C2463" s="1043"/>
      <c r="D2463" s="1067" t="s">
        <v>1245</v>
      </c>
      <c r="E2463" s="1065"/>
      <c r="F2463" s="1065"/>
      <c r="G2463" s="1065"/>
      <c r="H2463" s="1065"/>
      <c r="I2463" s="1065"/>
      <c r="J2463" s="1065"/>
      <c r="K2463" s="1065"/>
      <c r="L2463" s="1066"/>
      <c r="M2463" s="173"/>
      <c r="O2463" s="218"/>
      <c r="P2463" s="68"/>
      <c r="Q2463" s="217"/>
    </row>
    <row r="2464" spans="1:24" ht="75" customHeight="1" x14ac:dyDescent="0.35">
      <c r="A2464" s="1077" t="s">
        <v>316</v>
      </c>
      <c r="B2464" s="1042"/>
      <c r="C2464" s="1043"/>
      <c r="D2464" s="1067" t="s">
        <v>373</v>
      </c>
      <c r="E2464" s="1065"/>
      <c r="F2464" s="1065"/>
      <c r="G2464" s="1065"/>
      <c r="H2464" s="1065"/>
      <c r="I2464" s="1065"/>
      <c r="J2464" s="1065"/>
      <c r="K2464" s="1065"/>
      <c r="L2464" s="1066"/>
      <c r="M2464" s="173"/>
      <c r="N2464" s="419"/>
      <c r="O2464" s="171"/>
      <c r="P2464" s="216"/>
      <c r="Q2464" s="419"/>
      <c r="R2464" s="219"/>
    </row>
    <row r="2465" spans="1:24" ht="75" customHeight="1" thickBot="1" x14ac:dyDescent="0.4">
      <c r="A2465" s="1078" t="s">
        <v>318</v>
      </c>
      <c r="B2465" s="1079"/>
      <c r="C2465" s="1080"/>
      <c r="D2465" s="1068" t="s">
        <v>3046</v>
      </c>
      <c r="E2465" s="1069"/>
      <c r="F2465" s="1069"/>
      <c r="G2465" s="1069"/>
      <c r="H2465" s="1069"/>
      <c r="I2465" s="1069"/>
      <c r="J2465" s="1069"/>
      <c r="K2465" s="1069"/>
      <c r="L2465" s="1070"/>
      <c r="M2465" s="173"/>
      <c r="N2465" s="419"/>
      <c r="O2465" s="171"/>
      <c r="P2465" s="216"/>
      <c r="Q2465" s="419"/>
      <c r="R2465" s="219"/>
    </row>
    <row r="2466" spans="1:24" ht="30" customHeight="1" thickBot="1" x14ac:dyDescent="0.4">
      <c r="A2466" s="1086"/>
      <c r="B2466" s="1087"/>
      <c r="C2466" s="1087"/>
      <c r="D2466" s="1087"/>
      <c r="E2466" s="1087"/>
      <c r="F2466" s="1087"/>
      <c r="G2466" s="1087"/>
      <c r="H2466" s="1087"/>
      <c r="I2466" s="1087"/>
      <c r="J2466" s="1087"/>
      <c r="K2466" s="1087"/>
      <c r="L2466" s="1088"/>
      <c r="M2466" s="173"/>
      <c r="O2466" s="218"/>
      <c r="P2466" s="68"/>
      <c r="Q2466" s="217"/>
    </row>
    <row r="2467" spans="1:24" ht="30" customHeight="1" x14ac:dyDescent="0.35">
      <c r="A2467" s="465" t="s">
        <v>278</v>
      </c>
      <c r="B2467" s="539">
        <v>4421</v>
      </c>
      <c r="C2467" s="1060" t="s">
        <v>1246</v>
      </c>
      <c r="D2467" s="1061"/>
      <c r="E2467" s="541" t="s">
        <v>280</v>
      </c>
      <c r="F2467" s="542" t="s">
        <v>8</v>
      </c>
      <c r="G2467" s="543" t="s">
        <v>285</v>
      </c>
      <c r="H2467" s="558">
        <v>7335</v>
      </c>
      <c r="I2467" s="541" t="s">
        <v>281</v>
      </c>
      <c r="J2467" s="1019" t="s">
        <v>2637</v>
      </c>
      <c r="K2467" s="1019"/>
      <c r="L2467" s="1020"/>
      <c r="M2467" s="173"/>
      <c r="O2467" s="218"/>
      <c r="P2467" s="68"/>
      <c r="Q2467" s="217"/>
    </row>
    <row r="2468" spans="1:24" ht="30" customHeight="1" x14ac:dyDescent="0.35">
      <c r="A2468" s="545" t="s">
        <v>288</v>
      </c>
      <c r="B2468" s="1051" t="s">
        <v>282</v>
      </c>
      <c r="C2468" s="1051"/>
      <c r="D2468" s="1051"/>
      <c r="E2468" s="530" t="s">
        <v>289</v>
      </c>
      <c r="F2468" s="561" t="s">
        <v>290</v>
      </c>
      <c r="G2468" s="509"/>
      <c r="H2468" s="509"/>
      <c r="I2468" s="1052" t="s">
        <v>405</v>
      </c>
      <c r="J2468" s="1053"/>
      <c r="K2468" s="1012" t="s">
        <v>292</v>
      </c>
      <c r="L2468" s="1013"/>
      <c r="M2468" s="173"/>
      <c r="N2468" s="68"/>
      <c r="O2468" s="203"/>
      <c r="P2468" s="218"/>
      <c r="Q2468" s="68"/>
      <c r="R2468" s="217"/>
    </row>
    <row r="2469" spans="1:24" ht="30" customHeight="1" x14ac:dyDescent="0.35">
      <c r="A2469" s="562" t="s">
        <v>293</v>
      </c>
      <c r="B2469" s="1057" t="s">
        <v>1247</v>
      </c>
      <c r="C2469" s="1057"/>
      <c r="D2469" s="1057"/>
      <c r="E2469" s="563">
        <v>8600</v>
      </c>
      <c r="F2469" s="444">
        <v>325</v>
      </c>
      <c r="G2469" s="442"/>
      <c r="H2469" s="17"/>
      <c r="I2469" s="1044" t="s">
        <v>2638</v>
      </c>
      <c r="J2469" s="1045"/>
      <c r="K2469" s="444">
        <f>+F2469</f>
        <v>325</v>
      </c>
      <c r="L2469" s="564" t="s">
        <v>8</v>
      </c>
      <c r="M2469" s="173"/>
      <c r="N2469" s="68"/>
      <c r="O2469" s="203"/>
      <c r="P2469" s="218"/>
      <c r="Q2469" s="68"/>
      <c r="R2469" s="217"/>
    </row>
    <row r="2470" spans="1:24" ht="30" customHeight="1" thickBot="1" x14ac:dyDescent="0.4">
      <c r="A2470" s="241"/>
      <c r="B2470" s="1059"/>
      <c r="C2470" s="1059"/>
      <c r="D2470" s="1059"/>
      <c r="E2470" s="565"/>
      <c r="F2470" s="566"/>
      <c r="G2470" s="566"/>
      <c r="H2470" s="567"/>
      <c r="I2470" s="458"/>
      <c r="J2470" s="510" t="s">
        <v>2356</v>
      </c>
      <c r="K2470" s="585">
        <f>+K2469</f>
        <v>325</v>
      </c>
      <c r="L2470" s="243" t="s">
        <v>8</v>
      </c>
      <c r="M2470" s="173"/>
      <c r="N2470" s="68"/>
      <c r="O2470" s="203"/>
      <c r="P2470" s="218"/>
      <c r="Q2470" s="68"/>
      <c r="R2470" s="217"/>
    </row>
    <row r="2471" spans="1:24" ht="30" customHeight="1" thickBot="1" x14ac:dyDescent="0.4">
      <c r="A2471" s="481"/>
      <c r="B2471" s="482"/>
      <c r="C2471" s="482"/>
      <c r="D2471" s="482"/>
      <c r="E2471" s="482"/>
      <c r="F2471" s="482"/>
      <c r="G2471" s="482"/>
      <c r="H2471" s="482"/>
      <c r="I2471" s="482"/>
      <c r="J2471" s="482"/>
      <c r="K2471" s="482"/>
      <c r="L2471" s="483"/>
      <c r="M2471" s="173"/>
      <c r="N2471" s="68"/>
      <c r="O2471" s="203"/>
      <c r="P2471" s="218"/>
      <c r="Q2471" s="68"/>
      <c r="R2471" s="217"/>
    </row>
    <row r="2472" spans="1:24" ht="30" customHeight="1" x14ac:dyDescent="0.35">
      <c r="A2472" s="465" t="s">
        <v>278</v>
      </c>
      <c r="B2472" s="539">
        <v>4422</v>
      </c>
      <c r="C2472" s="1060" t="s">
        <v>1248</v>
      </c>
      <c r="D2472" s="1061"/>
      <c r="E2472" s="541" t="s">
        <v>280</v>
      </c>
      <c r="F2472" s="542" t="s">
        <v>8</v>
      </c>
      <c r="G2472" s="543" t="s">
        <v>285</v>
      </c>
      <c r="H2472" s="558">
        <v>2880</v>
      </c>
      <c r="I2472" s="541" t="s">
        <v>281</v>
      </c>
      <c r="J2472" s="1019" t="s">
        <v>2372</v>
      </c>
      <c r="K2472" s="1019"/>
      <c r="L2472" s="1020"/>
      <c r="M2472" s="173"/>
      <c r="N2472" s="68"/>
      <c r="O2472" s="203"/>
      <c r="P2472" s="218"/>
      <c r="Q2472" s="68"/>
      <c r="R2472" s="217"/>
    </row>
    <row r="2473" spans="1:24" ht="30" customHeight="1" x14ac:dyDescent="0.35">
      <c r="A2473" s="545" t="s">
        <v>288</v>
      </c>
      <c r="B2473" s="1051" t="s">
        <v>282</v>
      </c>
      <c r="C2473" s="1051"/>
      <c r="D2473" s="1051"/>
      <c r="E2473" s="530" t="s">
        <v>289</v>
      </c>
      <c r="F2473" s="561" t="s">
        <v>290</v>
      </c>
      <c r="G2473" s="509"/>
      <c r="H2473" s="509"/>
      <c r="I2473" s="1052" t="s">
        <v>405</v>
      </c>
      <c r="J2473" s="1053"/>
      <c r="K2473" s="1012" t="s">
        <v>292</v>
      </c>
      <c r="L2473" s="1013"/>
      <c r="M2473" s="173"/>
      <c r="N2473" s="68"/>
      <c r="O2473" s="203"/>
      <c r="P2473" s="218"/>
      <c r="Q2473" s="68"/>
      <c r="R2473" s="217"/>
    </row>
    <row r="2474" spans="1:24" ht="30" customHeight="1" x14ac:dyDescent="0.35">
      <c r="A2474" s="562">
        <v>44222</v>
      </c>
      <c r="B2474" s="1057" t="s">
        <v>1249</v>
      </c>
      <c r="C2474" s="1057"/>
      <c r="D2474" s="1057"/>
      <c r="E2474" s="563">
        <v>2250</v>
      </c>
      <c r="F2474" s="444">
        <v>77</v>
      </c>
      <c r="G2474" s="442"/>
      <c r="H2474" s="17"/>
      <c r="I2474" s="1044">
        <f>+'2021 MILCON Inflation Table'!F19</f>
        <v>0.96211202832457809</v>
      </c>
      <c r="J2474" s="1045"/>
      <c r="K2474" s="444">
        <f>+F2474*I2474</f>
        <v>74.08262618099252</v>
      </c>
      <c r="L2474" s="564" t="s">
        <v>8</v>
      </c>
      <c r="M2474" s="173"/>
      <c r="N2474" s="68"/>
      <c r="O2474" s="203"/>
      <c r="P2474" s="218"/>
      <c r="Q2474" s="68"/>
      <c r="R2474" s="217"/>
    </row>
    <row r="2475" spans="1:24" ht="30" customHeight="1" thickBot="1" x14ac:dyDescent="0.4">
      <c r="A2475" s="241"/>
      <c r="B2475" s="1259"/>
      <c r="C2475" s="1259"/>
      <c r="D2475" s="1259"/>
      <c r="E2475" s="565"/>
      <c r="F2475" s="566"/>
      <c r="G2475" s="566"/>
      <c r="H2475" s="567"/>
      <c r="I2475" s="458"/>
      <c r="J2475" s="510" t="s">
        <v>2356</v>
      </c>
      <c r="K2475" s="585">
        <f>+K2474</f>
        <v>74.08262618099252</v>
      </c>
      <c r="L2475" s="243" t="s">
        <v>8</v>
      </c>
      <c r="M2475" s="173"/>
      <c r="N2475" s="68"/>
      <c r="O2475" s="203"/>
      <c r="P2475" s="218"/>
      <c r="Q2475" s="68"/>
      <c r="R2475" s="217"/>
    </row>
    <row r="2476" spans="1:24" ht="30" customHeight="1" thickBot="1" x14ac:dyDescent="0.4">
      <c r="A2476" s="1086"/>
      <c r="B2476" s="1087"/>
      <c r="C2476" s="1087"/>
      <c r="D2476" s="1087"/>
      <c r="E2476" s="1087"/>
      <c r="F2476" s="1087"/>
      <c r="G2476" s="1087"/>
      <c r="H2476" s="1087"/>
      <c r="I2476" s="1087"/>
      <c r="J2476" s="1087"/>
      <c r="K2476" s="1087"/>
      <c r="L2476" s="1088"/>
      <c r="M2476" s="173"/>
      <c r="N2476" s="68"/>
      <c r="O2476" s="203"/>
      <c r="P2476" s="218"/>
      <c r="Q2476" s="68"/>
      <c r="R2476" s="217"/>
    </row>
    <row r="2477" spans="1:24" ht="30" customHeight="1" x14ac:dyDescent="0.35">
      <c r="A2477" s="465" t="s">
        <v>278</v>
      </c>
      <c r="B2477" s="539">
        <v>4423</v>
      </c>
      <c r="C2477" s="1017" t="s">
        <v>1250</v>
      </c>
      <c r="D2477" s="1018"/>
      <c r="E2477" s="541" t="s">
        <v>280</v>
      </c>
      <c r="F2477" s="542" t="s">
        <v>8</v>
      </c>
      <c r="G2477" s="543" t="s">
        <v>285</v>
      </c>
      <c r="H2477" s="558">
        <v>1394</v>
      </c>
      <c r="I2477" s="541" t="s">
        <v>281</v>
      </c>
      <c r="J2477" s="1019" t="s">
        <v>2372</v>
      </c>
      <c r="K2477" s="1019"/>
      <c r="L2477" s="1020"/>
      <c r="M2477" s="173"/>
      <c r="N2477" s="68"/>
      <c r="O2477" s="203"/>
      <c r="P2477" s="218"/>
      <c r="Q2477" s="68"/>
      <c r="R2477" s="217"/>
    </row>
    <row r="2478" spans="1:24" ht="30" customHeight="1" x14ac:dyDescent="0.35">
      <c r="A2478" s="545" t="s">
        <v>288</v>
      </c>
      <c r="B2478" s="1051" t="s">
        <v>282</v>
      </c>
      <c r="C2478" s="1051"/>
      <c r="D2478" s="1051"/>
      <c r="E2478" s="509" t="s">
        <v>289</v>
      </c>
      <c r="F2478" s="561" t="s">
        <v>290</v>
      </c>
      <c r="G2478" s="1052"/>
      <c r="H2478" s="1053"/>
      <c r="I2478" s="1052" t="s">
        <v>405</v>
      </c>
      <c r="J2478" s="1053"/>
      <c r="K2478" s="1012" t="s">
        <v>292</v>
      </c>
      <c r="L2478" s="1013"/>
      <c r="M2478" s="173"/>
      <c r="N2478" s="68"/>
      <c r="O2478" s="203"/>
      <c r="P2478" s="218"/>
      <c r="Q2478" s="68"/>
      <c r="R2478" s="217"/>
      <c r="T2478" s="208"/>
      <c r="U2478" s="208"/>
      <c r="V2478" s="208"/>
      <c r="W2478" s="208"/>
      <c r="X2478" s="208"/>
    </row>
    <row r="2479" spans="1:24" s="208" customFormat="1" ht="30" customHeight="1" x14ac:dyDescent="0.35">
      <c r="A2479" s="546">
        <v>44135</v>
      </c>
      <c r="B2479" s="1116" t="s">
        <v>1251</v>
      </c>
      <c r="C2479" s="1042"/>
      <c r="D2479" s="1043"/>
      <c r="E2479" s="772">
        <v>373</v>
      </c>
      <c r="F2479" s="827">
        <v>368</v>
      </c>
      <c r="G2479" s="1282"/>
      <c r="H2479" s="1307"/>
      <c r="I2479" s="1044">
        <f>+'2021 MILCON Inflation Table'!F19</f>
        <v>0.96211202832457809</v>
      </c>
      <c r="J2479" s="1045"/>
      <c r="K2479" s="709">
        <f>+F2479*I2479</f>
        <v>354.05722642344472</v>
      </c>
      <c r="L2479" s="698" t="s">
        <v>8</v>
      </c>
      <c r="M2479" s="173"/>
      <c r="N2479" s="68"/>
      <c r="O2479" s="203"/>
      <c r="P2479" s="218"/>
      <c r="Q2479" s="68"/>
      <c r="R2479" s="217"/>
      <c r="S2479" s="203"/>
      <c r="T2479" s="203"/>
      <c r="U2479" s="203"/>
      <c r="V2479" s="203"/>
      <c r="W2479" s="203"/>
      <c r="X2479" s="203"/>
    </row>
    <row r="2480" spans="1:24" ht="30" customHeight="1" thickBot="1" x14ac:dyDescent="0.4">
      <c r="A2480" s="241"/>
      <c r="B2480" s="1259" t="s">
        <v>2238</v>
      </c>
      <c r="C2480" s="1259"/>
      <c r="D2480" s="1259"/>
      <c r="E2480" s="565"/>
      <c r="F2480" s="566"/>
      <c r="G2480" s="566"/>
      <c r="H2480" s="567"/>
      <c r="I2480" s="458"/>
      <c r="J2480" s="510" t="s">
        <v>2356</v>
      </c>
      <c r="K2480" s="459">
        <f>+K2479</f>
        <v>354.05722642344472</v>
      </c>
      <c r="L2480" s="243" t="s">
        <v>8</v>
      </c>
      <c r="M2480" s="173"/>
      <c r="N2480" s="68"/>
      <c r="O2480" s="208"/>
      <c r="P2480" s="218"/>
      <c r="Q2480" s="68"/>
      <c r="R2480" s="217"/>
      <c r="S2480" s="208"/>
    </row>
    <row r="2481" spans="1:24" ht="30" customHeight="1" thickBot="1" x14ac:dyDescent="0.4">
      <c r="A2481" s="1086"/>
      <c r="B2481" s="1087"/>
      <c r="C2481" s="1087"/>
      <c r="D2481" s="1087"/>
      <c r="E2481" s="1087"/>
      <c r="F2481" s="1087"/>
      <c r="G2481" s="1087"/>
      <c r="H2481" s="1087"/>
      <c r="I2481" s="1087"/>
      <c r="J2481" s="1087"/>
      <c r="K2481" s="1087"/>
      <c r="L2481" s="1088"/>
      <c r="M2481" s="173"/>
      <c r="N2481" s="68"/>
      <c r="O2481" s="203"/>
      <c r="P2481" s="218"/>
      <c r="Q2481" s="68"/>
      <c r="R2481" s="217"/>
    </row>
    <row r="2482" spans="1:24" ht="30" customHeight="1" x14ac:dyDescent="0.35">
      <c r="A2482" s="593" t="s">
        <v>278</v>
      </c>
      <c r="B2482" s="433">
        <v>4424</v>
      </c>
      <c r="C2482" s="1054" t="s">
        <v>1236</v>
      </c>
      <c r="D2482" s="1054"/>
      <c r="E2482" s="434" t="s">
        <v>280</v>
      </c>
      <c r="F2482" s="435" t="s">
        <v>8</v>
      </c>
      <c r="G2482" s="543" t="s">
        <v>285</v>
      </c>
      <c r="H2482" s="789">
        <v>21319</v>
      </c>
      <c r="I2482" s="541" t="s">
        <v>281</v>
      </c>
      <c r="J2482" s="1019" t="s">
        <v>2371</v>
      </c>
      <c r="K2482" s="1019"/>
      <c r="L2482" s="1020"/>
      <c r="M2482" s="173"/>
      <c r="N2482" s="68"/>
      <c r="O2482" s="203"/>
      <c r="P2482" s="218"/>
      <c r="Q2482" s="68"/>
      <c r="R2482" s="217"/>
    </row>
    <row r="2483" spans="1:24" ht="30" customHeight="1" x14ac:dyDescent="0.35">
      <c r="A2483" s="588" t="s">
        <v>298</v>
      </c>
      <c r="B2483" s="1038" t="s">
        <v>321</v>
      </c>
      <c r="C2483" s="1039"/>
      <c r="D2483" s="1040"/>
      <c r="E2483" s="23" t="s">
        <v>290</v>
      </c>
      <c r="F2483" s="23" t="s">
        <v>322</v>
      </c>
      <c r="G2483" s="828" t="s">
        <v>1252</v>
      </c>
      <c r="H2483" s="829" t="s">
        <v>1253</v>
      </c>
      <c r="I2483" s="500" t="s">
        <v>1125</v>
      </c>
      <c r="J2483" s="509" t="s">
        <v>299</v>
      </c>
      <c r="K2483" s="1012" t="s">
        <v>292</v>
      </c>
      <c r="L2483" s="1013"/>
      <c r="M2483" s="173"/>
      <c r="N2483" s="68"/>
      <c r="O2483" s="203"/>
      <c r="P2483" s="218"/>
      <c r="Q2483" s="68"/>
      <c r="R2483" s="217"/>
    </row>
    <row r="2484" spans="1:24" ht="30" customHeight="1" x14ac:dyDescent="0.35">
      <c r="A2484" s="241" t="s">
        <v>1229</v>
      </c>
      <c r="B2484" s="1082" t="s">
        <v>1237</v>
      </c>
      <c r="C2484" s="1083"/>
      <c r="D2484" s="1093"/>
      <c r="E2484" s="453">
        <v>82</v>
      </c>
      <c r="F2484" s="446" t="s">
        <v>8</v>
      </c>
      <c r="G2484" s="454"/>
      <c r="H2484" s="171"/>
      <c r="I2484" s="446"/>
      <c r="J2484" s="446">
        <f>(1.01+1.05)/2</f>
        <v>1.03</v>
      </c>
      <c r="K2484" s="453">
        <f>+E2484*J2484</f>
        <v>84.460000000000008</v>
      </c>
      <c r="L2484" s="243" t="s">
        <v>8</v>
      </c>
      <c r="M2484" s="173"/>
      <c r="N2484" s="419"/>
      <c r="O2484" s="171"/>
      <c r="P2484" s="216"/>
      <c r="Q2484" s="419"/>
      <c r="R2484" s="219"/>
    </row>
    <row r="2485" spans="1:24" ht="30" customHeight="1" x14ac:dyDescent="0.35">
      <c r="A2485" s="241" t="s">
        <v>377</v>
      </c>
      <c r="B2485" s="1082" t="s">
        <v>1254</v>
      </c>
      <c r="C2485" s="1083"/>
      <c r="D2485" s="1093"/>
      <c r="E2485" s="453">
        <f>(20.3+31.5)/2</f>
        <v>25.9</v>
      </c>
      <c r="F2485" s="446" t="s">
        <v>1255</v>
      </c>
      <c r="G2485" s="830">
        <f>+E2485/H2482</f>
        <v>1.2148787466579108E-3</v>
      </c>
      <c r="H2485" s="458">
        <f>6*81</f>
        <v>486</v>
      </c>
      <c r="I2485" s="825">
        <f>+G2485*$H2485</f>
        <v>0.59043107087574465</v>
      </c>
      <c r="J2485" s="446">
        <v>1.03</v>
      </c>
      <c r="K2485" s="453">
        <f t="shared" ref="K2485:K2490" si="69">+I2485*J2485</f>
        <v>0.60814400300201699</v>
      </c>
      <c r="L2485" s="243" t="s">
        <v>8</v>
      </c>
      <c r="M2485" s="173"/>
      <c r="N2485" s="419"/>
      <c r="O2485" s="171"/>
      <c r="P2485" s="216"/>
      <c r="Q2485" s="419"/>
      <c r="R2485" s="219"/>
    </row>
    <row r="2486" spans="1:24" ht="30" customHeight="1" x14ac:dyDescent="0.35">
      <c r="A2486" s="241" t="s">
        <v>377</v>
      </c>
      <c r="B2486" s="1082" t="s">
        <v>1256</v>
      </c>
      <c r="C2486" s="1083"/>
      <c r="D2486" s="1093"/>
      <c r="E2486" s="453">
        <f>(1710+2420)/2</f>
        <v>2065</v>
      </c>
      <c r="F2486" s="446" t="s">
        <v>10</v>
      </c>
      <c r="G2486" s="831">
        <f>+E2486/H2482</f>
        <v>9.6861954125428015E-2</v>
      </c>
      <c r="H2486" s="458">
        <v>6</v>
      </c>
      <c r="I2486" s="825">
        <f>+G2486*$H2486</f>
        <v>0.58117172475256806</v>
      </c>
      <c r="J2486" s="446">
        <v>1.03</v>
      </c>
      <c r="K2486" s="453">
        <f t="shared" si="69"/>
        <v>0.5986068764951451</v>
      </c>
      <c r="L2486" s="243" t="s">
        <v>8</v>
      </c>
      <c r="M2486" s="173"/>
      <c r="N2486" s="68"/>
      <c r="O2486" s="203"/>
      <c r="P2486" s="218"/>
      <c r="Q2486" s="68"/>
      <c r="R2486" s="217"/>
    </row>
    <row r="2487" spans="1:24" ht="30" customHeight="1" x14ac:dyDescent="0.35">
      <c r="A2487" s="241" t="s">
        <v>380</v>
      </c>
      <c r="B2487" s="1031" t="s">
        <v>1240</v>
      </c>
      <c r="C2487" s="1032"/>
      <c r="D2487" s="1033"/>
      <c r="E2487" s="453">
        <f>+(34.5+82)/2</f>
        <v>58.25</v>
      </c>
      <c r="F2487" s="446" t="s">
        <v>10</v>
      </c>
      <c r="G2487" s="831">
        <f>+E2487/$H$2482</f>
        <v>2.7323045170974248E-3</v>
      </c>
      <c r="H2487" s="458">
        <v>6</v>
      </c>
      <c r="I2487" s="825">
        <f>+G2487*H2487</f>
        <v>1.6393827102584548E-2</v>
      </c>
      <c r="J2487" s="446">
        <v>1.03</v>
      </c>
      <c r="K2487" s="453">
        <f t="shared" si="69"/>
        <v>1.6885641915662084E-2</v>
      </c>
      <c r="L2487" s="243" t="s">
        <v>8</v>
      </c>
      <c r="M2487" s="173"/>
      <c r="N2487" s="68"/>
      <c r="O2487" s="203"/>
      <c r="P2487" s="218"/>
      <c r="Q2487" s="68"/>
      <c r="R2487" s="217"/>
    </row>
    <row r="2488" spans="1:24" ht="30" customHeight="1" x14ac:dyDescent="0.35">
      <c r="A2488" s="241" t="s">
        <v>380</v>
      </c>
      <c r="B2488" s="516" t="s">
        <v>383</v>
      </c>
      <c r="C2488" s="570"/>
      <c r="D2488" s="571"/>
      <c r="E2488" s="453">
        <f>+(6450+12300)/2</f>
        <v>9375</v>
      </c>
      <c r="F2488" s="446" t="s">
        <v>10</v>
      </c>
      <c r="G2488" s="831">
        <f>+E2488/$H$2482</f>
        <v>0.4397485810779117</v>
      </c>
      <c r="H2488" s="458">
        <v>6</v>
      </c>
      <c r="I2488" s="825">
        <f>+G2488*H2488</f>
        <v>2.63849148646747</v>
      </c>
      <c r="J2488" s="446">
        <v>1.03</v>
      </c>
      <c r="K2488" s="453">
        <f t="shared" si="69"/>
        <v>2.7176462310614942</v>
      </c>
      <c r="L2488" s="243" t="s">
        <v>8</v>
      </c>
      <c r="M2488" s="363"/>
      <c r="N2488" s="68"/>
      <c r="O2488" s="203"/>
      <c r="P2488" s="218"/>
      <c r="Q2488" s="68"/>
      <c r="R2488" s="217"/>
      <c r="T2488" s="208"/>
      <c r="U2488" s="208"/>
      <c r="V2488" s="208"/>
      <c r="W2488" s="208"/>
      <c r="X2488" s="208"/>
    </row>
    <row r="2489" spans="1:24" s="208" customFormat="1" ht="30" customHeight="1" x14ac:dyDescent="0.35">
      <c r="A2489" s="241" t="s">
        <v>380</v>
      </c>
      <c r="B2489" s="1031" t="s">
        <v>1257</v>
      </c>
      <c r="C2489" s="1032"/>
      <c r="D2489" s="1033"/>
      <c r="E2489" s="453">
        <f>+(660+1010)/2</f>
        <v>835</v>
      </c>
      <c r="F2489" s="446" t="s">
        <v>10</v>
      </c>
      <c r="G2489" s="831">
        <f>+E2489/$H$2482</f>
        <v>3.9166940288006005E-2</v>
      </c>
      <c r="H2489" s="458">
        <v>6</v>
      </c>
      <c r="I2489" s="825">
        <f>+G2489*H2489</f>
        <v>0.23500164172803603</v>
      </c>
      <c r="J2489" s="446">
        <v>1.03</v>
      </c>
      <c r="K2489" s="453">
        <f t="shared" si="69"/>
        <v>0.24205169097987711</v>
      </c>
      <c r="L2489" s="243" t="s">
        <v>8</v>
      </c>
      <c r="M2489" s="173"/>
      <c r="N2489" s="68"/>
      <c r="O2489" s="203"/>
      <c r="P2489" s="218"/>
      <c r="Q2489" s="68"/>
      <c r="R2489" s="217"/>
      <c r="S2489" s="203"/>
      <c r="T2489" s="203"/>
      <c r="U2489" s="203"/>
      <c r="V2489" s="203"/>
      <c r="W2489" s="203"/>
      <c r="X2489" s="203"/>
    </row>
    <row r="2490" spans="1:24" ht="30" customHeight="1" x14ac:dyDescent="0.35">
      <c r="A2490" s="241" t="s">
        <v>380</v>
      </c>
      <c r="B2490" s="1031" t="s">
        <v>385</v>
      </c>
      <c r="C2490" s="1032"/>
      <c r="D2490" s="1033"/>
      <c r="E2490" s="453">
        <f>+(1160+3475)/2</f>
        <v>2317.5</v>
      </c>
      <c r="F2490" s="446" t="s">
        <v>10</v>
      </c>
      <c r="G2490" s="831">
        <f>+E2490/$H$2482</f>
        <v>0.10870584924245978</v>
      </c>
      <c r="H2490" s="458">
        <v>6</v>
      </c>
      <c r="I2490" s="825">
        <f>+G2490*H2490</f>
        <v>0.65223509545475866</v>
      </c>
      <c r="J2490" s="446">
        <v>1.03</v>
      </c>
      <c r="K2490" s="453">
        <f t="shared" si="69"/>
        <v>0.67180214831840146</v>
      </c>
      <c r="L2490" s="243" t="s">
        <v>8</v>
      </c>
      <c r="M2490" s="173"/>
      <c r="N2490" s="68"/>
      <c r="O2490" s="208"/>
      <c r="P2490" s="218"/>
      <c r="Q2490" s="68"/>
      <c r="R2490" s="217"/>
      <c r="S2490" s="208"/>
    </row>
    <row r="2491" spans="1:24" ht="30" customHeight="1" x14ac:dyDescent="0.35">
      <c r="A2491" s="241" t="s">
        <v>360</v>
      </c>
      <c r="B2491" s="1031" t="s">
        <v>2240</v>
      </c>
      <c r="C2491" s="1032"/>
      <c r="D2491" s="1032"/>
      <c r="E2491" s="453">
        <v>3.85</v>
      </c>
      <c r="F2491" s="446" t="s">
        <v>8</v>
      </c>
      <c r="G2491" s="519"/>
      <c r="H2491" s="519"/>
      <c r="I2491" s="508"/>
      <c r="J2491" s="446">
        <f>(1.01+1.05)/2</f>
        <v>1.03</v>
      </c>
      <c r="K2491" s="453">
        <f>+E2491*J2491</f>
        <v>3.9655</v>
      </c>
      <c r="L2491" s="243" t="s">
        <v>8</v>
      </c>
      <c r="M2491" s="173"/>
      <c r="N2491" s="68"/>
      <c r="O2491" s="203"/>
      <c r="P2491" s="218"/>
      <c r="Q2491" s="68"/>
      <c r="R2491" s="217"/>
    </row>
    <row r="2492" spans="1:24" ht="30" customHeight="1" x14ac:dyDescent="0.35">
      <c r="A2492" s="241"/>
      <c r="B2492" s="1059"/>
      <c r="C2492" s="1059"/>
      <c r="D2492" s="1059"/>
      <c r="E2492" s="453"/>
      <c r="F2492" s="519"/>
      <c r="G2492" s="519"/>
      <c r="H2492" s="508"/>
      <c r="I2492" s="446"/>
      <c r="J2492" s="446" t="s">
        <v>335</v>
      </c>
      <c r="K2492" s="453">
        <f>SUM(K2484:K2491)</f>
        <v>93.280636591772605</v>
      </c>
      <c r="L2492" s="243" t="s">
        <v>8</v>
      </c>
      <c r="M2492" s="173"/>
      <c r="N2492" s="419"/>
      <c r="O2492" s="171"/>
      <c r="P2492" s="216"/>
      <c r="Q2492" s="419"/>
      <c r="R2492" s="219"/>
    </row>
    <row r="2493" spans="1:24" ht="30" customHeight="1" x14ac:dyDescent="0.35">
      <c r="A2493" s="241"/>
      <c r="B2493" s="506"/>
      <c r="C2493" s="506"/>
      <c r="D2493" s="506"/>
      <c r="E2493" s="506"/>
      <c r="F2493" s="1029" t="s">
        <v>302</v>
      </c>
      <c r="G2493" s="1058" t="s">
        <v>303</v>
      </c>
      <c r="H2493" s="1058"/>
      <c r="I2493" s="1058"/>
      <c r="J2493" s="1058"/>
      <c r="K2493" s="665">
        <v>1.0900000000000001</v>
      </c>
      <c r="L2493" s="243"/>
      <c r="M2493" s="173"/>
      <c r="N2493" s="419"/>
      <c r="O2493" s="171"/>
      <c r="P2493" s="216"/>
      <c r="Q2493" s="419"/>
      <c r="R2493" s="219"/>
      <c r="T2493" s="51"/>
      <c r="U2493" s="171"/>
    </row>
    <row r="2494" spans="1:24" ht="30" customHeight="1" x14ac:dyDescent="0.35">
      <c r="A2494" s="241"/>
      <c r="B2494" s="506"/>
      <c r="C2494" s="506"/>
      <c r="D2494" s="506"/>
      <c r="E2494" s="506"/>
      <c r="F2494" s="1030"/>
      <c r="G2494" s="1073" t="s">
        <v>2374</v>
      </c>
      <c r="H2494" s="1073"/>
      <c r="I2494" s="1073"/>
      <c r="J2494" s="1073"/>
      <c r="K2494" s="612">
        <v>1.08</v>
      </c>
      <c r="L2494" s="243"/>
      <c r="M2494" s="173"/>
      <c r="N2494" s="68"/>
      <c r="O2494" s="203"/>
      <c r="P2494" s="218"/>
      <c r="Q2494" s="68"/>
      <c r="R2494" s="217"/>
      <c r="T2494" s="51"/>
      <c r="U2494" s="171"/>
    </row>
    <row r="2495" spans="1:24" ht="30" customHeight="1" x14ac:dyDescent="0.35">
      <c r="A2495" s="241"/>
      <c r="B2495" s="446"/>
      <c r="C2495" s="458"/>
      <c r="D2495" s="458"/>
      <c r="E2495" s="458"/>
      <c r="F2495" s="458"/>
      <c r="G2495" s="458"/>
      <c r="H2495" s="458"/>
      <c r="I2495" s="458"/>
      <c r="J2495" s="458" t="s">
        <v>2356</v>
      </c>
      <c r="K2495" s="591">
        <f>+K2492*K2493/K2494</f>
        <v>94.144346189844583</v>
      </c>
      <c r="L2495" s="243" t="s">
        <v>8</v>
      </c>
      <c r="M2495" s="173"/>
      <c r="N2495" s="68"/>
      <c r="P2495" s="171"/>
      <c r="Q2495" s="171"/>
      <c r="R2495" s="171"/>
      <c r="S2495" s="51"/>
      <c r="T2495" s="27"/>
      <c r="U2495" s="27"/>
      <c r="V2495" s="27"/>
      <c r="W2495" s="27"/>
      <c r="X2495" s="27"/>
    </row>
    <row r="2496" spans="1:24" s="27" customFormat="1" ht="30" customHeight="1" x14ac:dyDescent="0.35">
      <c r="A2496" s="241"/>
      <c r="B2496" s="446"/>
      <c r="C2496" s="458"/>
      <c r="D2496" s="458"/>
      <c r="E2496" s="458"/>
      <c r="F2496" s="171"/>
      <c r="G2496" s="458"/>
      <c r="H2496" s="458"/>
      <c r="I2496" s="568" t="s">
        <v>2359</v>
      </c>
      <c r="J2496" s="583">
        <f>VLOOKUP(B2482,'Mil Cost Premiums for PUCs'!$A$4:$R$272,18,FALSE)</f>
        <v>1.168693068754227</v>
      </c>
      <c r="K2496" s="591">
        <f>+K2495*J2496</f>
        <v>110.02584485446978</v>
      </c>
      <c r="L2496" s="243" t="s">
        <v>8</v>
      </c>
      <c r="M2496" s="173"/>
      <c r="N2496" s="68"/>
      <c r="O2496" s="205"/>
      <c r="P2496" s="171"/>
      <c r="Q2496" s="171"/>
      <c r="R2496" s="171"/>
      <c r="S2496" s="51"/>
      <c r="T2496" s="208"/>
      <c r="U2496" s="208"/>
      <c r="V2496" s="208"/>
      <c r="W2496" s="208"/>
      <c r="X2496" s="208"/>
    </row>
    <row r="2497" spans="1:24" s="208" customFormat="1" ht="30" customHeight="1" x14ac:dyDescent="0.35">
      <c r="A2497" s="1064" t="s">
        <v>305</v>
      </c>
      <c r="B2497" s="1065"/>
      <c r="C2497" s="1065"/>
      <c r="D2497" s="1065"/>
      <c r="E2497" s="1065"/>
      <c r="F2497" s="1065"/>
      <c r="G2497" s="1065"/>
      <c r="H2497" s="1065"/>
      <c r="I2497" s="1065"/>
      <c r="J2497" s="1065"/>
      <c r="K2497" s="1065"/>
      <c r="L2497" s="1066"/>
      <c r="M2497" s="173"/>
      <c r="N2497" s="27"/>
      <c r="O2497" s="207"/>
      <c r="P2497" s="27"/>
      <c r="Q2497" s="27"/>
      <c r="R2497" s="27"/>
      <c r="S2497" s="27"/>
      <c r="T2497" s="203"/>
      <c r="U2497" s="203"/>
      <c r="V2497" s="203"/>
      <c r="W2497" s="203"/>
      <c r="X2497" s="203"/>
    </row>
    <row r="2498" spans="1:24" ht="30" customHeight="1" x14ac:dyDescent="0.35">
      <c r="A2498" s="1077" t="s">
        <v>306</v>
      </c>
      <c r="B2498" s="1042"/>
      <c r="C2498" s="1043"/>
      <c r="D2498" s="1067" t="s">
        <v>1258</v>
      </c>
      <c r="E2498" s="1065"/>
      <c r="F2498" s="1065"/>
      <c r="G2498" s="1065"/>
      <c r="H2498" s="1065"/>
      <c r="I2498" s="1065"/>
      <c r="J2498" s="1065"/>
      <c r="K2498" s="1065"/>
      <c r="L2498" s="1066"/>
      <c r="M2498" s="173"/>
      <c r="N2498" s="208"/>
      <c r="P2498" s="208"/>
      <c r="Q2498" s="208"/>
      <c r="R2498" s="208"/>
      <c r="S2498" s="208"/>
    </row>
    <row r="2499" spans="1:24" ht="30" customHeight="1" x14ac:dyDescent="0.35">
      <c r="A2499" s="1077" t="s">
        <v>307</v>
      </c>
      <c r="B2499" s="1042"/>
      <c r="C2499" s="1043"/>
      <c r="D2499" s="1067" t="s">
        <v>1259</v>
      </c>
      <c r="E2499" s="1065"/>
      <c r="F2499" s="1065"/>
      <c r="G2499" s="1065"/>
      <c r="H2499" s="1065"/>
      <c r="I2499" s="1065"/>
      <c r="J2499" s="1065"/>
      <c r="K2499" s="1065"/>
      <c r="L2499" s="1066"/>
      <c r="M2499" s="173"/>
    </row>
    <row r="2500" spans="1:24" ht="30" customHeight="1" x14ac:dyDescent="0.35">
      <c r="A2500" s="1077" t="s">
        <v>308</v>
      </c>
      <c r="B2500" s="1042"/>
      <c r="C2500" s="1043"/>
      <c r="D2500" s="1067" t="s">
        <v>3047</v>
      </c>
      <c r="E2500" s="1065"/>
      <c r="F2500" s="1065"/>
      <c r="G2500" s="1065"/>
      <c r="H2500" s="1065"/>
      <c r="I2500" s="1065"/>
      <c r="J2500" s="1065"/>
      <c r="K2500" s="1065"/>
      <c r="L2500" s="1066"/>
      <c r="M2500" s="173"/>
      <c r="O2500" s="203"/>
      <c r="P2500" s="218"/>
      <c r="Q2500" s="68"/>
      <c r="R2500" s="217"/>
    </row>
    <row r="2501" spans="1:24" ht="30" customHeight="1" x14ac:dyDescent="0.35">
      <c r="A2501" s="1077" t="s">
        <v>309</v>
      </c>
      <c r="B2501" s="1042"/>
      <c r="C2501" s="1043"/>
      <c r="D2501" s="1067" t="s">
        <v>1260</v>
      </c>
      <c r="E2501" s="1065"/>
      <c r="F2501" s="1065"/>
      <c r="G2501" s="1065"/>
      <c r="H2501" s="1065"/>
      <c r="I2501" s="1065"/>
      <c r="J2501" s="1065"/>
      <c r="K2501" s="1065"/>
      <c r="L2501" s="1066"/>
      <c r="M2501" s="173"/>
      <c r="N2501" s="13"/>
      <c r="O2501" s="203"/>
      <c r="P2501" s="218"/>
      <c r="Q2501" s="68"/>
      <c r="R2501" s="217"/>
      <c r="T2501" s="208"/>
      <c r="U2501" s="208"/>
      <c r="V2501" s="208"/>
      <c r="W2501" s="208"/>
      <c r="X2501" s="208"/>
    </row>
    <row r="2502" spans="1:24" s="208" customFormat="1" ht="30" customHeight="1" x14ac:dyDescent="0.35">
      <c r="A2502" s="1077" t="s">
        <v>311</v>
      </c>
      <c r="B2502" s="1042"/>
      <c r="C2502" s="1043"/>
      <c r="D2502" s="1067" t="s">
        <v>2239</v>
      </c>
      <c r="E2502" s="1065"/>
      <c r="F2502" s="1065"/>
      <c r="G2502" s="1065"/>
      <c r="H2502" s="1065"/>
      <c r="I2502" s="1065"/>
      <c r="J2502" s="1065"/>
      <c r="K2502" s="1065"/>
      <c r="L2502" s="1066"/>
      <c r="M2502" s="173"/>
      <c r="N2502" s="13"/>
      <c r="O2502" s="203"/>
      <c r="P2502" s="218"/>
      <c r="Q2502" s="68"/>
      <c r="R2502" s="217"/>
      <c r="S2502" s="203"/>
      <c r="T2502" s="203"/>
      <c r="U2502" s="203"/>
      <c r="V2502" s="203"/>
      <c r="W2502" s="203"/>
      <c r="X2502" s="203"/>
    </row>
    <row r="2503" spans="1:24" ht="30" customHeight="1" x14ac:dyDescent="0.35">
      <c r="A2503" s="1077" t="s">
        <v>313</v>
      </c>
      <c r="B2503" s="1042"/>
      <c r="C2503" s="1043"/>
      <c r="D2503" s="1067" t="s">
        <v>388</v>
      </c>
      <c r="E2503" s="1065"/>
      <c r="F2503" s="1065"/>
      <c r="G2503" s="1065"/>
      <c r="H2503" s="1065"/>
      <c r="I2503" s="1065"/>
      <c r="J2503" s="1065"/>
      <c r="K2503" s="1065"/>
      <c r="L2503" s="1066"/>
      <c r="M2503" s="173"/>
      <c r="N2503" s="13"/>
      <c r="O2503" s="208"/>
      <c r="P2503" s="218"/>
      <c r="Q2503" s="68"/>
      <c r="R2503" s="217"/>
      <c r="S2503" s="208"/>
    </row>
    <row r="2504" spans="1:24" ht="30" customHeight="1" x14ac:dyDescent="0.35">
      <c r="A2504" s="1077" t="s">
        <v>315</v>
      </c>
      <c r="B2504" s="1042"/>
      <c r="C2504" s="1043"/>
      <c r="D2504" s="1067" t="s">
        <v>1245</v>
      </c>
      <c r="E2504" s="1065"/>
      <c r="F2504" s="1065"/>
      <c r="G2504" s="1065"/>
      <c r="H2504" s="1065"/>
      <c r="I2504" s="1065"/>
      <c r="J2504" s="1065"/>
      <c r="K2504" s="1065"/>
      <c r="L2504" s="1066"/>
      <c r="M2504" s="173"/>
      <c r="N2504" s="68"/>
      <c r="O2504" s="203"/>
      <c r="P2504" s="218"/>
      <c r="Q2504" s="68"/>
      <c r="R2504" s="217"/>
    </row>
    <row r="2505" spans="1:24" ht="75" customHeight="1" x14ac:dyDescent="0.35">
      <c r="A2505" s="1077" t="s">
        <v>316</v>
      </c>
      <c r="B2505" s="1042"/>
      <c r="C2505" s="1043"/>
      <c r="D2505" s="1067" t="s">
        <v>373</v>
      </c>
      <c r="E2505" s="1065"/>
      <c r="F2505" s="1065"/>
      <c r="G2505" s="1065"/>
      <c r="H2505" s="1065"/>
      <c r="I2505" s="1065"/>
      <c r="J2505" s="1065"/>
      <c r="K2505" s="1065"/>
      <c r="L2505" s="1066"/>
      <c r="M2505" s="173"/>
      <c r="N2505" s="68"/>
      <c r="O2505" s="203"/>
      <c r="P2505" s="218"/>
      <c r="Q2505" s="68"/>
      <c r="R2505" s="217"/>
    </row>
    <row r="2506" spans="1:24" ht="90" customHeight="1" thickBot="1" x14ac:dyDescent="0.4">
      <c r="A2506" s="1078" t="s">
        <v>318</v>
      </c>
      <c r="B2506" s="1079"/>
      <c r="C2506" s="1080"/>
      <c r="D2506" s="1068" t="s">
        <v>3191</v>
      </c>
      <c r="E2506" s="1069"/>
      <c r="F2506" s="1069"/>
      <c r="G2506" s="1069"/>
      <c r="H2506" s="1069"/>
      <c r="I2506" s="1069"/>
      <c r="J2506" s="1069"/>
      <c r="K2506" s="1069"/>
      <c r="L2506" s="1070"/>
      <c r="M2506" s="173"/>
      <c r="N2506" s="68"/>
      <c r="O2506" s="203"/>
      <c r="P2506" s="218"/>
      <c r="Q2506" s="68"/>
      <c r="R2506" s="217"/>
    </row>
    <row r="2507" spans="1:24" ht="30" customHeight="1" thickBot="1" x14ac:dyDescent="0.4">
      <c r="A2507" s="1086"/>
      <c r="B2507" s="1087"/>
      <c r="C2507" s="1087"/>
      <c r="D2507" s="1087"/>
      <c r="E2507" s="1087"/>
      <c r="F2507" s="1087"/>
      <c r="G2507" s="1087"/>
      <c r="H2507" s="1087"/>
      <c r="I2507" s="1087"/>
      <c r="J2507" s="1087"/>
      <c r="K2507" s="1087"/>
      <c r="L2507" s="1088"/>
      <c r="M2507" s="173"/>
      <c r="N2507" s="419"/>
      <c r="O2507" s="171"/>
      <c r="P2507" s="216"/>
      <c r="Q2507" s="419"/>
      <c r="R2507" s="219"/>
    </row>
    <row r="2508" spans="1:24" ht="30" customHeight="1" x14ac:dyDescent="0.35">
      <c r="A2508" s="465" t="s">
        <v>278</v>
      </c>
      <c r="B2508" s="539">
        <v>4425</v>
      </c>
      <c r="C2508" s="1017" t="s">
        <v>1261</v>
      </c>
      <c r="D2508" s="1018"/>
      <c r="E2508" s="541" t="s">
        <v>280</v>
      </c>
      <c r="F2508" s="542" t="s">
        <v>8</v>
      </c>
      <c r="G2508" s="543" t="s">
        <v>285</v>
      </c>
      <c r="H2508" s="632">
        <v>8311</v>
      </c>
      <c r="I2508" s="541" t="s">
        <v>281</v>
      </c>
      <c r="J2508" s="1019" t="s">
        <v>2371</v>
      </c>
      <c r="K2508" s="1019"/>
      <c r="L2508" s="1020"/>
      <c r="M2508" s="173"/>
      <c r="N2508" s="419"/>
      <c r="O2508" s="171"/>
      <c r="P2508" s="216"/>
      <c r="Q2508" s="419"/>
      <c r="R2508" s="219"/>
    </row>
    <row r="2509" spans="1:24" ht="30" customHeight="1" x14ac:dyDescent="0.35">
      <c r="A2509" s="588" t="s">
        <v>298</v>
      </c>
      <c r="B2509" s="1038" t="s">
        <v>321</v>
      </c>
      <c r="C2509" s="1039"/>
      <c r="D2509" s="1040"/>
      <c r="E2509" s="23" t="s">
        <v>290</v>
      </c>
      <c r="F2509" s="23" t="s">
        <v>322</v>
      </c>
      <c r="G2509" s="1034" t="s">
        <v>323</v>
      </c>
      <c r="H2509" s="1035"/>
      <c r="I2509" s="509" t="s">
        <v>299</v>
      </c>
      <c r="J2509" s="509"/>
      <c r="K2509" s="1012" t="s">
        <v>292</v>
      </c>
      <c r="L2509" s="1013"/>
      <c r="M2509" s="173"/>
      <c r="N2509" s="68"/>
      <c r="O2509" s="203"/>
      <c r="P2509" s="218"/>
      <c r="Q2509" s="68"/>
      <c r="R2509" s="217"/>
    </row>
    <row r="2510" spans="1:24" ht="45" customHeight="1" x14ac:dyDescent="0.35">
      <c r="A2510" s="241" t="s">
        <v>1262</v>
      </c>
      <c r="B2510" s="1031" t="s">
        <v>1263</v>
      </c>
      <c r="C2510" s="1032"/>
      <c r="D2510" s="1033"/>
      <c r="E2510" s="453">
        <v>79</v>
      </c>
      <c r="F2510" s="446" t="s">
        <v>8</v>
      </c>
      <c r="G2510" s="454"/>
      <c r="H2510" s="446"/>
      <c r="I2510" s="446">
        <f>(1.01+1.05)/2</f>
        <v>1.03</v>
      </c>
      <c r="J2510" s="446"/>
      <c r="K2510" s="453">
        <f>+E2510*I2510</f>
        <v>81.37</v>
      </c>
      <c r="L2510" s="243" t="s">
        <v>8</v>
      </c>
      <c r="M2510" s="173"/>
      <c r="N2510" s="68"/>
      <c r="O2510" s="203"/>
      <c r="P2510" s="218"/>
      <c r="Q2510" s="68"/>
      <c r="R2510" s="217"/>
    </row>
    <row r="2511" spans="1:24" ht="30" customHeight="1" x14ac:dyDescent="0.35">
      <c r="A2511" s="241" t="s">
        <v>360</v>
      </c>
      <c r="B2511" s="1031" t="s">
        <v>1159</v>
      </c>
      <c r="C2511" s="1032"/>
      <c r="D2511" s="1032"/>
      <c r="E2511" s="453">
        <v>3.18</v>
      </c>
      <c r="F2511" s="446" t="s">
        <v>8</v>
      </c>
      <c r="G2511" s="519"/>
      <c r="H2511" s="508"/>
      <c r="I2511" s="446">
        <f>(1.01+1.05)/2</f>
        <v>1.03</v>
      </c>
      <c r="J2511" s="446"/>
      <c r="K2511" s="453">
        <f>+E2511*I2511</f>
        <v>3.2754000000000003</v>
      </c>
      <c r="L2511" s="243" t="s">
        <v>8</v>
      </c>
      <c r="M2511" s="173"/>
      <c r="N2511" s="68"/>
      <c r="O2511" s="203"/>
      <c r="P2511" s="218"/>
      <c r="Q2511" s="68"/>
      <c r="R2511" s="217"/>
      <c r="T2511" s="208"/>
      <c r="U2511" s="208"/>
      <c r="V2511" s="208"/>
      <c r="W2511" s="208"/>
      <c r="X2511" s="208"/>
    </row>
    <row r="2512" spans="1:24" s="208" customFormat="1" ht="30" customHeight="1" x14ac:dyDescent="0.35">
      <c r="A2512" s="241"/>
      <c r="B2512" s="1082"/>
      <c r="C2512" s="1083"/>
      <c r="D2512" s="1093"/>
      <c r="E2512" s="453"/>
      <c r="F2512" s="639"/>
      <c r="G2512" s="519"/>
      <c r="H2512" s="508"/>
      <c r="I2512" s="446"/>
      <c r="J2512" s="446" t="s">
        <v>335</v>
      </c>
      <c r="K2512" s="453">
        <f>SUM(K2510:K2511)</f>
        <v>84.645400000000009</v>
      </c>
      <c r="L2512" s="243" t="s">
        <v>8</v>
      </c>
      <c r="M2512" s="173"/>
      <c r="N2512" s="68"/>
      <c r="O2512" s="203"/>
      <c r="P2512" s="218"/>
      <c r="Q2512" s="68"/>
      <c r="R2512" s="217"/>
      <c r="S2512" s="203"/>
      <c r="T2512" s="203"/>
      <c r="U2512" s="203"/>
      <c r="V2512" s="203"/>
      <c r="W2512" s="203"/>
      <c r="X2512" s="203"/>
    </row>
    <row r="2513" spans="1:24" ht="30" customHeight="1" x14ac:dyDescent="0.35">
      <c r="A2513" s="241"/>
      <c r="B2513" s="1168"/>
      <c r="C2513" s="1169"/>
      <c r="D2513" s="1170"/>
      <c r="E2513" s="453"/>
      <c r="F2513" s="1029" t="s">
        <v>302</v>
      </c>
      <c r="G2513" s="1058" t="s">
        <v>303</v>
      </c>
      <c r="H2513" s="1058"/>
      <c r="I2513" s="1058"/>
      <c r="J2513" s="1058"/>
      <c r="K2513" s="665">
        <f>(1.1+1.08)/2</f>
        <v>1.0900000000000001</v>
      </c>
      <c r="L2513" s="243"/>
      <c r="M2513" s="173"/>
      <c r="N2513" s="68"/>
      <c r="O2513" s="208"/>
      <c r="P2513" s="218"/>
      <c r="Q2513" s="68"/>
      <c r="R2513" s="217"/>
      <c r="S2513" s="208"/>
    </row>
    <row r="2514" spans="1:24" ht="30" customHeight="1" x14ac:dyDescent="0.35">
      <c r="A2514" s="241"/>
      <c r="B2514" s="171"/>
      <c r="C2514" s="171"/>
      <c r="D2514" s="171"/>
      <c r="E2514" s="453"/>
      <c r="F2514" s="1030"/>
      <c r="G2514" s="1073" t="s">
        <v>2374</v>
      </c>
      <c r="H2514" s="1073"/>
      <c r="I2514" s="1073"/>
      <c r="J2514" s="1073"/>
      <c r="K2514" s="612">
        <v>1.08</v>
      </c>
      <c r="L2514" s="243"/>
      <c r="M2514" s="173"/>
      <c r="N2514" s="68"/>
      <c r="O2514" s="203"/>
      <c r="P2514" s="218"/>
      <c r="Q2514" s="68"/>
      <c r="R2514" s="217"/>
    </row>
    <row r="2515" spans="1:24" ht="30" customHeight="1" x14ac:dyDescent="0.35">
      <c r="A2515" s="241"/>
      <c r="B2515" s="446"/>
      <c r="C2515" s="458"/>
      <c r="D2515" s="458"/>
      <c r="E2515" s="458"/>
      <c r="F2515" s="458"/>
      <c r="G2515" s="458"/>
      <c r="H2515" s="458"/>
      <c r="I2515" s="458"/>
      <c r="J2515" s="446" t="s">
        <v>2356</v>
      </c>
      <c r="K2515" s="591">
        <f>+K2512*K2513/K2514</f>
        <v>85.429153703703705</v>
      </c>
      <c r="L2515" s="243" t="s">
        <v>8</v>
      </c>
      <c r="M2515" s="173"/>
      <c r="N2515" s="68"/>
      <c r="O2515" s="203"/>
      <c r="P2515" s="218"/>
      <c r="Q2515" s="68"/>
      <c r="R2515" s="217"/>
    </row>
    <row r="2516" spans="1:24" ht="30" customHeight="1" thickBot="1" x14ac:dyDescent="0.4">
      <c r="A2516" s="241"/>
      <c r="B2516" s="446"/>
      <c r="C2516" s="458"/>
      <c r="D2516" s="458"/>
      <c r="E2516" s="458"/>
      <c r="F2516" s="458"/>
      <c r="G2516" s="458"/>
      <c r="H2516" s="458"/>
      <c r="I2516" s="820" t="s">
        <v>2358</v>
      </c>
      <c r="J2516" s="583">
        <f>VLOOKUP(B2508,'Mil Cost Premiums for PUCs'!$A$4:$R$272,18,FALSE)</f>
        <v>1.1255953609601996</v>
      </c>
      <c r="K2516" s="591">
        <f>+K2515*J2516</f>
        <v>96.158659099644751</v>
      </c>
      <c r="L2516" s="243" t="s">
        <v>8</v>
      </c>
      <c r="M2516" s="173"/>
      <c r="N2516" s="68"/>
      <c r="O2516" s="203"/>
      <c r="P2516" s="218"/>
      <c r="Q2516" s="68"/>
      <c r="R2516" s="217"/>
    </row>
    <row r="2517" spans="1:24" ht="30" customHeight="1" thickBot="1" x14ac:dyDescent="0.4">
      <c r="A2517" s="1086"/>
      <c r="B2517" s="1087"/>
      <c r="C2517" s="1087"/>
      <c r="D2517" s="1087"/>
      <c r="E2517" s="1087"/>
      <c r="F2517" s="1087"/>
      <c r="G2517" s="1087"/>
      <c r="H2517" s="1087"/>
      <c r="I2517" s="1087"/>
      <c r="J2517" s="1087"/>
      <c r="K2517" s="1087"/>
      <c r="L2517" s="1088"/>
      <c r="M2517" s="173"/>
      <c r="N2517" s="68"/>
      <c r="O2517" s="203"/>
      <c r="P2517" s="218"/>
      <c r="Q2517" s="68"/>
      <c r="R2517" s="217"/>
    </row>
    <row r="2518" spans="1:24" ht="30" customHeight="1" x14ac:dyDescent="0.35">
      <c r="A2518" s="465" t="s">
        <v>278</v>
      </c>
      <c r="B2518" s="539">
        <v>4426</v>
      </c>
      <c r="C2518" s="1017" t="s">
        <v>1265</v>
      </c>
      <c r="D2518" s="1018"/>
      <c r="E2518" s="541" t="s">
        <v>280</v>
      </c>
      <c r="F2518" s="542" t="s">
        <v>8</v>
      </c>
      <c r="G2518" s="543" t="s">
        <v>285</v>
      </c>
      <c r="H2518" s="632">
        <v>2307</v>
      </c>
      <c r="I2518" s="541" t="s">
        <v>281</v>
      </c>
      <c r="J2518" s="1019" t="s">
        <v>2371</v>
      </c>
      <c r="K2518" s="1019"/>
      <c r="L2518" s="1020"/>
      <c r="M2518" s="173"/>
      <c r="N2518" s="68"/>
      <c r="O2518" s="203"/>
      <c r="P2518" s="218"/>
      <c r="Q2518" s="68"/>
      <c r="R2518" s="217"/>
    </row>
    <row r="2519" spans="1:24" ht="30" customHeight="1" x14ac:dyDescent="0.35">
      <c r="A2519" s="588" t="s">
        <v>298</v>
      </c>
      <c r="B2519" s="1038" t="s">
        <v>321</v>
      </c>
      <c r="C2519" s="1039"/>
      <c r="D2519" s="1040"/>
      <c r="E2519" s="23" t="s">
        <v>290</v>
      </c>
      <c r="F2519" s="23" t="s">
        <v>322</v>
      </c>
      <c r="G2519" s="1034" t="s">
        <v>323</v>
      </c>
      <c r="H2519" s="1035"/>
      <c r="I2519" s="509" t="s">
        <v>299</v>
      </c>
      <c r="J2519" s="509"/>
      <c r="K2519" s="1012" t="s">
        <v>292</v>
      </c>
      <c r="L2519" s="1013"/>
      <c r="M2519" s="173"/>
      <c r="N2519" s="419"/>
      <c r="O2519" s="171"/>
      <c r="P2519" s="216"/>
      <c r="Q2519" s="419"/>
      <c r="R2519" s="219"/>
    </row>
    <row r="2520" spans="1:24" ht="30" customHeight="1" x14ac:dyDescent="0.35">
      <c r="A2520" s="241" t="s">
        <v>1266</v>
      </c>
      <c r="B2520" s="1102" t="s">
        <v>1267</v>
      </c>
      <c r="C2520" s="1102"/>
      <c r="D2520" s="1102"/>
      <c r="E2520" s="453">
        <v>24</v>
      </c>
      <c r="F2520" s="446" t="s">
        <v>8</v>
      </c>
      <c r="G2520" s="454"/>
      <c r="H2520" s="446"/>
      <c r="I2520" s="446">
        <v>1.03</v>
      </c>
      <c r="J2520" s="446"/>
      <c r="K2520" s="453">
        <f>+E2520*I2520</f>
        <v>24.72</v>
      </c>
      <c r="L2520" s="243" t="s">
        <v>8</v>
      </c>
      <c r="M2520" s="173"/>
      <c r="N2520" s="419"/>
      <c r="O2520" s="171"/>
      <c r="P2520" s="216"/>
      <c r="Q2520" s="419"/>
      <c r="R2520" s="219"/>
      <c r="T2520" s="27"/>
      <c r="U2520" s="171"/>
    </row>
    <row r="2521" spans="1:24" ht="30" customHeight="1" x14ac:dyDescent="0.35">
      <c r="A2521" s="241"/>
      <c r="B2521" s="506"/>
      <c r="C2521" s="506"/>
      <c r="D2521" s="506"/>
      <c r="E2521" s="453"/>
      <c r="F2521" s="1029" t="s">
        <v>302</v>
      </c>
      <c r="G2521" s="1058" t="s">
        <v>303</v>
      </c>
      <c r="H2521" s="1058"/>
      <c r="I2521" s="1058"/>
      <c r="J2521" s="1058"/>
      <c r="K2521" s="665">
        <v>1.05</v>
      </c>
      <c r="L2521" s="243"/>
      <c r="M2521" s="173"/>
      <c r="N2521" s="68"/>
      <c r="O2521" s="203"/>
      <c r="P2521" s="218"/>
      <c r="Q2521" s="68"/>
      <c r="R2521" s="217"/>
      <c r="U2521" s="171"/>
    </row>
    <row r="2522" spans="1:24" ht="30" customHeight="1" x14ac:dyDescent="0.35">
      <c r="A2522" s="241"/>
      <c r="B2522" s="506"/>
      <c r="C2522" s="506"/>
      <c r="D2522" s="506"/>
      <c r="E2522" s="453"/>
      <c r="F2522" s="1030"/>
      <c r="G2522" s="1073" t="s">
        <v>2374</v>
      </c>
      <c r="H2522" s="1073"/>
      <c r="I2522" s="1073"/>
      <c r="J2522" s="1073"/>
      <c r="K2522" s="612">
        <v>1.08</v>
      </c>
      <c r="L2522" s="243"/>
      <c r="M2522" s="173"/>
      <c r="N2522" s="68"/>
      <c r="O2522" s="207"/>
      <c r="P2522" s="27"/>
      <c r="Q2522" s="27"/>
      <c r="R2522" s="27"/>
      <c r="S2522" s="27"/>
    </row>
    <row r="2523" spans="1:24" ht="30" customHeight="1" x14ac:dyDescent="0.35">
      <c r="A2523" s="241"/>
      <c r="B2523" s="446"/>
      <c r="C2523" s="458"/>
      <c r="D2523" s="458"/>
      <c r="E2523" s="458"/>
      <c r="F2523" s="458"/>
      <c r="G2523" s="458"/>
      <c r="H2523" s="458"/>
      <c r="I2523" s="458"/>
      <c r="J2523" s="458" t="s">
        <v>2356</v>
      </c>
      <c r="K2523" s="591">
        <f>+K2520*K2521/K2522</f>
        <v>24.033333333333331</v>
      </c>
      <c r="L2523" s="243" t="s">
        <v>8</v>
      </c>
      <c r="M2523" s="173"/>
      <c r="N2523" s="68"/>
      <c r="T2523" s="208"/>
      <c r="U2523" s="208"/>
      <c r="V2523" s="208"/>
      <c r="W2523" s="208"/>
      <c r="X2523" s="208"/>
    </row>
    <row r="2524" spans="1:24" s="208" customFormat="1" ht="30" customHeight="1" thickBot="1" x14ac:dyDescent="0.4">
      <c r="A2524" s="241"/>
      <c r="B2524" s="446"/>
      <c r="C2524" s="458"/>
      <c r="D2524" s="458"/>
      <c r="E2524" s="458"/>
      <c r="F2524" s="458"/>
      <c r="G2524" s="592" t="s">
        <v>2358</v>
      </c>
      <c r="H2524" s="458"/>
      <c r="I2524" s="458"/>
      <c r="J2524" s="583">
        <f>VLOOKUP(B2518,'Mil Cost Premiums for PUCs'!$A$4:$R$272,18,FALSE)</f>
        <v>1.0905505199999999</v>
      </c>
      <c r="K2524" s="591">
        <f>+K2523*J2524</f>
        <v>26.209564163999996</v>
      </c>
      <c r="L2524" s="243" t="s">
        <v>8</v>
      </c>
      <c r="M2524" s="173"/>
      <c r="N2524" s="214"/>
      <c r="O2524" s="203"/>
      <c r="P2524" s="218"/>
      <c r="Q2524" s="68"/>
      <c r="R2524" s="217"/>
      <c r="S2524" s="203"/>
      <c r="T2524" s="203"/>
      <c r="U2524" s="203"/>
      <c r="V2524" s="203"/>
      <c r="W2524" s="203"/>
      <c r="X2524" s="203"/>
    </row>
    <row r="2525" spans="1:24" ht="30" customHeight="1" thickBot="1" x14ac:dyDescent="0.4">
      <c r="A2525" s="1086"/>
      <c r="B2525" s="1087"/>
      <c r="C2525" s="1087"/>
      <c r="D2525" s="1087"/>
      <c r="E2525" s="1087"/>
      <c r="F2525" s="1087"/>
      <c r="G2525" s="1087"/>
      <c r="H2525" s="1087"/>
      <c r="I2525" s="1087"/>
      <c r="J2525" s="1087"/>
      <c r="K2525" s="1087"/>
      <c r="L2525" s="1088"/>
      <c r="M2525" s="173"/>
      <c r="N2525" s="208"/>
      <c r="O2525" s="208"/>
      <c r="P2525" s="218"/>
      <c r="Q2525" s="68"/>
      <c r="R2525" s="217"/>
      <c r="S2525" s="208"/>
    </row>
    <row r="2526" spans="1:24" ht="30" customHeight="1" x14ac:dyDescent="0.35">
      <c r="A2526" s="465" t="s">
        <v>278</v>
      </c>
      <c r="B2526" s="539">
        <v>4427</v>
      </c>
      <c r="C2526" s="1060" t="s">
        <v>1268</v>
      </c>
      <c r="D2526" s="1061"/>
      <c r="E2526" s="541" t="s">
        <v>280</v>
      </c>
      <c r="F2526" s="542" t="s">
        <v>8</v>
      </c>
      <c r="G2526" s="543" t="s">
        <v>285</v>
      </c>
      <c r="H2526" s="437">
        <v>2218</v>
      </c>
      <c r="I2526" s="541" t="s">
        <v>281</v>
      </c>
      <c r="J2526" s="1019" t="s">
        <v>2365</v>
      </c>
      <c r="K2526" s="1019"/>
      <c r="L2526" s="1020"/>
      <c r="M2526" s="173"/>
      <c r="N2526" s="68"/>
      <c r="O2526" s="203"/>
      <c r="P2526" s="218"/>
      <c r="Q2526" s="68"/>
      <c r="R2526" s="217"/>
    </row>
    <row r="2527" spans="1:24" ht="30" customHeight="1" x14ac:dyDescent="0.35">
      <c r="A2527" s="545" t="s">
        <v>288</v>
      </c>
      <c r="B2527" s="1051" t="s">
        <v>282</v>
      </c>
      <c r="C2527" s="1051"/>
      <c r="D2527" s="1051"/>
      <c r="E2527" s="530" t="s">
        <v>289</v>
      </c>
      <c r="F2527" s="561" t="s">
        <v>290</v>
      </c>
      <c r="G2527" s="509"/>
      <c r="H2527" s="509"/>
      <c r="I2527" s="1052" t="s">
        <v>2162</v>
      </c>
      <c r="J2527" s="1053"/>
      <c r="K2527" s="1012" t="s">
        <v>292</v>
      </c>
      <c r="L2527" s="1013"/>
      <c r="M2527" s="173"/>
      <c r="N2527" s="68"/>
      <c r="O2527" s="203"/>
      <c r="P2527" s="218"/>
      <c r="Q2527" s="68"/>
      <c r="R2527" s="217"/>
    </row>
    <row r="2528" spans="1:24" ht="30" customHeight="1" x14ac:dyDescent="0.35">
      <c r="A2528" s="562" t="s">
        <v>293</v>
      </c>
      <c r="B2528" s="1057" t="s">
        <v>1270</v>
      </c>
      <c r="C2528" s="1057"/>
      <c r="D2528" s="1057"/>
      <c r="E2528" s="563">
        <v>13400</v>
      </c>
      <c r="F2528" s="444">
        <v>248</v>
      </c>
      <c r="G2528" s="442"/>
      <c r="H2528" s="17"/>
      <c r="I2528" s="1044">
        <v>1.0202</v>
      </c>
      <c r="J2528" s="1045"/>
      <c r="K2528" s="444">
        <f>+F2528*I2528</f>
        <v>253.00960000000001</v>
      </c>
      <c r="L2528" s="564" t="s">
        <v>8</v>
      </c>
      <c r="M2528" s="173"/>
      <c r="N2528" s="68"/>
      <c r="O2528" s="203"/>
      <c r="P2528" s="218"/>
      <c r="Q2528" s="68"/>
      <c r="R2528" s="217"/>
    </row>
    <row r="2529" spans="1:24" ht="30" customHeight="1" thickBot="1" x14ac:dyDescent="0.4">
      <c r="A2529" s="241"/>
      <c r="B2529" s="1059"/>
      <c r="C2529" s="1059"/>
      <c r="D2529" s="1059"/>
      <c r="E2529" s="565"/>
      <c r="F2529" s="566"/>
      <c r="G2529" s="566"/>
      <c r="H2529" s="567"/>
      <c r="I2529" s="458"/>
      <c r="J2529" s="510" t="s">
        <v>2356</v>
      </c>
      <c r="K2529" s="585">
        <f>+K2528</f>
        <v>253.00960000000001</v>
      </c>
      <c r="L2529" s="243" t="s">
        <v>8</v>
      </c>
      <c r="M2529" s="173"/>
      <c r="N2529" s="68"/>
      <c r="O2529" s="203"/>
      <c r="P2529" s="218"/>
      <c r="Q2529" s="68"/>
      <c r="R2529" s="217"/>
    </row>
    <row r="2530" spans="1:24" ht="30" customHeight="1" thickBot="1" x14ac:dyDescent="0.4">
      <c r="A2530" s="1086"/>
      <c r="B2530" s="1087"/>
      <c r="C2530" s="1087"/>
      <c r="D2530" s="1087"/>
      <c r="E2530" s="1087"/>
      <c r="F2530" s="1087"/>
      <c r="G2530" s="1087"/>
      <c r="H2530" s="1087"/>
      <c r="I2530" s="1087"/>
      <c r="J2530" s="1087"/>
      <c r="K2530" s="1087"/>
      <c r="L2530" s="1088"/>
      <c r="M2530" s="173"/>
      <c r="N2530" s="68"/>
      <c r="O2530" s="203"/>
      <c r="P2530" s="218"/>
      <c r="Q2530" s="68"/>
      <c r="R2530" s="217"/>
    </row>
    <row r="2531" spans="1:24" ht="30" customHeight="1" x14ac:dyDescent="0.35">
      <c r="A2531" s="465" t="s">
        <v>278</v>
      </c>
      <c r="B2531" s="539">
        <v>4428</v>
      </c>
      <c r="C2531" s="1017" t="s">
        <v>1271</v>
      </c>
      <c r="D2531" s="1018"/>
      <c r="E2531" s="541" t="s">
        <v>280</v>
      </c>
      <c r="F2531" s="542" t="s">
        <v>8</v>
      </c>
      <c r="G2531" s="543" t="s">
        <v>285</v>
      </c>
      <c r="H2531" s="632">
        <v>13404</v>
      </c>
      <c r="I2531" s="541" t="s">
        <v>281</v>
      </c>
      <c r="J2531" s="1019" t="s">
        <v>2371</v>
      </c>
      <c r="K2531" s="1019"/>
      <c r="L2531" s="1020"/>
      <c r="M2531" s="363"/>
      <c r="N2531" s="419"/>
      <c r="O2531" s="171"/>
      <c r="P2531" s="216"/>
      <c r="Q2531" s="419"/>
      <c r="R2531" s="219"/>
    </row>
    <row r="2532" spans="1:24" ht="30" customHeight="1" x14ac:dyDescent="0.35">
      <c r="A2532" s="588" t="s">
        <v>298</v>
      </c>
      <c r="B2532" s="1038" t="s">
        <v>321</v>
      </c>
      <c r="C2532" s="1039"/>
      <c r="D2532" s="1040"/>
      <c r="E2532" s="23" t="s">
        <v>290</v>
      </c>
      <c r="F2532" s="23" t="s">
        <v>322</v>
      </c>
      <c r="G2532" s="1034">
        <v>87.5</v>
      </c>
      <c r="H2532" s="1035"/>
      <c r="I2532" s="509" t="s">
        <v>299</v>
      </c>
      <c r="J2532" s="509"/>
      <c r="K2532" s="1012" t="s">
        <v>292</v>
      </c>
      <c r="L2532" s="1013"/>
      <c r="M2532" s="173"/>
      <c r="N2532" s="419"/>
      <c r="O2532" s="171"/>
      <c r="P2532" s="216"/>
      <c r="Q2532" s="419"/>
      <c r="R2532" s="219"/>
    </row>
    <row r="2533" spans="1:24" ht="30" customHeight="1" x14ac:dyDescent="0.35">
      <c r="A2533" s="241" t="s">
        <v>1272</v>
      </c>
      <c r="B2533" s="1031" t="s">
        <v>1273</v>
      </c>
      <c r="C2533" s="1032"/>
      <c r="D2533" s="1033"/>
      <c r="E2533" s="453">
        <v>83.5</v>
      </c>
      <c r="F2533" s="446" t="s">
        <v>8</v>
      </c>
      <c r="G2533" s="454"/>
      <c r="H2533" s="446"/>
      <c r="I2533" s="665">
        <v>1.04</v>
      </c>
      <c r="J2533" s="446"/>
      <c r="K2533" s="453">
        <f>+E2533*I2533</f>
        <v>86.84</v>
      </c>
      <c r="L2533" s="243" t="s">
        <v>8</v>
      </c>
      <c r="M2533" s="173"/>
      <c r="N2533" s="68"/>
      <c r="O2533" s="203"/>
      <c r="P2533" s="218"/>
      <c r="Q2533" s="68"/>
      <c r="R2533" s="217"/>
    </row>
    <row r="2534" spans="1:24" ht="30" customHeight="1" x14ac:dyDescent="0.35">
      <c r="A2534" s="241" t="s">
        <v>1274</v>
      </c>
      <c r="B2534" s="1031" t="s">
        <v>1275</v>
      </c>
      <c r="C2534" s="1032"/>
      <c r="D2534" s="1032"/>
      <c r="E2534" s="453">
        <v>3.42</v>
      </c>
      <c r="F2534" s="446" t="s">
        <v>8</v>
      </c>
      <c r="G2534" s="519"/>
      <c r="H2534" s="508"/>
      <c r="I2534" s="665">
        <v>1.04</v>
      </c>
      <c r="J2534" s="446"/>
      <c r="K2534" s="453">
        <f>+E2534*I2534</f>
        <v>3.5568</v>
      </c>
      <c r="L2534" s="243" t="s">
        <v>8</v>
      </c>
      <c r="M2534" s="173"/>
      <c r="N2534" s="68"/>
      <c r="O2534" s="203"/>
      <c r="P2534" s="218"/>
      <c r="Q2534" s="68"/>
      <c r="R2534" s="217"/>
      <c r="U2534" s="27"/>
      <c r="V2534" s="27"/>
      <c r="W2534" s="27"/>
      <c r="X2534" s="27"/>
    </row>
    <row r="2535" spans="1:24" s="27" customFormat="1" ht="30" customHeight="1" x14ac:dyDescent="0.35">
      <c r="A2535" s="241"/>
      <c r="B2535" s="1082"/>
      <c r="C2535" s="1083"/>
      <c r="D2535" s="1093"/>
      <c r="E2535" s="453"/>
      <c r="F2535" s="639"/>
      <c r="G2535" s="519"/>
      <c r="H2535" s="508"/>
      <c r="I2535" s="446"/>
      <c r="J2535" s="446" t="s">
        <v>335</v>
      </c>
      <c r="K2535" s="453">
        <f>SUM(K2533:K2534)</f>
        <v>90.396799999999999</v>
      </c>
      <c r="L2535" s="243" t="s">
        <v>8</v>
      </c>
      <c r="M2535" s="173"/>
      <c r="N2535" s="68"/>
      <c r="O2535" s="203"/>
      <c r="P2535" s="218"/>
      <c r="Q2535" s="68"/>
      <c r="R2535" s="217"/>
      <c r="S2535" s="203"/>
      <c r="T2535" s="213"/>
      <c r="U2535" s="208"/>
      <c r="V2535" s="208"/>
      <c r="W2535" s="208"/>
      <c r="X2535" s="208"/>
    </row>
    <row r="2536" spans="1:24" s="208" customFormat="1" ht="30" customHeight="1" x14ac:dyDescent="0.35">
      <c r="A2536" s="241"/>
      <c r="B2536" s="1168" t="s">
        <v>1264</v>
      </c>
      <c r="C2536" s="1169"/>
      <c r="D2536" s="1170"/>
      <c r="E2536" s="453"/>
      <c r="F2536" s="1029" t="s">
        <v>302</v>
      </c>
      <c r="G2536" s="1058" t="s">
        <v>303</v>
      </c>
      <c r="H2536" s="1058"/>
      <c r="I2536" s="1058"/>
      <c r="J2536" s="1058"/>
      <c r="K2536" s="665">
        <v>1.0900000000000001</v>
      </c>
      <c r="L2536" s="243"/>
      <c r="M2536" s="173"/>
      <c r="N2536" s="68"/>
      <c r="O2536" s="205"/>
      <c r="P2536" s="203"/>
      <c r="Q2536" s="203"/>
      <c r="R2536" s="203"/>
      <c r="S2536" s="203"/>
      <c r="T2536" s="51"/>
      <c r="U2536" s="203"/>
      <c r="V2536" s="203"/>
      <c r="W2536" s="203"/>
      <c r="X2536" s="203"/>
    </row>
    <row r="2537" spans="1:24" ht="30" customHeight="1" x14ac:dyDescent="0.35">
      <c r="A2537" s="241"/>
      <c r="B2537" s="506"/>
      <c r="C2537" s="506"/>
      <c r="D2537" s="506"/>
      <c r="E2537" s="453"/>
      <c r="F2537" s="1030"/>
      <c r="G2537" s="1073" t="s">
        <v>2374</v>
      </c>
      <c r="H2537" s="1073"/>
      <c r="I2537" s="1073"/>
      <c r="J2537" s="1073"/>
      <c r="K2537" s="612">
        <v>1.08</v>
      </c>
      <c r="L2537" s="243"/>
      <c r="M2537" s="173"/>
      <c r="N2537" s="68"/>
      <c r="P2537" s="75"/>
      <c r="Q2537" s="75"/>
      <c r="R2537" s="75"/>
      <c r="S2537" s="213"/>
    </row>
    <row r="2538" spans="1:24" ht="30" customHeight="1" x14ac:dyDescent="0.35">
      <c r="A2538" s="241"/>
      <c r="B2538" s="446"/>
      <c r="C2538" s="458"/>
      <c r="D2538" s="458"/>
      <c r="E2538" s="458"/>
      <c r="F2538" s="458"/>
      <c r="G2538" s="458"/>
      <c r="H2538" s="458"/>
      <c r="I2538" s="458"/>
      <c r="J2538" s="446" t="s">
        <v>2356</v>
      </c>
      <c r="K2538" s="591">
        <f>+K2535*K2536/K2537</f>
        <v>91.233807407407411</v>
      </c>
      <c r="L2538" s="243" t="s">
        <v>8</v>
      </c>
      <c r="M2538" s="173"/>
      <c r="P2538" s="171"/>
      <c r="Q2538" s="171"/>
      <c r="R2538" s="171"/>
      <c r="S2538" s="51"/>
    </row>
    <row r="2539" spans="1:24" ht="30" customHeight="1" thickBot="1" x14ac:dyDescent="0.4">
      <c r="A2539" s="241"/>
      <c r="B2539" s="446"/>
      <c r="C2539" s="458"/>
      <c r="D2539" s="458"/>
      <c r="E2539" s="458"/>
      <c r="F2539" s="458"/>
      <c r="G2539" s="458"/>
      <c r="H2539" s="458"/>
      <c r="I2539" s="820" t="s">
        <v>2358</v>
      </c>
      <c r="J2539" s="583">
        <f>VLOOKUP(B2531,'Mil Cost Premiums for PUCs'!$A$4:$R$272,18,FALSE)</f>
        <v>1.1025891562650529</v>
      </c>
      <c r="K2539" s="591">
        <f>+K2538*J2539</f>
        <v>100.59340673218168</v>
      </c>
      <c r="L2539" s="243" t="s">
        <v>8</v>
      </c>
      <c r="M2539" s="173"/>
      <c r="O2539" s="203"/>
      <c r="P2539" s="218"/>
      <c r="Q2539" s="68"/>
      <c r="R2539" s="217"/>
    </row>
    <row r="2540" spans="1:24" ht="30" customHeight="1" thickBot="1" x14ac:dyDescent="0.4">
      <c r="A2540" s="1086"/>
      <c r="B2540" s="1087"/>
      <c r="C2540" s="1087"/>
      <c r="D2540" s="1087"/>
      <c r="E2540" s="1087"/>
      <c r="F2540" s="1087"/>
      <c r="G2540" s="1087"/>
      <c r="H2540" s="1087"/>
      <c r="I2540" s="1087"/>
      <c r="J2540" s="1087"/>
      <c r="K2540" s="1087"/>
      <c r="L2540" s="1088"/>
      <c r="M2540" s="173"/>
      <c r="O2540" s="203"/>
      <c r="P2540" s="218"/>
      <c r="Q2540" s="68"/>
      <c r="R2540" s="217"/>
      <c r="T2540" s="208"/>
      <c r="U2540" s="208"/>
      <c r="V2540" s="208"/>
      <c r="W2540" s="208"/>
      <c r="X2540" s="208"/>
    </row>
    <row r="2541" spans="1:24" s="208" customFormat="1" ht="30" customHeight="1" x14ac:dyDescent="0.35">
      <c r="A2541" s="465" t="s">
        <v>278</v>
      </c>
      <c r="B2541" s="539">
        <v>4511</v>
      </c>
      <c r="C2541" s="1017" t="s">
        <v>1276</v>
      </c>
      <c r="D2541" s="1018"/>
      <c r="E2541" s="541" t="s">
        <v>280</v>
      </c>
      <c r="F2541" s="542" t="s">
        <v>3</v>
      </c>
      <c r="G2541" s="543" t="s">
        <v>285</v>
      </c>
      <c r="H2541" s="632">
        <v>10261</v>
      </c>
      <c r="I2541" s="541" t="s">
        <v>281</v>
      </c>
      <c r="J2541" s="1019" t="s">
        <v>2371</v>
      </c>
      <c r="K2541" s="1019"/>
      <c r="L2541" s="1020"/>
      <c r="M2541" s="173"/>
      <c r="N2541" s="68"/>
      <c r="O2541" s="203"/>
      <c r="P2541" s="218"/>
      <c r="Q2541" s="68"/>
      <c r="R2541" s="217"/>
      <c r="S2541" s="203"/>
      <c r="T2541" s="203"/>
      <c r="U2541" s="203"/>
      <c r="V2541" s="203"/>
      <c r="W2541" s="203"/>
      <c r="X2541" s="203"/>
    </row>
    <row r="2542" spans="1:24" ht="30" customHeight="1" x14ac:dyDescent="0.35">
      <c r="A2542" s="588" t="s">
        <v>298</v>
      </c>
      <c r="B2542" s="1038" t="s">
        <v>321</v>
      </c>
      <c r="C2542" s="1039"/>
      <c r="D2542" s="1040"/>
      <c r="E2542" s="23" t="s">
        <v>290</v>
      </c>
      <c r="F2542" s="23" t="s">
        <v>322</v>
      </c>
      <c r="G2542" s="1034" t="s">
        <v>323</v>
      </c>
      <c r="H2542" s="1035"/>
      <c r="I2542" s="509" t="s">
        <v>299</v>
      </c>
      <c r="J2542" s="509"/>
      <c r="K2542" s="1012" t="s">
        <v>292</v>
      </c>
      <c r="L2542" s="1013"/>
      <c r="M2542" s="173"/>
      <c r="N2542" s="68"/>
      <c r="O2542" s="208"/>
      <c r="P2542" s="218"/>
      <c r="Q2542" s="68"/>
      <c r="R2542" s="217"/>
      <c r="S2542" s="208"/>
    </row>
    <row r="2543" spans="1:24" ht="30" customHeight="1" x14ac:dyDescent="0.35">
      <c r="A2543" s="241" t="s">
        <v>331</v>
      </c>
      <c r="B2543" s="1031" t="s">
        <v>1217</v>
      </c>
      <c r="C2543" s="1032"/>
      <c r="D2543" s="1033"/>
      <c r="E2543" s="453">
        <v>0.78</v>
      </c>
      <c r="F2543" s="446" t="s">
        <v>8</v>
      </c>
      <c r="G2543" s="454">
        <v>9</v>
      </c>
      <c r="H2543" s="446" t="s">
        <v>1218</v>
      </c>
      <c r="I2543" s="665">
        <v>1.03</v>
      </c>
      <c r="J2543" s="446"/>
      <c r="K2543" s="453">
        <f>+E2543*I2543*G2543</f>
        <v>7.2305999999999999</v>
      </c>
      <c r="L2543" s="243" t="s">
        <v>3</v>
      </c>
      <c r="M2543" s="173"/>
      <c r="N2543" s="68"/>
      <c r="O2543" s="203"/>
      <c r="P2543" s="218"/>
      <c r="Q2543" s="68"/>
      <c r="R2543" s="217"/>
    </row>
    <row r="2544" spans="1:24" ht="30" customHeight="1" x14ac:dyDescent="0.35">
      <c r="A2544" s="241" t="s">
        <v>331</v>
      </c>
      <c r="B2544" s="1082" t="s">
        <v>1219</v>
      </c>
      <c r="C2544" s="1083"/>
      <c r="D2544" s="1093"/>
      <c r="E2544" s="51">
        <v>2.29</v>
      </c>
      <c r="F2544" s="446" t="s">
        <v>8</v>
      </c>
      <c r="G2544" s="454">
        <v>9</v>
      </c>
      <c r="H2544" s="446" t="s">
        <v>1218</v>
      </c>
      <c r="I2544" s="665">
        <v>1.03</v>
      </c>
      <c r="J2544" s="446"/>
      <c r="K2544" s="453">
        <f>+E2544*I2544*G2544</f>
        <v>21.228300000000001</v>
      </c>
      <c r="L2544" s="243" t="s">
        <v>3</v>
      </c>
      <c r="M2544" s="173"/>
      <c r="N2544" s="68"/>
      <c r="O2544" s="203"/>
      <c r="P2544" s="218"/>
      <c r="Q2544" s="68"/>
      <c r="R2544" s="217"/>
    </row>
    <row r="2545" spans="1:18" ht="30" customHeight="1" x14ac:dyDescent="0.35">
      <c r="A2545" s="241" t="s">
        <v>331</v>
      </c>
      <c r="B2545" s="1031" t="s">
        <v>1220</v>
      </c>
      <c r="C2545" s="1032"/>
      <c r="D2545" s="1032"/>
      <c r="E2545" s="453">
        <v>4.07</v>
      </c>
      <c r="F2545" s="639" t="s">
        <v>8</v>
      </c>
      <c r="G2545" s="454">
        <v>9</v>
      </c>
      <c r="H2545" s="446" t="s">
        <v>1218</v>
      </c>
      <c r="I2545" s="665">
        <v>1.03</v>
      </c>
      <c r="J2545" s="446"/>
      <c r="K2545" s="453">
        <f>+E2545*I2545*G2545</f>
        <v>37.72890000000001</v>
      </c>
      <c r="L2545" s="243" t="s">
        <v>3</v>
      </c>
      <c r="M2545" s="173"/>
      <c r="N2545" s="68"/>
      <c r="O2545" s="203"/>
      <c r="P2545" s="218"/>
      <c r="Q2545" s="68"/>
      <c r="R2545" s="217"/>
    </row>
    <row r="2546" spans="1:18" ht="30" customHeight="1" x14ac:dyDescent="0.35">
      <c r="A2546" s="241"/>
      <c r="B2546" s="1082"/>
      <c r="C2546" s="1083"/>
      <c r="D2546" s="1093"/>
      <c r="E2546" s="453"/>
      <c r="F2546" s="446"/>
      <c r="G2546" s="458"/>
      <c r="H2546" s="1104" t="s">
        <v>1277</v>
      </c>
      <c r="I2546" s="1105"/>
      <c r="J2546" s="1106"/>
      <c r="K2546" s="607">
        <f>AVERAGE(K2544:K2545)</f>
        <v>29.478600000000007</v>
      </c>
      <c r="L2546" s="243" t="s">
        <v>3</v>
      </c>
      <c r="M2546" s="173"/>
      <c r="N2546" s="68"/>
      <c r="O2546" s="203"/>
      <c r="P2546" s="218"/>
      <c r="Q2546" s="68"/>
      <c r="R2546" s="217"/>
    </row>
    <row r="2547" spans="1:18" ht="30" customHeight="1" x14ac:dyDescent="0.35">
      <c r="A2547" s="241"/>
      <c r="B2547" s="1175"/>
      <c r="C2547" s="1176"/>
      <c r="D2547" s="1177"/>
      <c r="E2547" s="453"/>
      <c r="F2547" s="639"/>
      <c r="G2547" s="454"/>
      <c r="H2547" s="446"/>
      <c r="I2547" s="446"/>
      <c r="J2547" s="446" t="s">
        <v>335</v>
      </c>
      <c r="K2547" s="453">
        <f>+K2546+K2543</f>
        <v>36.70920000000001</v>
      </c>
      <c r="L2547" s="243" t="s">
        <v>3</v>
      </c>
      <c r="M2547" s="173"/>
      <c r="N2547" s="68"/>
      <c r="O2547" s="203"/>
      <c r="P2547" s="218"/>
      <c r="Q2547" s="68"/>
      <c r="R2547" s="217"/>
    </row>
    <row r="2548" spans="1:18" ht="30" customHeight="1" x14ac:dyDescent="0.35">
      <c r="A2548" s="241"/>
      <c r="B2548" s="506"/>
      <c r="C2548" s="506"/>
      <c r="D2548" s="506"/>
      <c r="E2548" s="453"/>
      <c r="F2548" s="1029" t="s">
        <v>302</v>
      </c>
      <c r="G2548" s="1058" t="s">
        <v>303</v>
      </c>
      <c r="H2548" s="1058"/>
      <c r="I2548" s="1058"/>
      <c r="J2548" s="1058"/>
      <c r="K2548" s="665">
        <v>1.07</v>
      </c>
      <c r="L2548" s="243"/>
      <c r="M2548" s="173"/>
      <c r="N2548" s="68"/>
      <c r="O2548" s="203"/>
      <c r="P2548" s="218"/>
      <c r="Q2548" s="68"/>
      <c r="R2548" s="217"/>
    </row>
    <row r="2549" spans="1:18" ht="30" customHeight="1" x14ac:dyDescent="0.35">
      <c r="A2549" s="241"/>
      <c r="B2549" s="506"/>
      <c r="C2549" s="506"/>
      <c r="D2549" s="506"/>
      <c r="E2549" s="453"/>
      <c r="F2549" s="1030"/>
      <c r="G2549" s="1073" t="s">
        <v>2374</v>
      </c>
      <c r="H2549" s="1073"/>
      <c r="I2549" s="1073"/>
      <c r="J2549" s="1073"/>
      <c r="K2549" s="612">
        <v>1.08</v>
      </c>
      <c r="L2549" s="243"/>
      <c r="M2549" s="173"/>
      <c r="N2549" s="68"/>
      <c r="O2549" s="203"/>
      <c r="P2549" s="218"/>
      <c r="Q2549" s="68"/>
      <c r="R2549" s="217"/>
    </row>
    <row r="2550" spans="1:18" ht="30" customHeight="1" x14ac:dyDescent="0.35">
      <c r="A2550" s="241"/>
      <c r="B2550" s="1082"/>
      <c r="C2550" s="1083"/>
      <c r="D2550" s="1093"/>
      <c r="E2550" s="453"/>
      <c r="F2550" s="639"/>
      <c r="G2550" s="519"/>
      <c r="H2550" s="508"/>
      <c r="I2550" s="171"/>
      <c r="J2550" s="639" t="s">
        <v>2356</v>
      </c>
      <c r="K2550" s="591">
        <f>+K2547*K2548/K2549</f>
        <v>36.36930000000001</v>
      </c>
      <c r="L2550" s="243" t="s">
        <v>3</v>
      </c>
      <c r="M2550" s="173"/>
      <c r="N2550" s="68"/>
      <c r="O2550" s="203"/>
      <c r="P2550" s="218"/>
      <c r="Q2550" s="68"/>
      <c r="R2550" s="217"/>
    </row>
    <row r="2551" spans="1:18" ht="30" customHeight="1" thickBot="1" x14ac:dyDescent="0.4">
      <c r="A2551" s="241"/>
      <c r="B2551" s="1082"/>
      <c r="C2551" s="1083"/>
      <c r="D2551" s="1093"/>
      <c r="E2551" s="453"/>
      <c r="F2551" s="639"/>
      <c r="G2551" s="592" t="s">
        <v>2358</v>
      </c>
      <c r="H2551" s="508"/>
      <c r="I2551" s="639"/>
      <c r="J2551" s="583">
        <f>VLOOKUP(B2541,'Mil Cost Premiums for PUCs'!$A$4:$R$272,18,FALSE)</f>
        <v>1.0905505199999999</v>
      </c>
      <c r="K2551" s="591">
        <f>+K2550*J2551</f>
        <v>39.662559027036004</v>
      </c>
      <c r="L2551" s="243" t="s">
        <v>3</v>
      </c>
      <c r="M2551" s="173"/>
      <c r="N2551" s="68"/>
      <c r="O2551" s="203"/>
      <c r="P2551" s="218"/>
      <c r="Q2551" s="68"/>
      <c r="R2551" s="217"/>
    </row>
    <row r="2552" spans="1:18" ht="30" customHeight="1" thickBot="1" x14ac:dyDescent="0.4">
      <c r="A2552" s="1086"/>
      <c r="B2552" s="1087"/>
      <c r="C2552" s="1087"/>
      <c r="D2552" s="1087"/>
      <c r="E2552" s="1087"/>
      <c r="F2552" s="1087"/>
      <c r="G2552" s="1087"/>
      <c r="H2552" s="1087"/>
      <c r="I2552" s="1087"/>
      <c r="J2552" s="1087"/>
      <c r="K2552" s="1087"/>
      <c r="L2552" s="1088"/>
      <c r="M2552" s="173"/>
      <c r="N2552" s="419"/>
      <c r="O2552" s="171"/>
      <c r="P2552" s="216"/>
      <c r="Q2552" s="419"/>
      <c r="R2552" s="219"/>
    </row>
    <row r="2553" spans="1:18" ht="30" customHeight="1" x14ac:dyDescent="0.35">
      <c r="A2553" s="465" t="s">
        <v>278</v>
      </c>
      <c r="B2553" s="539">
        <v>4521</v>
      </c>
      <c r="C2553" s="1096" t="s">
        <v>1278</v>
      </c>
      <c r="D2553" s="1097"/>
      <c r="E2553" s="541" t="s">
        <v>280</v>
      </c>
      <c r="F2553" s="542" t="s">
        <v>3</v>
      </c>
      <c r="G2553" s="543" t="s">
        <v>285</v>
      </c>
      <c r="H2553" s="632">
        <v>13867</v>
      </c>
      <c r="I2553" s="541" t="s">
        <v>281</v>
      </c>
      <c r="J2553" s="1019" t="s">
        <v>2371</v>
      </c>
      <c r="K2553" s="1019"/>
      <c r="L2553" s="1020"/>
      <c r="M2553" s="173"/>
      <c r="N2553" s="419"/>
      <c r="O2553" s="171"/>
      <c r="P2553" s="216"/>
      <c r="Q2553" s="419"/>
      <c r="R2553" s="219"/>
    </row>
    <row r="2554" spans="1:18" ht="30" customHeight="1" x14ac:dyDescent="0.35">
      <c r="A2554" s="588" t="s">
        <v>298</v>
      </c>
      <c r="B2554" s="1038" t="s">
        <v>321</v>
      </c>
      <c r="C2554" s="1039"/>
      <c r="D2554" s="1040"/>
      <c r="E2554" s="23" t="s">
        <v>290</v>
      </c>
      <c r="F2554" s="23" t="s">
        <v>322</v>
      </c>
      <c r="G2554" s="1034" t="s">
        <v>323</v>
      </c>
      <c r="H2554" s="1035"/>
      <c r="I2554" s="509" t="s">
        <v>299</v>
      </c>
      <c r="J2554" s="509"/>
      <c r="K2554" s="1012" t="s">
        <v>292</v>
      </c>
      <c r="L2554" s="1013"/>
      <c r="M2554" s="173"/>
      <c r="N2554" s="68"/>
      <c r="O2554" s="203"/>
      <c r="P2554" s="218"/>
      <c r="Q2554" s="68"/>
      <c r="R2554" s="217"/>
    </row>
    <row r="2555" spans="1:18" ht="30" customHeight="1" x14ac:dyDescent="0.35">
      <c r="A2555" s="241" t="s">
        <v>331</v>
      </c>
      <c r="B2555" s="1031" t="s">
        <v>1217</v>
      </c>
      <c r="C2555" s="1032"/>
      <c r="D2555" s="1033"/>
      <c r="E2555" s="453">
        <v>0.74</v>
      </c>
      <c r="F2555" s="446" t="s">
        <v>8</v>
      </c>
      <c r="G2555" s="454">
        <v>9</v>
      </c>
      <c r="H2555" s="446" t="s">
        <v>1218</v>
      </c>
      <c r="I2555" s="665">
        <v>1.05</v>
      </c>
      <c r="J2555" s="446"/>
      <c r="K2555" s="453">
        <f>+E2555*I2555*G2555</f>
        <v>6.9930000000000003</v>
      </c>
      <c r="L2555" s="243" t="s">
        <v>3</v>
      </c>
      <c r="M2555" s="173"/>
      <c r="N2555" s="68"/>
      <c r="O2555" s="203"/>
      <c r="P2555" s="218"/>
      <c r="Q2555" s="68"/>
      <c r="R2555" s="217"/>
    </row>
    <row r="2556" spans="1:18" ht="30" customHeight="1" x14ac:dyDescent="0.35">
      <c r="A2556" s="241" t="s">
        <v>331</v>
      </c>
      <c r="B2556" s="1082" t="s">
        <v>1219</v>
      </c>
      <c r="C2556" s="1083"/>
      <c r="D2556" s="1093"/>
      <c r="E2556" s="51">
        <v>2.1800000000000002</v>
      </c>
      <c r="F2556" s="446" t="s">
        <v>8</v>
      </c>
      <c r="G2556" s="454">
        <v>9</v>
      </c>
      <c r="H2556" s="446" t="s">
        <v>1218</v>
      </c>
      <c r="I2556" s="665">
        <v>1.05</v>
      </c>
      <c r="J2556" s="446"/>
      <c r="K2556" s="453">
        <f>+E2556*I2556*G2556</f>
        <v>20.601000000000003</v>
      </c>
      <c r="L2556" s="243" t="s">
        <v>3</v>
      </c>
      <c r="M2556" s="173"/>
      <c r="N2556" s="68"/>
      <c r="O2556" s="203"/>
      <c r="P2556" s="218"/>
      <c r="Q2556" s="68"/>
      <c r="R2556" s="217"/>
    </row>
    <row r="2557" spans="1:18" ht="30" customHeight="1" x14ac:dyDescent="0.35">
      <c r="A2557" s="241" t="s">
        <v>331</v>
      </c>
      <c r="B2557" s="1031" t="s">
        <v>1220</v>
      </c>
      <c r="C2557" s="1032"/>
      <c r="D2557" s="1032"/>
      <c r="E2557" s="453">
        <v>3.86</v>
      </c>
      <c r="F2557" s="639" t="s">
        <v>8</v>
      </c>
      <c r="G2557" s="454">
        <v>9</v>
      </c>
      <c r="H2557" s="446" t="s">
        <v>1218</v>
      </c>
      <c r="I2557" s="665">
        <v>1.05</v>
      </c>
      <c r="J2557" s="446"/>
      <c r="K2557" s="453">
        <f>+E2557*I2557*G2557</f>
        <v>36.476999999999997</v>
      </c>
      <c r="L2557" s="243" t="s">
        <v>3</v>
      </c>
      <c r="M2557" s="173"/>
      <c r="N2557" s="68"/>
      <c r="O2557" s="203"/>
      <c r="P2557" s="218"/>
      <c r="Q2557" s="68"/>
      <c r="R2557" s="217"/>
    </row>
    <row r="2558" spans="1:18" ht="30" customHeight="1" x14ac:dyDescent="0.35">
      <c r="A2558" s="241"/>
      <c r="B2558" s="1082"/>
      <c r="C2558" s="1083"/>
      <c r="D2558" s="1093"/>
      <c r="E2558" s="453"/>
      <c r="F2558" s="446"/>
      <c r="G2558" s="458"/>
      <c r="H2558" s="1104" t="s">
        <v>1277</v>
      </c>
      <c r="I2558" s="1105"/>
      <c r="J2558" s="1106"/>
      <c r="K2558" s="607">
        <f>AVERAGE(K2556:K2557)</f>
        <v>28.539000000000001</v>
      </c>
      <c r="L2558" s="243" t="s">
        <v>3</v>
      </c>
      <c r="M2558" s="173"/>
      <c r="N2558" s="68"/>
      <c r="O2558" s="203"/>
      <c r="P2558" s="218"/>
      <c r="Q2558" s="68"/>
      <c r="R2558" s="217"/>
    </row>
    <row r="2559" spans="1:18" ht="30" customHeight="1" x14ac:dyDescent="0.35">
      <c r="A2559" s="241"/>
      <c r="B2559" s="1175"/>
      <c r="C2559" s="1176"/>
      <c r="D2559" s="1177"/>
      <c r="E2559" s="453"/>
      <c r="F2559" s="639"/>
      <c r="G2559" s="454"/>
      <c r="H2559" s="446"/>
      <c r="I2559" s="446"/>
      <c r="J2559" s="446" t="s">
        <v>335</v>
      </c>
      <c r="K2559" s="453">
        <f>+K2558+K2555</f>
        <v>35.532000000000004</v>
      </c>
      <c r="L2559" s="243" t="s">
        <v>3</v>
      </c>
      <c r="M2559" s="173"/>
      <c r="N2559" s="68"/>
      <c r="O2559" s="203"/>
      <c r="P2559" s="218"/>
      <c r="Q2559" s="68"/>
      <c r="R2559" s="217"/>
    </row>
    <row r="2560" spans="1:18" ht="30" customHeight="1" x14ac:dyDescent="0.35">
      <c r="A2560" s="241"/>
      <c r="B2560" s="506"/>
      <c r="C2560" s="506"/>
      <c r="D2560" s="506"/>
      <c r="E2560" s="453"/>
      <c r="F2560" s="1029" t="s">
        <v>302</v>
      </c>
      <c r="G2560" s="1058" t="s">
        <v>303</v>
      </c>
      <c r="H2560" s="1058"/>
      <c r="I2560" s="1058"/>
      <c r="J2560" s="1058"/>
      <c r="K2560" s="665">
        <v>1.07</v>
      </c>
      <c r="L2560" s="243"/>
      <c r="M2560" s="173"/>
      <c r="N2560" s="68"/>
      <c r="O2560" s="203"/>
      <c r="P2560" s="218"/>
      <c r="Q2560" s="68"/>
      <c r="R2560" s="217"/>
    </row>
    <row r="2561" spans="1:24" ht="30" customHeight="1" x14ac:dyDescent="0.35">
      <c r="A2561" s="241"/>
      <c r="B2561" s="506"/>
      <c r="C2561" s="506"/>
      <c r="D2561" s="506"/>
      <c r="E2561" s="453"/>
      <c r="F2561" s="1030"/>
      <c r="G2561" s="1073" t="s">
        <v>2374</v>
      </c>
      <c r="H2561" s="1073"/>
      <c r="I2561" s="1073"/>
      <c r="J2561" s="1073"/>
      <c r="K2561" s="612">
        <v>1.08</v>
      </c>
      <c r="L2561" s="243"/>
      <c r="M2561" s="173"/>
      <c r="N2561" s="68"/>
      <c r="O2561" s="203"/>
      <c r="P2561" s="218"/>
      <c r="Q2561" s="68"/>
      <c r="R2561" s="217"/>
    </row>
    <row r="2562" spans="1:24" ht="30" customHeight="1" x14ac:dyDescent="0.35">
      <c r="A2562" s="241"/>
      <c r="B2562" s="1082"/>
      <c r="C2562" s="1083"/>
      <c r="D2562" s="1093"/>
      <c r="E2562" s="453"/>
      <c r="F2562" s="639"/>
      <c r="G2562" s="519"/>
      <c r="H2562" s="508"/>
      <c r="I2562" s="1163" t="s">
        <v>2356</v>
      </c>
      <c r="J2562" s="1174"/>
      <c r="K2562" s="591">
        <f>+K2559*K2560/K2561</f>
        <v>35.203000000000003</v>
      </c>
      <c r="L2562" s="243" t="s">
        <v>3</v>
      </c>
      <c r="M2562" s="173"/>
      <c r="N2562" s="68"/>
      <c r="O2562" s="203"/>
      <c r="P2562" s="218"/>
      <c r="Q2562" s="68"/>
      <c r="R2562" s="217"/>
    </row>
    <row r="2563" spans="1:24" ht="30" customHeight="1" thickBot="1" x14ac:dyDescent="0.4">
      <c r="A2563" s="241"/>
      <c r="B2563" s="485"/>
      <c r="C2563" s="610"/>
      <c r="D2563" s="608"/>
      <c r="E2563" s="453"/>
      <c r="F2563" s="639"/>
      <c r="G2563" s="171"/>
      <c r="H2563" s="508"/>
      <c r="I2563" s="821" t="s">
        <v>2359</v>
      </c>
      <c r="J2563" s="583">
        <f>VLOOKUP(B2553,'Mil Cost Premiums for PUCs'!$A$4:$R$272,18,FALSE)</f>
        <v>1.0905505199999999</v>
      </c>
      <c r="K2563" s="591">
        <f>+K2562*J2563</f>
        <v>38.390649955560001</v>
      </c>
      <c r="L2563" s="243" t="s">
        <v>3</v>
      </c>
      <c r="M2563" s="173"/>
      <c r="N2563" s="68"/>
      <c r="O2563" s="203"/>
      <c r="P2563" s="218"/>
      <c r="Q2563" s="68"/>
      <c r="R2563" s="217"/>
    </row>
    <row r="2564" spans="1:24" ht="30" customHeight="1" thickBot="1" x14ac:dyDescent="0.4">
      <c r="A2564" s="1086"/>
      <c r="B2564" s="1087"/>
      <c r="C2564" s="1087"/>
      <c r="D2564" s="1087"/>
      <c r="E2564" s="1087"/>
      <c r="F2564" s="1087"/>
      <c r="G2564" s="1087"/>
      <c r="H2564" s="1087"/>
      <c r="I2564" s="1087"/>
      <c r="J2564" s="1087"/>
      <c r="K2564" s="1087"/>
      <c r="L2564" s="1088"/>
      <c r="M2564" s="173"/>
      <c r="N2564" s="68"/>
      <c r="O2564" s="203"/>
      <c r="P2564" s="218"/>
      <c r="Q2564" s="68"/>
      <c r="R2564" s="217"/>
    </row>
    <row r="2565" spans="1:24" ht="30" customHeight="1" x14ac:dyDescent="0.35">
      <c r="A2565" s="465" t="s">
        <v>278</v>
      </c>
      <c r="B2565" s="539">
        <v>5100</v>
      </c>
      <c r="C2565" s="1060" t="s">
        <v>1279</v>
      </c>
      <c r="D2565" s="1061"/>
      <c r="E2565" s="541" t="s">
        <v>280</v>
      </c>
      <c r="F2565" s="542" t="s">
        <v>8</v>
      </c>
      <c r="G2565" s="543" t="s">
        <v>285</v>
      </c>
      <c r="H2565" s="569">
        <v>174570</v>
      </c>
      <c r="I2565" s="541" t="s">
        <v>281</v>
      </c>
      <c r="J2565" s="1019" t="s">
        <v>923</v>
      </c>
      <c r="K2565" s="1019"/>
      <c r="L2565" s="1020"/>
      <c r="M2565" s="173"/>
      <c r="N2565" s="68"/>
      <c r="O2565" s="203"/>
      <c r="P2565" s="218"/>
      <c r="Q2565" s="68"/>
      <c r="R2565" s="217"/>
    </row>
    <row r="2566" spans="1:24" ht="30" customHeight="1" x14ac:dyDescent="0.35">
      <c r="A2566" s="545" t="s">
        <v>288</v>
      </c>
      <c r="B2566" s="1051" t="s">
        <v>282</v>
      </c>
      <c r="C2566" s="1051"/>
      <c r="D2566" s="1051"/>
      <c r="E2566" s="509" t="s">
        <v>289</v>
      </c>
      <c r="F2566" s="561" t="s">
        <v>290</v>
      </c>
      <c r="G2566" s="1094" t="s">
        <v>2</v>
      </c>
      <c r="H2566" s="1095"/>
      <c r="I2566" s="1052" t="s">
        <v>405</v>
      </c>
      <c r="J2566" s="1053"/>
      <c r="K2566" s="1012" t="s">
        <v>292</v>
      </c>
      <c r="L2566" s="1013"/>
      <c r="M2566" s="173"/>
      <c r="N2566" s="68"/>
      <c r="O2566" s="203"/>
      <c r="P2566" s="218"/>
      <c r="Q2566" s="68"/>
      <c r="R2566" s="217"/>
      <c r="T2566" s="208"/>
      <c r="U2566" s="208"/>
      <c r="V2566" s="208"/>
      <c r="W2566" s="208"/>
      <c r="X2566" s="208"/>
    </row>
    <row r="2567" spans="1:24" s="208" customFormat="1" ht="30" customHeight="1" x14ac:dyDescent="0.35">
      <c r="A2567" s="241">
        <v>51010</v>
      </c>
      <c r="B2567" s="1031" t="s">
        <v>1280</v>
      </c>
      <c r="C2567" s="1032"/>
      <c r="D2567" s="1033"/>
      <c r="E2567" s="694" t="s">
        <v>2182</v>
      </c>
      <c r="F2567" s="453">
        <v>458.11</v>
      </c>
      <c r="G2567" s="454" t="s">
        <v>8</v>
      </c>
      <c r="H2567" s="454"/>
      <c r="I2567" s="1015">
        <f>+'2021 MILCON Inflation Table'!F10</f>
        <v>1.3093098833874974</v>
      </c>
      <c r="J2567" s="1016"/>
      <c r="K2567" s="451">
        <f>+F2567*I2567</f>
        <v>599.80795067864642</v>
      </c>
      <c r="L2567" s="564" t="s">
        <v>8</v>
      </c>
      <c r="M2567" s="173"/>
      <c r="N2567" s="68"/>
      <c r="O2567" s="203"/>
      <c r="P2567" s="218"/>
      <c r="Q2567" s="68"/>
      <c r="R2567" s="217"/>
      <c r="S2567" s="203"/>
      <c r="T2567" s="203"/>
      <c r="U2567" s="203"/>
      <c r="V2567" s="203"/>
      <c r="W2567" s="203"/>
      <c r="X2567" s="203"/>
    </row>
    <row r="2568" spans="1:24" ht="30" customHeight="1" thickBot="1" x14ac:dyDescent="0.4">
      <c r="A2568" s="241"/>
      <c r="B2568" s="1031"/>
      <c r="C2568" s="1032"/>
      <c r="D2568" s="1033"/>
      <c r="E2568" s="553"/>
      <c r="F2568" s="706"/>
      <c r="G2568" s="553"/>
      <c r="H2568" s="707"/>
      <c r="I2568" s="458"/>
      <c r="J2568" s="510" t="s">
        <v>2356</v>
      </c>
      <c r="K2568" s="459">
        <f>AVERAGE(K2567:K2567)</f>
        <v>599.80795067864642</v>
      </c>
      <c r="L2568" s="564" t="s">
        <v>8</v>
      </c>
      <c r="M2568" s="173"/>
      <c r="N2568" s="68"/>
      <c r="O2568" s="208"/>
      <c r="P2568" s="218"/>
      <c r="Q2568" s="68"/>
      <c r="R2568" s="217"/>
      <c r="S2568" s="208"/>
    </row>
    <row r="2569" spans="1:24" ht="30" customHeight="1" thickBot="1" x14ac:dyDescent="0.4">
      <c r="A2569" s="1086"/>
      <c r="B2569" s="1087"/>
      <c r="C2569" s="1087"/>
      <c r="D2569" s="1087"/>
      <c r="E2569" s="1087"/>
      <c r="F2569" s="1087"/>
      <c r="G2569" s="1087"/>
      <c r="H2569" s="1087"/>
      <c r="I2569" s="1087"/>
      <c r="J2569" s="1087"/>
      <c r="K2569" s="1087"/>
      <c r="L2569" s="1088"/>
      <c r="M2569" s="173"/>
      <c r="N2569" s="68"/>
      <c r="O2569" s="203"/>
      <c r="P2569" s="218"/>
      <c r="Q2569" s="68"/>
      <c r="R2569" s="217"/>
    </row>
    <row r="2570" spans="1:24" ht="30" customHeight="1" x14ac:dyDescent="0.35">
      <c r="A2570" s="465" t="s">
        <v>278</v>
      </c>
      <c r="B2570" s="539">
        <v>5302</v>
      </c>
      <c r="C2570" s="1017" t="s">
        <v>1281</v>
      </c>
      <c r="D2570" s="1018"/>
      <c r="E2570" s="541" t="s">
        <v>280</v>
      </c>
      <c r="F2570" s="542" t="s">
        <v>8</v>
      </c>
      <c r="G2570" s="543" t="s">
        <v>285</v>
      </c>
      <c r="H2570" s="632">
        <v>7432</v>
      </c>
      <c r="I2570" s="541" t="s">
        <v>281</v>
      </c>
      <c r="J2570" s="1019" t="s">
        <v>2371</v>
      </c>
      <c r="K2570" s="1019"/>
      <c r="L2570" s="1020"/>
      <c r="M2570" s="173"/>
      <c r="N2570" s="68"/>
      <c r="O2570" s="203"/>
      <c r="P2570" s="218"/>
      <c r="Q2570" s="68"/>
      <c r="R2570" s="217"/>
    </row>
    <row r="2571" spans="1:24" ht="30" customHeight="1" x14ac:dyDescent="0.35">
      <c r="A2571" s="588" t="s">
        <v>298</v>
      </c>
      <c r="B2571" s="1038" t="s">
        <v>321</v>
      </c>
      <c r="C2571" s="1039"/>
      <c r="D2571" s="1040"/>
      <c r="E2571" s="23" t="s">
        <v>290</v>
      </c>
      <c r="F2571" s="23" t="s">
        <v>322</v>
      </c>
      <c r="G2571" s="1034" t="s">
        <v>323</v>
      </c>
      <c r="H2571" s="1035"/>
      <c r="I2571" s="509" t="s">
        <v>299</v>
      </c>
      <c r="J2571" s="509"/>
      <c r="K2571" s="1012" t="s">
        <v>292</v>
      </c>
      <c r="L2571" s="1013"/>
      <c r="M2571" s="173"/>
      <c r="N2571" s="68"/>
      <c r="O2571" s="203"/>
      <c r="P2571" s="218"/>
      <c r="Q2571" s="68"/>
      <c r="R2571" s="217"/>
    </row>
    <row r="2572" spans="1:24" ht="30" customHeight="1" x14ac:dyDescent="0.35">
      <c r="A2572" s="241" t="s">
        <v>365</v>
      </c>
      <c r="B2572" s="1082" t="s">
        <v>2399</v>
      </c>
      <c r="C2572" s="1083"/>
      <c r="D2572" s="1093"/>
      <c r="E2572" s="448">
        <v>242</v>
      </c>
      <c r="F2572" s="446" t="s">
        <v>8</v>
      </c>
      <c r="G2572" s="454"/>
      <c r="H2572" s="446"/>
      <c r="I2572" s="446">
        <v>1.03</v>
      </c>
      <c r="J2572" s="446"/>
      <c r="K2572" s="453">
        <f>+E2572*I2572</f>
        <v>249.26000000000002</v>
      </c>
      <c r="L2572" s="243" t="s">
        <v>8</v>
      </c>
      <c r="M2572" s="173"/>
      <c r="N2572" s="419"/>
      <c r="O2572" s="171"/>
      <c r="P2572" s="216"/>
      <c r="Q2572" s="419"/>
      <c r="R2572" s="219"/>
    </row>
    <row r="2573" spans="1:24" ht="30" customHeight="1" x14ac:dyDescent="0.35">
      <c r="A2573" s="241" t="s">
        <v>360</v>
      </c>
      <c r="B2573" s="1031" t="s">
        <v>1086</v>
      </c>
      <c r="C2573" s="1032"/>
      <c r="D2573" s="1032"/>
      <c r="E2573" s="453">
        <v>4.38</v>
      </c>
      <c r="F2573" s="446" t="s">
        <v>8</v>
      </c>
      <c r="G2573" s="519"/>
      <c r="H2573" s="508"/>
      <c r="I2573" s="446">
        <v>1.03</v>
      </c>
      <c r="J2573" s="446"/>
      <c r="K2573" s="453">
        <f>+E2573*I2573</f>
        <v>4.5114000000000001</v>
      </c>
      <c r="L2573" s="243" t="s">
        <v>8</v>
      </c>
      <c r="M2573" s="173"/>
      <c r="N2573" s="419"/>
      <c r="O2573" s="171"/>
      <c r="P2573" s="216"/>
      <c r="Q2573" s="419"/>
      <c r="R2573" s="219"/>
    </row>
    <row r="2574" spans="1:24" ht="30" customHeight="1" x14ac:dyDescent="0.35">
      <c r="A2574" s="241" t="s">
        <v>377</v>
      </c>
      <c r="B2574" s="1082" t="s">
        <v>1282</v>
      </c>
      <c r="C2574" s="1083"/>
      <c r="D2574" s="1093"/>
      <c r="E2574" s="453">
        <f>(20.3+31.5)/2</f>
        <v>25.9</v>
      </c>
      <c r="F2574" s="446" t="s">
        <v>8</v>
      </c>
      <c r="G2574" s="607">
        <f>81*E2574/H2570</f>
        <v>0.28227933261571586</v>
      </c>
      <c r="H2574" s="508" t="s">
        <v>937</v>
      </c>
      <c r="I2574" s="446">
        <v>1.03</v>
      </c>
      <c r="J2574" s="446"/>
      <c r="K2574" s="453">
        <f t="shared" ref="K2574:K2579" si="70">+G2574*I2574</f>
        <v>0.29074771259418736</v>
      </c>
      <c r="L2574" s="243" t="s">
        <v>8</v>
      </c>
      <c r="M2574" s="173"/>
      <c r="N2574" s="68"/>
      <c r="O2574" s="203"/>
      <c r="P2574" s="218"/>
      <c r="Q2574" s="68"/>
      <c r="R2574" s="217"/>
    </row>
    <row r="2575" spans="1:24" ht="30" customHeight="1" x14ac:dyDescent="0.35">
      <c r="A2575" s="241" t="s">
        <v>377</v>
      </c>
      <c r="B2575" s="1082" t="s">
        <v>1115</v>
      </c>
      <c r="C2575" s="1083"/>
      <c r="D2575" s="1093"/>
      <c r="E2575" s="453">
        <f>(1710+2420)/2</f>
        <v>2065</v>
      </c>
      <c r="F2575" s="446" t="s">
        <v>10</v>
      </c>
      <c r="G2575" s="591">
        <f>+E2575/H2570</f>
        <v>0.2778525296017223</v>
      </c>
      <c r="H2575" s="508" t="s">
        <v>937</v>
      </c>
      <c r="I2575" s="446">
        <v>1.03</v>
      </c>
      <c r="J2575" s="446"/>
      <c r="K2575" s="453">
        <f t="shared" si="70"/>
        <v>0.28618810548977397</v>
      </c>
      <c r="L2575" s="243" t="s">
        <v>8</v>
      </c>
      <c r="M2575" s="173"/>
      <c r="N2575" s="68"/>
      <c r="O2575" s="203"/>
      <c r="P2575" s="218"/>
      <c r="Q2575" s="68"/>
      <c r="R2575" s="217"/>
    </row>
    <row r="2576" spans="1:24" ht="30" customHeight="1" x14ac:dyDescent="0.35">
      <c r="A2576" s="241" t="s">
        <v>380</v>
      </c>
      <c r="B2576" s="1031" t="s">
        <v>1240</v>
      </c>
      <c r="C2576" s="1032"/>
      <c r="D2576" s="1033"/>
      <c r="E2576" s="453">
        <f>+(34.5+82)/2</f>
        <v>58.25</v>
      </c>
      <c r="F2576" s="446" t="s">
        <v>6</v>
      </c>
      <c r="G2576" s="591">
        <f>10*E2576/H2570</f>
        <v>7.8377287405812707E-2</v>
      </c>
      <c r="H2576" s="508" t="s">
        <v>937</v>
      </c>
      <c r="I2576" s="446">
        <v>1.03</v>
      </c>
      <c r="J2576" s="446"/>
      <c r="K2576" s="453">
        <f t="shared" si="70"/>
        <v>8.0728606027987093E-2</v>
      </c>
      <c r="L2576" s="243" t="s">
        <v>8</v>
      </c>
      <c r="M2576" s="363"/>
      <c r="N2576" s="68"/>
      <c r="O2576" s="203"/>
      <c r="P2576" s="218"/>
      <c r="Q2576" s="68"/>
      <c r="R2576" s="217"/>
      <c r="T2576" s="208"/>
      <c r="U2576" s="208"/>
      <c r="V2576" s="208"/>
      <c r="W2576" s="208"/>
      <c r="X2576" s="208"/>
    </row>
    <row r="2577" spans="1:24" s="208" customFormat="1" ht="30" customHeight="1" x14ac:dyDescent="0.35">
      <c r="A2577" s="241" t="s">
        <v>380</v>
      </c>
      <c r="B2577" s="516" t="s">
        <v>383</v>
      </c>
      <c r="C2577" s="570"/>
      <c r="D2577" s="571"/>
      <c r="E2577" s="453">
        <f>+(6450+12300)/2</f>
        <v>9375</v>
      </c>
      <c r="F2577" s="446" t="s">
        <v>10</v>
      </c>
      <c r="G2577" s="591">
        <f>+E2577/H2570</f>
        <v>1.2614370290635091</v>
      </c>
      <c r="H2577" s="508" t="s">
        <v>937</v>
      </c>
      <c r="I2577" s="446">
        <v>1.03</v>
      </c>
      <c r="J2577" s="446"/>
      <c r="K2577" s="453">
        <f t="shared" si="70"/>
        <v>1.2992801399354144</v>
      </c>
      <c r="L2577" s="243" t="s">
        <v>8</v>
      </c>
      <c r="M2577" s="173"/>
      <c r="N2577" s="68"/>
      <c r="O2577" s="203"/>
      <c r="P2577" s="218"/>
      <c r="Q2577" s="68"/>
      <c r="R2577" s="217"/>
      <c r="S2577" s="203"/>
      <c r="T2577" s="203"/>
      <c r="U2577" s="203"/>
      <c r="V2577" s="203"/>
      <c r="W2577" s="203"/>
      <c r="X2577" s="203"/>
    </row>
    <row r="2578" spans="1:24" ht="30" customHeight="1" x14ac:dyDescent="0.35">
      <c r="A2578" s="241" t="s">
        <v>380</v>
      </c>
      <c r="B2578" s="1031" t="s">
        <v>1257</v>
      </c>
      <c r="C2578" s="1032"/>
      <c r="D2578" s="1033"/>
      <c r="E2578" s="453">
        <f>+(660+1010)/2</f>
        <v>835</v>
      </c>
      <c r="F2578" s="446" t="s">
        <v>10</v>
      </c>
      <c r="G2578" s="591">
        <f>+E2578/H2570</f>
        <v>0.11235199138858988</v>
      </c>
      <c r="H2578" s="508" t="s">
        <v>937</v>
      </c>
      <c r="I2578" s="446">
        <v>1.03</v>
      </c>
      <c r="J2578" s="446"/>
      <c r="K2578" s="453">
        <f t="shared" si="70"/>
        <v>0.11572255113024758</v>
      </c>
      <c r="L2578" s="243" t="s">
        <v>8</v>
      </c>
      <c r="M2578" s="173"/>
      <c r="N2578" s="68"/>
      <c r="O2578" s="208"/>
      <c r="P2578" s="218"/>
      <c r="Q2578" s="68"/>
      <c r="R2578" s="217"/>
      <c r="S2578" s="208"/>
    </row>
    <row r="2579" spans="1:24" ht="30" customHeight="1" x14ac:dyDescent="0.35">
      <c r="A2579" s="241" t="s">
        <v>380</v>
      </c>
      <c r="B2579" s="1031" t="s">
        <v>385</v>
      </c>
      <c r="C2579" s="1032"/>
      <c r="D2579" s="1033"/>
      <c r="E2579" s="453">
        <f>+(1160+3475)/2</f>
        <v>2317.5</v>
      </c>
      <c r="F2579" s="446" t="s">
        <v>10</v>
      </c>
      <c r="G2579" s="591">
        <f>+E2579/H2570</f>
        <v>0.31182723358449949</v>
      </c>
      <c r="H2579" s="508" t="s">
        <v>937</v>
      </c>
      <c r="I2579" s="446">
        <v>1.03</v>
      </c>
      <c r="J2579" s="446"/>
      <c r="K2579" s="453">
        <f t="shared" si="70"/>
        <v>0.32118205059203447</v>
      </c>
      <c r="L2579" s="243" t="s">
        <v>8</v>
      </c>
      <c r="M2579" s="173"/>
      <c r="N2579" s="68"/>
      <c r="O2579" s="203"/>
      <c r="P2579" s="218"/>
      <c r="Q2579" s="68"/>
      <c r="R2579" s="217"/>
    </row>
    <row r="2580" spans="1:24" ht="30" customHeight="1" x14ac:dyDescent="0.35">
      <c r="A2580" s="241"/>
      <c r="B2580" s="1059"/>
      <c r="C2580" s="1059"/>
      <c r="D2580" s="1059"/>
      <c r="E2580" s="453"/>
      <c r="F2580" s="446"/>
      <c r="G2580" s="519"/>
      <c r="H2580" s="508"/>
      <c r="I2580" s="446"/>
      <c r="J2580" s="446" t="s">
        <v>335</v>
      </c>
      <c r="K2580" s="453">
        <f>SUM(K2572:K2579)</f>
        <v>256.16524916576969</v>
      </c>
      <c r="L2580" s="243" t="s">
        <v>8</v>
      </c>
      <c r="M2580" s="173"/>
      <c r="N2580" s="68"/>
      <c r="O2580" s="203"/>
      <c r="P2580" s="218"/>
      <c r="Q2580" s="68"/>
      <c r="R2580" s="217"/>
    </row>
    <row r="2581" spans="1:24" ht="30" customHeight="1" x14ac:dyDescent="0.35">
      <c r="A2581" s="241"/>
      <c r="B2581" s="506"/>
      <c r="C2581" s="506"/>
      <c r="D2581" s="506"/>
      <c r="E2581" s="453"/>
      <c r="F2581" s="1029" t="s">
        <v>302</v>
      </c>
      <c r="G2581" s="1058" t="s">
        <v>303</v>
      </c>
      <c r="H2581" s="1058"/>
      <c r="I2581" s="1058"/>
      <c r="J2581" s="1058"/>
      <c r="K2581" s="665">
        <f>(1.1+1.08)/2</f>
        <v>1.0900000000000001</v>
      </c>
      <c r="L2581" s="243"/>
      <c r="M2581" s="173"/>
      <c r="N2581" s="13"/>
      <c r="O2581" s="203"/>
      <c r="P2581" s="218"/>
      <c r="Q2581" s="68"/>
      <c r="R2581" s="217"/>
    </row>
    <row r="2582" spans="1:24" ht="30" customHeight="1" x14ac:dyDescent="0.35">
      <c r="A2582" s="241"/>
      <c r="B2582" s="506"/>
      <c r="C2582" s="506"/>
      <c r="D2582" s="506"/>
      <c r="E2582" s="453"/>
      <c r="F2582" s="1030"/>
      <c r="G2582" s="1073" t="s">
        <v>2374</v>
      </c>
      <c r="H2582" s="1073"/>
      <c r="I2582" s="1073"/>
      <c r="J2582" s="1073"/>
      <c r="K2582" s="612">
        <v>1.08</v>
      </c>
      <c r="L2582" s="243"/>
      <c r="M2582" s="173"/>
      <c r="N2582" s="13"/>
      <c r="O2582" s="203"/>
      <c r="P2582" s="218"/>
      <c r="Q2582" s="68"/>
      <c r="R2582" s="217"/>
    </row>
    <row r="2583" spans="1:24" ht="30" customHeight="1" x14ac:dyDescent="0.35">
      <c r="A2583" s="241"/>
      <c r="B2583" s="446"/>
      <c r="C2583" s="458"/>
      <c r="D2583" s="458"/>
      <c r="E2583" s="458"/>
      <c r="F2583" s="458"/>
      <c r="G2583" s="458"/>
      <c r="H2583" s="458"/>
      <c r="I2583" s="458"/>
      <c r="J2583" s="446" t="s">
        <v>2356</v>
      </c>
      <c r="K2583" s="591">
        <f>+K2580*K2581/K2582</f>
        <v>258.53714962100827</v>
      </c>
      <c r="L2583" s="243" t="s">
        <v>8</v>
      </c>
      <c r="M2583" s="173"/>
      <c r="N2583" s="419"/>
      <c r="O2583" s="171"/>
      <c r="P2583" s="216"/>
      <c r="Q2583" s="419"/>
      <c r="R2583" s="219"/>
    </row>
    <row r="2584" spans="1:24" ht="30" customHeight="1" x14ac:dyDescent="0.35">
      <c r="A2584" s="241"/>
      <c r="B2584" s="446"/>
      <c r="C2584" s="458"/>
      <c r="D2584" s="458"/>
      <c r="E2584" s="458"/>
      <c r="F2584" s="458"/>
      <c r="G2584" s="458"/>
      <c r="H2584" s="171"/>
      <c r="I2584" s="568" t="s">
        <v>2359</v>
      </c>
      <c r="J2584" s="583">
        <f>VLOOKUP(B2570,'Mil Cost Premiums for PUCs'!$A$4:$R$272,18,FALSE)</f>
        <v>1.3319480854780448</v>
      </c>
      <c r="K2584" s="591">
        <f>+K2583*J2584</f>
        <v>344.35806146265276</v>
      </c>
      <c r="L2584" s="243" t="s">
        <v>8</v>
      </c>
      <c r="M2584" s="173"/>
      <c r="N2584" s="419"/>
      <c r="O2584" s="171"/>
      <c r="P2584" s="216"/>
      <c r="Q2584" s="419"/>
      <c r="R2584" s="219"/>
    </row>
    <row r="2585" spans="1:24" ht="60" customHeight="1" x14ac:dyDescent="0.35">
      <c r="A2585" s="1064" t="s">
        <v>305</v>
      </c>
      <c r="B2585" s="1065"/>
      <c r="C2585" s="1065"/>
      <c r="D2585" s="1065"/>
      <c r="E2585" s="1065"/>
      <c r="F2585" s="1065"/>
      <c r="G2585" s="1065"/>
      <c r="H2585" s="1065"/>
      <c r="I2585" s="1065"/>
      <c r="J2585" s="1065"/>
      <c r="K2585" s="1065"/>
      <c r="L2585" s="1066"/>
      <c r="M2585" s="173"/>
      <c r="N2585" s="68"/>
      <c r="O2585" s="203"/>
      <c r="P2585" s="218"/>
      <c r="Q2585" s="68"/>
      <c r="R2585" s="217"/>
    </row>
    <row r="2586" spans="1:24" ht="30" customHeight="1" x14ac:dyDescent="0.35">
      <c r="A2586" s="1077" t="s">
        <v>306</v>
      </c>
      <c r="B2586" s="1042"/>
      <c r="C2586" s="1043"/>
      <c r="D2586" s="1067" t="s">
        <v>1283</v>
      </c>
      <c r="E2586" s="1065"/>
      <c r="F2586" s="1065"/>
      <c r="G2586" s="1065"/>
      <c r="H2586" s="1065"/>
      <c r="I2586" s="1065"/>
      <c r="J2586" s="1065"/>
      <c r="K2586" s="1065"/>
      <c r="L2586" s="1066"/>
      <c r="M2586" s="173"/>
      <c r="N2586" s="68"/>
      <c r="O2586" s="203"/>
      <c r="P2586" s="218"/>
      <c r="Q2586" s="68"/>
      <c r="R2586" s="217"/>
    </row>
    <row r="2587" spans="1:24" ht="30" customHeight="1" x14ac:dyDescent="0.35">
      <c r="A2587" s="1077" t="s">
        <v>307</v>
      </c>
      <c r="B2587" s="1042"/>
      <c r="C2587" s="1043"/>
      <c r="D2587" s="1067" t="s">
        <v>1284</v>
      </c>
      <c r="E2587" s="1065"/>
      <c r="F2587" s="1065"/>
      <c r="G2587" s="1065"/>
      <c r="H2587" s="1065"/>
      <c r="I2587" s="1065"/>
      <c r="J2587" s="1065"/>
      <c r="K2587" s="1065"/>
      <c r="L2587" s="1066"/>
      <c r="M2587" s="173"/>
      <c r="N2587" s="68"/>
      <c r="O2587" s="203"/>
      <c r="P2587" s="218"/>
      <c r="Q2587" s="68"/>
      <c r="R2587" s="217"/>
      <c r="T2587" s="208"/>
      <c r="U2587" s="208"/>
      <c r="V2587" s="208"/>
      <c r="W2587" s="208"/>
      <c r="X2587" s="208"/>
    </row>
    <row r="2588" spans="1:24" s="208" customFormat="1" ht="30" customHeight="1" x14ac:dyDescent="0.35">
      <c r="A2588" s="1077" t="s">
        <v>308</v>
      </c>
      <c r="B2588" s="1042"/>
      <c r="C2588" s="1043"/>
      <c r="D2588" s="1067" t="s">
        <v>3190</v>
      </c>
      <c r="E2588" s="1065"/>
      <c r="F2588" s="1065"/>
      <c r="G2588" s="1065"/>
      <c r="H2588" s="1065"/>
      <c r="I2588" s="1065"/>
      <c r="J2588" s="1065"/>
      <c r="K2588" s="1065"/>
      <c r="L2588" s="1066"/>
      <c r="M2588" s="173"/>
      <c r="N2588" s="68"/>
      <c r="O2588" s="203"/>
      <c r="P2588" s="218"/>
      <c r="Q2588" s="68"/>
      <c r="R2588" s="217"/>
      <c r="S2588" s="203"/>
      <c r="T2588" s="203"/>
      <c r="U2588" s="203"/>
      <c r="V2588" s="203"/>
      <c r="W2588" s="203"/>
      <c r="X2588" s="203"/>
    </row>
    <row r="2589" spans="1:24" ht="30" customHeight="1" x14ac:dyDescent="0.35">
      <c r="A2589" s="1077" t="s">
        <v>309</v>
      </c>
      <c r="B2589" s="1042"/>
      <c r="C2589" s="1043"/>
      <c r="D2589" s="1067" t="s">
        <v>1098</v>
      </c>
      <c r="E2589" s="1065"/>
      <c r="F2589" s="1065"/>
      <c r="G2589" s="1065"/>
      <c r="H2589" s="1065"/>
      <c r="I2589" s="1065"/>
      <c r="J2589" s="1065"/>
      <c r="K2589" s="1065"/>
      <c r="L2589" s="1066"/>
      <c r="M2589" s="173"/>
      <c r="N2589" s="425"/>
      <c r="O2589" s="208"/>
      <c r="P2589" s="218"/>
      <c r="Q2589" s="68"/>
      <c r="R2589" s="217"/>
      <c r="S2589" s="208"/>
    </row>
    <row r="2590" spans="1:24" ht="45" customHeight="1" x14ac:dyDescent="0.35">
      <c r="A2590" s="1077" t="s">
        <v>311</v>
      </c>
      <c r="B2590" s="1042"/>
      <c r="C2590" s="1043"/>
      <c r="D2590" s="1067" t="s">
        <v>1285</v>
      </c>
      <c r="E2590" s="1065"/>
      <c r="F2590" s="1065"/>
      <c r="G2590" s="1065"/>
      <c r="H2590" s="1065"/>
      <c r="I2590" s="1065"/>
      <c r="J2590" s="1065"/>
      <c r="K2590" s="1065"/>
      <c r="L2590" s="1066"/>
      <c r="M2590" s="173"/>
      <c r="N2590" s="68"/>
      <c r="O2590" s="203"/>
      <c r="P2590" s="218"/>
      <c r="Q2590" s="68"/>
      <c r="R2590" s="217"/>
    </row>
    <row r="2591" spans="1:24" ht="30" customHeight="1" x14ac:dyDescent="0.35">
      <c r="A2591" s="1077" t="s">
        <v>313</v>
      </c>
      <c r="B2591" s="1042"/>
      <c r="C2591" s="1043"/>
      <c r="D2591" s="1067" t="s">
        <v>1286</v>
      </c>
      <c r="E2591" s="1065"/>
      <c r="F2591" s="1065"/>
      <c r="G2591" s="1065"/>
      <c r="H2591" s="1065"/>
      <c r="I2591" s="1065"/>
      <c r="J2591" s="1065"/>
      <c r="K2591" s="1065"/>
      <c r="L2591" s="1066"/>
      <c r="M2591" s="173"/>
      <c r="N2591" s="425"/>
      <c r="O2591" s="203"/>
      <c r="P2591" s="218"/>
      <c r="Q2591" s="68"/>
      <c r="R2591" s="217"/>
    </row>
    <row r="2592" spans="1:24" ht="30" customHeight="1" x14ac:dyDescent="0.35">
      <c r="A2592" s="1077" t="s">
        <v>315</v>
      </c>
      <c r="B2592" s="1042"/>
      <c r="C2592" s="1043"/>
      <c r="D2592" s="1067" t="s">
        <v>1100</v>
      </c>
      <c r="E2592" s="1065"/>
      <c r="F2592" s="1065"/>
      <c r="G2592" s="1065"/>
      <c r="H2592" s="1065"/>
      <c r="I2592" s="1065"/>
      <c r="J2592" s="1065"/>
      <c r="K2592" s="1065"/>
      <c r="L2592" s="1066"/>
      <c r="M2592" s="173"/>
      <c r="O2592" s="203"/>
      <c r="P2592" s="218"/>
      <c r="Q2592" s="68"/>
      <c r="R2592" s="217"/>
    </row>
    <row r="2593" spans="1:24" ht="75" customHeight="1" x14ac:dyDescent="0.35">
      <c r="A2593" s="1077" t="s">
        <v>316</v>
      </c>
      <c r="B2593" s="1042"/>
      <c r="C2593" s="1043"/>
      <c r="D2593" s="1067" t="s">
        <v>373</v>
      </c>
      <c r="E2593" s="1065"/>
      <c r="F2593" s="1065"/>
      <c r="G2593" s="1065"/>
      <c r="H2593" s="1065"/>
      <c r="I2593" s="1065"/>
      <c r="J2593" s="1065"/>
      <c r="K2593" s="1065"/>
      <c r="L2593" s="1066"/>
      <c r="M2593" s="173"/>
      <c r="N2593" s="68"/>
      <c r="O2593" s="203"/>
      <c r="P2593" s="218"/>
      <c r="Q2593" s="68"/>
      <c r="R2593" s="217"/>
    </row>
    <row r="2594" spans="1:24" ht="45" customHeight="1" thickBot="1" x14ac:dyDescent="0.4">
      <c r="A2594" s="1077" t="s">
        <v>318</v>
      </c>
      <c r="B2594" s="1042"/>
      <c r="C2594" s="1043"/>
      <c r="D2594" s="1068" t="s">
        <v>3048</v>
      </c>
      <c r="E2594" s="1069"/>
      <c r="F2594" s="1069"/>
      <c r="G2594" s="1069"/>
      <c r="H2594" s="1069"/>
      <c r="I2594" s="1069"/>
      <c r="J2594" s="1069"/>
      <c r="K2594" s="1069"/>
      <c r="L2594" s="1070"/>
      <c r="M2594" s="173"/>
      <c r="N2594" s="419"/>
      <c r="O2594" s="171"/>
      <c r="P2594" s="216"/>
      <c r="Q2594" s="419"/>
      <c r="R2594" s="219"/>
    </row>
    <row r="2595" spans="1:24" ht="30" customHeight="1" thickBot="1" x14ac:dyDescent="0.4">
      <c r="A2595" s="1086"/>
      <c r="B2595" s="1087"/>
      <c r="C2595" s="1087"/>
      <c r="D2595" s="1087"/>
      <c r="E2595" s="1087"/>
      <c r="F2595" s="1087"/>
      <c r="G2595" s="1087"/>
      <c r="H2595" s="1087"/>
      <c r="I2595" s="1087"/>
      <c r="J2595" s="1087"/>
      <c r="K2595" s="1087"/>
      <c r="L2595" s="1088"/>
      <c r="M2595" s="173"/>
      <c r="N2595" s="419"/>
      <c r="O2595" s="171"/>
      <c r="P2595" s="216"/>
      <c r="Q2595" s="419"/>
      <c r="R2595" s="219"/>
    </row>
    <row r="2596" spans="1:24" ht="75" customHeight="1" x14ac:dyDescent="0.35">
      <c r="A2596" s="465" t="s">
        <v>278</v>
      </c>
      <c r="B2596" s="539">
        <v>5303</v>
      </c>
      <c r="C2596" s="1017" t="s">
        <v>1287</v>
      </c>
      <c r="D2596" s="1018"/>
      <c r="E2596" s="541" t="s">
        <v>280</v>
      </c>
      <c r="F2596" s="542" t="s">
        <v>8</v>
      </c>
      <c r="G2596" s="543" t="s">
        <v>285</v>
      </c>
      <c r="H2596" s="632">
        <v>7024</v>
      </c>
      <c r="I2596" s="541" t="s">
        <v>281</v>
      </c>
      <c r="J2596" s="1019" t="s">
        <v>2371</v>
      </c>
      <c r="K2596" s="1019"/>
      <c r="L2596" s="1020"/>
      <c r="M2596" s="173"/>
      <c r="N2596" s="68"/>
      <c r="O2596" s="203"/>
      <c r="P2596" s="218"/>
      <c r="Q2596" s="68"/>
      <c r="R2596" s="217"/>
    </row>
    <row r="2597" spans="1:24" ht="30" customHeight="1" x14ac:dyDescent="0.35">
      <c r="A2597" s="588" t="s">
        <v>298</v>
      </c>
      <c r="B2597" s="1038" t="s">
        <v>321</v>
      </c>
      <c r="C2597" s="1039"/>
      <c r="D2597" s="1040"/>
      <c r="E2597" s="23" t="s">
        <v>290</v>
      </c>
      <c r="F2597" s="23" t="s">
        <v>322</v>
      </c>
      <c r="G2597" s="1034" t="s">
        <v>323</v>
      </c>
      <c r="H2597" s="1035"/>
      <c r="I2597" s="509" t="s">
        <v>299</v>
      </c>
      <c r="J2597" s="509"/>
      <c r="K2597" s="1012" t="s">
        <v>292</v>
      </c>
      <c r="L2597" s="1013"/>
      <c r="M2597" s="173"/>
      <c r="N2597" s="68"/>
      <c r="O2597" s="203"/>
      <c r="P2597" s="218"/>
      <c r="Q2597" s="68"/>
      <c r="R2597" s="217"/>
    </row>
    <row r="2598" spans="1:24" ht="30" customHeight="1" x14ac:dyDescent="0.35">
      <c r="A2598" s="832" t="s">
        <v>1288</v>
      </c>
      <c r="B2598" s="1031" t="s">
        <v>2401</v>
      </c>
      <c r="C2598" s="1032"/>
      <c r="D2598" s="1033"/>
      <c r="E2598" s="453">
        <v>181</v>
      </c>
      <c r="F2598" s="446" t="s">
        <v>8</v>
      </c>
      <c r="G2598" s="454"/>
      <c r="H2598" s="446"/>
      <c r="I2598" s="833">
        <f>(1.06+1.08)/2</f>
        <v>1.07</v>
      </c>
      <c r="J2598" s="665"/>
      <c r="K2598" s="453">
        <f>+E2598*I2598</f>
        <v>193.67000000000002</v>
      </c>
      <c r="L2598" s="243" t="s">
        <v>8</v>
      </c>
      <c r="M2598" s="173"/>
      <c r="N2598" s="68"/>
      <c r="O2598" s="203"/>
      <c r="P2598" s="218"/>
      <c r="Q2598" s="68"/>
      <c r="R2598" s="217"/>
      <c r="T2598" s="208"/>
      <c r="U2598" s="208"/>
      <c r="V2598" s="208"/>
      <c r="W2598" s="208"/>
      <c r="X2598" s="208"/>
    </row>
    <row r="2599" spans="1:24" s="208" customFormat="1" ht="30" customHeight="1" x14ac:dyDescent="0.35">
      <c r="A2599" s="832" t="s">
        <v>1289</v>
      </c>
      <c r="B2599" s="1082" t="s">
        <v>1159</v>
      </c>
      <c r="C2599" s="1083"/>
      <c r="D2599" s="1093"/>
      <c r="E2599" s="51">
        <v>3.66</v>
      </c>
      <c r="F2599" s="446" t="s">
        <v>8</v>
      </c>
      <c r="G2599" s="605"/>
      <c r="H2599" s="508"/>
      <c r="I2599" s="833">
        <f>(1.06+1.08)/2</f>
        <v>1.07</v>
      </c>
      <c r="J2599" s="665"/>
      <c r="K2599" s="453">
        <f>+E2599*I2599</f>
        <v>3.9162000000000003</v>
      </c>
      <c r="L2599" s="243" t="s">
        <v>8</v>
      </c>
      <c r="M2599" s="173"/>
      <c r="N2599" s="68"/>
      <c r="O2599" s="203"/>
      <c r="P2599" s="218"/>
      <c r="Q2599" s="68"/>
      <c r="R2599" s="217"/>
      <c r="S2599" s="203"/>
      <c r="T2599" s="203"/>
      <c r="U2599" s="203"/>
      <c r="V2599" s="203"/>
      <c r="W2599" s="203"/>
      <c r="X2599" s="203"/>
    </row>
    <row r="2600" spans="1:24" ht="30" customHeight="1" x14ac:dyDescent="0.35">
      <c r="A2600" s="241"/>
      <c r="B2600" s="1059"/>
      <c r="C2600" s="1059"/>
      <c r="D2600" s="1059"/>
      <c r="E2600" s="453"/>
      <c r="F2600" s="446"/>
      <c r="G2600" s="519"/>
      <c r="H2600" s="508"/>
      <c r="I2600" s="446"/>
      <c r="J2600" s="446" t="s">
        <v>335</v>
      </c>
      <c r="K2600" s="453">
        <f>SUM(K2598:K2599)</f>
        <v>197.58620000000002</v>
      </c>
      <c r="L2600" s="243" t="s">
        <v>8</v>
      </c>
      <c r="M2600" s="173"/>
      <c r="N2600" s="68"/>
      <c r="O2600" s="208"/>
      <c r="P2600" s="218"/>
      <c r="Q2600" s="68"/>
      <c r="R2600" s="217"/>
      <c r="S2600" s="208"/>
    </row>
    <row r="2601" spans="1:24" ht="30" customHeight="1" x14ac:dyDescent="0.35">
      <c r="A2601" s="241"/>
      <c r="B2601" s="506"/>
      <c r="C2601" s="506"/>
      <c r="D2601" s="506"/>
      <c r="E2601" s="453"/>
      <c r="F2601" s="1029" t="s">
        <v>302</v>
      </c>
      <c r="G2601" s="1058" t="s">
        <v>303</v>
      </c>
      <c r="H2601" s="1058"/>
      <c r="I2601" s="1058"/>
      <c r="J2601" s="1058"/>
      <c r="K2601" s="665">
        <f>(1.1+1.08)/2</f>
        <v>1.0900000000000001</v>
      </c>
      <c r="L2601" s="243"/>
      <c r="M2601" s="173"/>
      <c r="O2601" s="203"/>
      <c r="P2601" s="218"/>
      <c r="Q2601" s="68"/>
      <c r="R2601" s="217"/>
    </row>
    <row r="2602" spans="1:24" ht="30" customHeight="1" x14ac:dyDescent="0.35">
      <c r="A2602" s="241"/>
      <c r="B2602" s="506"/>
      <c r="C2602" s="506"/>
      <c r="D2602" s="506"/>
      <c r="E2602" s="453"/>
      <c r="F2602" s="1030"/>
      <c r="G2602" s="1073" t="s">
        <v>2374</v>
      </c>
      <c r="H2602" s="1073"/>
      <c r="I2602" s="1073"/>
      <c r="J2602" s="1073"/>
      <c r="K2602" s="612">
        <v>1.08</v>
      </c>
      <c r="L2602" s="243"/>
      <c r="M2602" s="173"/>
      <c r="O2602" s="203"/>
      <c r="P2602" s="218"/>
      <c r="Q2602" s="68"/>
      <c r="R2602" s="217"/>
    </row>
    <row r="2603" spans="1:24" ht="30" customHeight="1" x14ac:dyDescent="0.35">
      <c r="A2603" s="241"/>
      <c r="B2603" s="446"/>
      <c r="C2603" s="458"/>
      <c r="D2603" s="458"/>
      <c r="E2603" s="458"/>
      <c r="F2603" s="458"/>
      <c r="G2603" s="458"/>
      <c r="H2603" s="458"/>
      <c r="I2603" s="458"/>
      <c r="J2603" s="446" t="s">
        <v>2356</v>
      </c>
      <c r="K2603" s="591">
        <f>+K2600*K2601/K2602</f>
        <v>199.41570185185188</v>
      </c>
      <c r="L2603" s="243" t="s">
        <v>8</v>
      </c>
      <c r="M2603" s="173"/>
      <c r="N2603" s="68"/>
      <c r="O2603" s="203"/>
      <c r="P2603" s="218"/>
      <c r="Q2603" s="68"/>
      <c r="R2603" s="217"/>
    </row>
    <row r="2604" spans="1:24" ht="30" customHeight="1" thickBot="1" x14ac:dyDescent="0.4">
      <c r="A2604" s="241"/>
      <c r="B2604" s="446"/>
      <c r="C2604" s="458"/>
      <c r="D2604" s="458"/>
      <c r="E2604" s="458"/>
      <c r="F2604" s="458"/>
      <c r="G2604" s="458"/>
      <c r="H2604" s="458"/>
      <c r="I2604" s="820" t="s">
        <v>2358</v>
      </c>
      <c r="J2604" s="583">
        <f>VLOOKUP(B2596,'Mil Cost Premiums for PUCs'!$A$4:$R$272,18,FALSE)</f>
        <v>1.3319480854780448</v>
      </c>
      <c r="K2604" s="591">
        <f>+K2603*J2604</f>
        <v>265.61136229583468</v>
      </c>
      <c r="L2604" s="243" t="s">
        <v>8</v>
      </c>
      <c r="M2604" s="173"/>
      <c r="N2604" s="419"/>
      <c r="O2604" s="171"/>
      <c r="P2604" s="216"/>
      <c r="Q2604" s="419"/>
      <c r="R2604" s="219"/>
    </row>
    <row r="2605" spans="1:24" ht="45" customHeight="1" thickBot="1" x14ac:dyDescent="0.4">
      <c r="A2605" s="1086"/>
      <c r="B2605" s="1087"/>
      <c r="C2605" s="1087"/>
      <c r="D2605" s="1087"/>
      <c r="E2605" s="1087"/>
      <c r="F2605" s="1087"/>
      <c r="G2605" s="1087"/>
      <c r="H2605" s="1087"/>
      <c r="I2605" s="1087"/>
      <c r="J2605" s="1087"/>
      <c r="K2605" s="1087"/>
      <c r="L2605" s="1088"/>
      <c r="M2605" s="173"/>
      <c r="N2605" s="419"/>
      <c r="O2605" s="171"/>
      <c r="P2605" s="216"/>
      <c r="Q2605" s="419"/>
      <c r="R2605" s="219"/>
      <c r="T2605" s="51"/>
      <c r="U2605" s="171"/>
    </row>
    <row r="2606" spans="1:24" ht="30" customHeight="1" x14ac:dyDescent="0.35">
      <c r="A2606" s="465" t="s">
        <v>278</v>
      </c>
      <c r="B2606" s="539">
        <v>5304</v>
      </c>
      <c r="C2606" s="1017" t="s">
        <v>1291</v>
      </c>
      <c r="D2606" s="1018"/>
      <c r="E2606" s="541" t="s">
        <v>280</v>
      </c>
      <c r="F2606" s="542" t="s">
        <v>8</v>
      </c>
      <c r="G2606" s="543" t="s">
        <v>285</v>
      </c>
      <c r="H2606" s="632">
        <v>3795</v>
      </c>
      <c r="I2606" s="541" t="s">
        <v>281</v>
      </c>
      <c r="J2606" s="1019" t="s">
        <v>2371</v>
      </c>
      <c r="K2606" s="1019"/>
      <c r="L2606" s="1020"/>
      <c r="M2606" s="173"/>
      <c r="N2606" s="68"/>
      <c r="O2606" s="203"/>
      <c r="P2606" s="218"/>
      <c r="Q2606" s="68"/>
      <c r="R2606" s="217"/>
      <c r="T2606" s="51"/>
      <c r="U2606" s="171"/>
    </row>
    <row r="2607" spans="1:24" ht="30" customHeight="1" x14ac:dyDescent="0.35">
      <c r="A2607" s="588" t="s">
        <v>298</v>
      </c>
      <c r="B2607" s="1038" t="s">
        <v>321</v>
      </c>
      <c r="C2607" s="1039"/>
      <c r="D2607" s="1040"/>
      <c r="E2607" s="23" t="s">
        <v>290</v>
      </c>
      <c r="F2607" s="23" t="s">
        <v>322</v>
      </c>
      <c r="G2607" s="1034" t="s">
        <v>323</v>
      </c>
      <c r="H2607" s="1035"/>
      <c r="I2607" s="509" t="s">
        <v>299</v>
      </c>
      <c r="J2607" s="509"/>
      <c r="K2607" s="1012" t="s">
        <v>292</v>
      </c>
      <c r="L2607" s="1013"/>
      <c r="M2607" s="173"/>
      <c r="N2607" s="68"/>
      <c r="P2607" s="171"/>
      <c r="Q2607" s="171"/>
      <c r="R2607" s="171"/>
      <c r="S2607" s="51"/>
      <c r="T2607" s="27"/>
      <c r="U2607" s="27"/>
      <c r="V2607" s="27"/>
      <c r="W2607" s="27"/>
      <c r="X2607" s="27"/>
    </row>
    <row r="2608" spans="1:24" s="27" customFormat="1" ht="30" customHeight="1" x14ac:dyDescent="0.35">
      <c r="A2608" s="832" t="s">
        <v>1292</v>
      </c>
      <c r="B2608" s="1082" t="s">
        <v>3049</v>
      </c>
      <c r="C2608" s="1083"/>
      <c r="D2608" s="1093"/>
      <c r="E2608" s="453">
        <f>213-4.32</f>
        <v>208.68</v>
      </c>
      <c r="F2608" s="446" t="s">
        <v>8</v>
      </c>
      <c r="G2608" s="454"/>
      <c r="H2608" s="446"/>
      <c r="I2608" s="665">
        <v>1.03</v>
      </c>
      <c r="J2608" s="446"/>
      <c r="K2608" s="453">
        <f>+E2608*I2608</f>
        <v>214.94040000000001</v>
      </c>
      <c r="L2608" s="243" t="s">
        <v>8</v>
      </c>
      <c r="M2608" s="173"/>
      <c r="N2608" s="68"/>
      <c r="O2608" s="205"/>
      <c r="P2608" s="171"/>
      <c r="Q2608" s="171"/>
      <c r="R2608" s="171"/>
      <c r="S2608" s="51"/>
      <c r="T2608" s="208"/>
      <c r="U2608" s="208"/>
      <c r="V2608" s="208"/>
      <c r="W2608" s="208"/>
      <c r="X2608" s="208"/>
    </row>
    <row r="2609" spans="1:24" s="208" customFormat="1" ht="30" customHeight="1" x14ac:dyDescent="0.35">
      <c r="A2609" s="832" t="s">
        <v>397</v>
      </c>
      <c r="B2609" s="1082" t="s">
        <v>1290</v>
      </c>
      <c r="C2609" s="1083"/>
      <c r="D2609" s="1093"/>
      <c r="E2609" s="51">
        <v>4.49</v>
      </c>
      <c r="F2609" s="446" t="s">
        <v>8</v>
      </c>
      <c r="G2609" s="605"/>
      <c r="H2609" s="508"/>
      <c r="I2609" s="665">
        <v>1.03</v>
      </c>
      <c r="J2609" s="446"/>
      <c r="K2609" s="453">
        <f>+E2609*I2609</f>
        <v>4.6247000000000007</v>
      </c>
      <c r="L2609" s="243" t="s">
        <v>8</v>
      </c>
      <c r="M2609" s="173"/>
      <c r="N2609" s="27"/>
      <c r="O2609" s="207"/>
      <c r="P2609" s="27"/>
      <c r="Q2609" s="27"/>
      <c r="R2609" s="27"/>
      <c r="S2609" s="27"/>
      <c r="T2609" s="51"/>
      <c r="U2609" s="203"/>
      <c r="V2609" s="203"/>
      <c r="W2609" s="203"/>
      <c r="X2609" s="203"/>
    </row>
    <row r="2610" spans="1:24" ht="30" customHeight="1" x14ac:dyDescent="0.35">
      <c r="A2610" s="241"/>
      <c r="B2610" s="1059"/>
      <c r="C2610" s="1059"/>
      <c r="D2610" s="1059"/>
      <c r="E2610" s="453"/>
      <c r="F2610" s="446"/>
      <c r="G2610" s="519"/>
      <c r="H2610" s="508"/>
      <c r="I2610" s="446"/>
      <c r="J2610" s="446" t="s">
        <v>335</v>
      </c>
      <c r="K2610" s="453">
        <f>SUM(K2608:K2609)</f>
        <v>219.5651</v>
      </c>
      <c r="L2610" s="243" t="s">
        <v>8</v>
      </c>
      <c r="M2610" s="173"/>
      <c r="N2610" s="208"/>
      <c r="P2610" s="208"/>
      <c r="Q2610" s="208"/>
      <c r="R2610" s="208"/>
      <c r="S2610" s="208"/>
      <c r="T2610" s="51"/>
      <c r="U2610" s="171"/>
    </row>
    <row r="2611" spans="1:24" ht="30" customHeight="1" x14ac:dyDescent="0.35">
      <c r="A2611" s="241"/>
      <c r="B2611" s="1168"/>
      <c r="C2611" s="1169"/>
      <c r="D2611" s="1170"/>
      <c r="E2611" s="453"/>
      <c r="F2611" s="1029" t="s">
        <v>302</v>
      </c>
      <c r="G2611" s="1058" t="s">
        <v>303</v>
      </c>
      <c r="H2611" s="1058"/>
      <c r="I2611" s="1058"/>
      <c r="J2611" s="1058"/>
      <c r="K2611" s="665">
        <f>(1.1+1.08)/2</f>
        <v>1.0900000000000001</v>
      </c>
      <c r="L2611" s="243"/>
      <c r="M2611" s="173"/>
      <c r="N2611" s="214"/>
      <c r="P2611" s="171"/>
      <c r="Q2611" s="171"/>
      <c r="R2611" s="171"/>
      <c r="S2611" s="51"/>
      <c r="T2611" s="51"/>
      <c r="U2611" s="171"/>
    </row>
    <row r="2612" spans="1:24" ht="30" customHeight="1" x14ac:dyDescent="0.35">
      <c r="A2612" s="241"/>
      <c r="B2612" s="1171"/>
      <c r="C2612" s="1172"/>
      <c r="D2612" s="1173"/>
      <c r="E2612" s="453"/>
      <c r="F2612" s="1030"/>
      <c r="G2612" s="1073" t="s">
        <v>2374</v>
      </c>
      <c r="H2612" s="1073"/>
      <c r="I2612" s="1073"/>
      <c r="J2612" s="1073"/>
      <c r="K2612" s="612">
        <v>1.08</v>
      </c>
      <c r="L2612" s="243"/>
      <c r="M2612" s="173"/>
      <c r="N2612" s="75"/>
      <c r="P2612" s="171"/>
      <c r="Q2612" s="171"/>
      <c r="R2612" s="171"/>
      <c r="S2612" s="51"/>
      <c r="T2612" s="27"/>
      <c r="U2612" s="27"/>
      <c r="V2612" s="27"/>
      <c r="W2612" s="27"/>
      <c r="X2612" s="27"/>
    </row>
    <row r="2613" spans="1:24" s="27" customFormat="1" ht="30" customHeight="1" x14ac:dyDescent="0.35">
      <c r="A2613" s="241"/>
      <c r="B2613" s="446"/>
      <c r="C2613" s="458"/>
      <c r="D2613" s="458"/>
      <c r="E2613" s="458"/>
      <c r="F2613" s="458"/>
      <c r="G2613" s="458"/>
      <c r="H2613" s="458"/>
      <c r="I2613" s="458"/>
      <c r="J2613" s="446" t="s">
        <v>2356</v>
      </c>
      <c r="K2613" s="591">
        <f>+K2610*K2611/K2612</f>
        <v>221.59811018518519</v>
      </c>
      <c r="L2613" s="243" t="s">
        <v>8</v>
      </c>
      <c r="M2613" s="173"/>
      <c r="N2613" s="203"/>
      <c r="O2613" s="205"/>
      <c r="P2613" s="171"/>
      <c r="Q2613" s="171"/>
      <c r="R2613" s="171"/>
      <c r="S2613" s="51"/>
      <c r="T2613" s="208"/>
      <c r="U2613" s="208"/>
      <c r="V2613" s="208"/>
      <c r="W2613" s="208"/>
      <c r="X2613" s="208"/>
    </row>
    <row r="2614" spans="1:24" s="208" customFormat="1" ht="30" customHeight="1" thickBot="1" x14ac:dyDescent="0.4">
      <c r="A2614" s="241"/>
      <c r="B2614" s="446"/>
      <c r="C2614" s="458"/>
      <c r="D2614" s="458"/>
      <c r="E2614" s="458"/>
      <c r="F2614" s="458"/>
      <c r="G2614" s="592" t="s">
        <v>2358</v>
      </c>
      <c r="H2614" s="458"/>
      <c r="I2614" s="458"/>
      <c r="J2614" s="583">
        <f>VLOOKUP(B2606,'Mil Cost Premiums for PUCs'!$A$4:$R$272,18,FALSE)</f>
        <v>1.3319480854780448</v>
      </c>
      <c r="K2614" s="591">
        <f>+K2613*J2614</f>
        <v>295.1571786067102</v>
      </c>
      <c r="L2614" s="243" t="s">
        <v>8</v>
      </c>
      <c r="M2614" s="173"/>
      <c r="N2614" s="27"/>
      <c r="O2614" s="207"/>
      <c r="P2614" s="27"/>
      <c r="Q2614" s="27"/>
      <c r="R2614" s="27"/>
      <c r="S2614" s="27"/>
      <c r="T2614" s="203"/>
      <c r="U2614" s="203"/>
      <c r="V2614" s="203"/>
      <c r="W2614" s="203"/>
      <c r="X2614" s="203"/>
    </row>
    <row r="2615" spans="1:24" ht="30" customHeight="1" thickBot="1" x14ac:dyDescent="0.4">
      <c r="A2615" s="1086"/>
      <c r="B2615" s="1087"/>
      <c r="C2615" s="1087"/>
      <c r="D2615" s="1087"/>
      <c r="E2615" s="1087"/>
      <c r="F2615" s="1087"/>
      <c r="G2615" s="1087"/>
      <c r="H2615" s="1087"/>
      <c r="I2615" s="1087"/>
      <c r="J2615" s="1087"/>
      <c r="K2615" s="1087"/>
      <c r="L2615" s="1088"/>
      <c r="M2615" s="173"/>
      <c r="N2615" s="425"/>
      <c r="P2615" s="208"/>
      <c r="Q2615" s="208"/>
      <c r="R2615" s="208"/>
      <c r="S2615" s="208"/>
      <c r="T2615" s="51"/>
      <c r="U2615" s="171"/>
    </row>
    <row r="2616" spans="1:24" ht="30" customHeight="1" x14ac:dyDescent="0.35">
      <c r="A2616" s="465" t="s">
        <v>278</v>
      </c>
      <c r="B2616" s="539">
        <v>5306</v>
      </c>
      <c r="C2616" s="1017" t="s">
        <v>1293</v>
      </c>
      <c r="D2616" s="1018"/>
      <c r="E2616" s="541" t="s">
        <v>280</v>
      </c>
      <c r="F2616" s="542" t="s">
        <v>8</v>
      </c>
      <c r="G2616" s="543" t="s">
        <v>285</v>
      </c>
      <c r="H2616" s="632">
        <v>11919</v>
      </c>
      <c r="I2616" s="541" t="s">
        <v>281</v>
      </c>
      <c r="J2616" s="1019" t="s">
        <v>2371</v>
      </c>
      <c r="K2616" s="1019"/>
      <c r="L2616" s="1020"/>
      <c r="M2616" s="173"/>
      <c r="N2616" s="214"/>
      <c r="T2616" s="51"/>
      <c r="U2616" s="171"/>
    </row>
    <row r="2617" spans="1:24" ht="30" customHeight="1" x14ac:dyDescent="0.35">
      <c r="A2617" s="588" t="s">
        <v>298</v>
      </c>
      <c r="B2617" s="1038" t="s">
        <v>321</v>
      </c>
      <c r="C2617" s="1039"/>
      <c r="D2617" s="1040"/>
      <c r="E2617" s="23" t="s">
        <v>290</v>
      </c>
      <c r="F2617" s="23" t="s">
        <v>322</v>
      </c>
      <c r="G2617" s="1034" t="s">
        <v>323</v>
      </c>
      <c r="H2617" s="1035"/>
      <c r="I2617" s="509" t="s">
        <v>299</v>
      </c>
      <c r="J2617" s="509"/>
      <c r="K2617" s="1012" t="s">
        <v>292</v>
      </c>
      <c r="L2617" s="1013"/>
      <c r="M2617" s="173"/>
      <c r="N2617" s="75"/>
      <c r="P2617" s="171"/>
      <c r="Q2617" s="171"/>
      <c r="R2617" s="171"/>
      <c r="S2617" s="51"/>
      <c r="T2617" s="27"/>
      <c r="U2617" s="27"/>
      <c r="V2617" s="27"/>
      <c r="W2617" s="27"/>
      <c r="X2617" s="27"/>
    </row>
    <row r="2618" spans="1:24" s="27" customFormat="1" ht="30" customHeight="1" x14ac:dyDescent="0.35">
      <c r="A2618" s="832" t="s">
        <v>1229</v>
      </c>
      <c r="B2618" s="1031" t="s">
        <v>2400</v>
      </c>
      <c r="C2618" s="1032"/>
      <c r="D2618" s="1033"/>
      <c r="E2618" s="453">
        <v>86.5</v>
      </c>
      <c r="F2618" s="446" t="s">
        <v>8</v>
      </c>
      <c r="G2618" s="454"/>
      <c r="H2618" s="446"/>
      <c r="I2618" s="446">
        <v>1.03</v>
      </c>
      <c r="J2618" s="665"/>
      <c r="K2618" s="453">
        <f>+E2618*I2618</f>
        <v>89.094999999999999</v>
      </c>
      <c r="L2618" s="243" t="s">
        <v>8</v>
      </c>
      <c r="M2618" s="173"/>
      <c r="N2618" s="203"/>
      <c r="O2618" s="205"/>
      <c r="P2618" s="171"/>
      <c r="Q2618" s="171"/>
      <c r="R2618" s="171"/>
      <c r="S2618" s="51"/>
      <c r="T2618" s="208"/>
      <c r="U2618" s="208"/>
      <c r="V2618" s="208"/>
      <c r="W2618" s="208"/>
      <c r="X2618" s="208"/>
    </row>
    <row r="2619" spans="1:24" s="208" customFormat="1" ht="30" customHeight="1" x14ac:dyDescent="0.35">
      <c r="A2619" s="834" t="s">
        <v>1229</v>
      </c>
      <c r="B2619" s="1184" t="s">
        <v>1294</v>
      </c>
      <c r="C2619" s="1311"/>
      <c r="D2619" s="1312"/>
      <c r="E2619" s="64">
        <v>24.25</v>
      </c>
      <c r="F2619" s="446" t="s">
        <v>8</v>
      </c>
      <c r="G2619" s="65"/>
      <c r="H2619" s="703"/>
      <c r="I2619" s="446">
        <v>1.03</v>
      </c>
      <c r="J2619" s="665"/>
      <c r="K2619" s="453">
        <f>+E2619*I2619</f>
        <v>24.977499999999999</v>
      </c>
      <c r="L2619" s="243" t="s">
        <v>8</v>
      </c>
      <c r="M2619" s="173"/>
      <c r="N2619" s="203"/>
      <c r="O2619" s="207"/>
      <c r="P2619" s="27"/>
      <c r="Q2619" s="27"/>
      <c r="R2619" s="27"/>
      <c r="S2619" s="27"/>
      <c r="T2619" s="203"/>
      <c r="U2619" s="203"/>
      <c r="V2619" s="203"/>
      <c r="W2619" s="203"/>
      <c r="X2619" s="203"/>
    </row>
    <row r="2620" spans="1:24" ht="30" customHeight="1" x14ac:dyDescent="0.35">
      <c r="A2620" s="832" t="s">
        <v>360</v>
      </c>
      <c r="B2620" s="1059" t="s">
        <v>1086</v>
      </c>
      <c r="C2620" s="1059"/>
      <c r="D2620" s="1059"/>
      <c r="E2620" s="591">
        <v>4.38</v>
      </c>
      <c r="F2620" s="446" t="s">
        <v>8</v>
      </c>
      <c r="G2620" s="646"/>
      <c r="H2620" s="508"/>
      <c r="I2620" s="446">
        <v>1.03</v>
      </c>
      <c r="J2620" s="665"/>
      <c r="K2620" s="453">
        <f>+E2620*I2620</f>
        <v>4.5114000000000001</v>
      </c>
      <c r="L2620" s="243" t="s">
        <v>8</v>
      </c>
      <c r="M2620" s="173"/>
      <c r="N2620" s="208"/>
      <c r="P2620" s="208"/>
      <c r="Q2620" s="208"/>
      <c r="R2620" s="208"/>
      <c r="S2620" s="208"/>
      <c r="T2620" s="51"/>
      <c r="U2620" s="171"/>
    </row>
    <row r="2621" spans="1:24" ht="30" customHeight="1" x14ac:dyDescent="0.35">
      <c r="A2621" s="241"/>
      <c r="B2621" s="1059"/>
      <c r="C2621" s="1059"/>
      <c r="D2621" s="1059"/>
      <c r="E2621" s="453"/>
      <c r="F2621" s="446"/>
      <c r="G2621" s="519"/>
      <c r="H2621" s="508"/>
      <c r="I2621" s="446"/>
      <c r="J2621" s="446" t="s">
        <v>335</v>
      </c>
      <c r="K2621" s="453">
        <f>SUM(K2618:K2620)</f>
        <v>118.58389999999999</v>
      </c>
      <c r="L2621" s="243" t="s">
        <v>8</v>
      </c>
      <c r="M2621" s="173"/>
      <c r="N2621" s="214"/>
      <c r="T2621" s="51"/>
      <c r="U2621" s="171"/>
    </row>
    <row r="2622" spans="1:24" ht="30" customHeight="1" x14ac:dyDescent="0.35">
      <c r="A2622" s="241"/>
      <c r="B2622" s="1168"/>
      <c r="C2622" s="1169"/>
      <c r="D2622" s="1170"/>
      <c r="E2622" s="453"/>
      <c r="F2622" s="1029" t="s">
        <v>302</v>
      </c>
      <c r="G2622" s="1058" t="s">
        <v>303</v>
      </c>
      <c r="H2622" s="1058"/>
      <c r="I2622" s="1058"/>
      <c r="J2622" s="1058"/>
      <c r="K2622" s="665">
        <f>(1.1+1.08)/2</f>
        <v>1.0900000000000001</v>
      </c>
      <c r="L2622" s="243"/>
      <c r="M2622" s="173"/>
      <c r="P2622" s="171"/>
      <c r="Q2622" s="171"/>
      <c r="R2622" s="171"/>
      <c r="S2622" s="51"/>
      <c r="T2622" s="27"/>
      <c r="U2622" s="27"/>
      <c r="V2622" s="27"/>
      <c r="W2622" s="27"/>
      <c r="X2622" s="27"/>
    </row>
    <row r="2623" spans="1:24" s="27" customFormat="1" ht="30" customHeight="1" x14ac:dyDescent="0.35">
      <c r="A2623" s="241"/>
      <c r="B2623" s="1308"/>
      <c r="C2623" s="1309"/>
      <c r="D2623" s="1310"/>
      <c r="E2623" s="453"/>
      <c r="F2623" s="1030"/>
      <c r="G2623" s="1073" t="s">
        <v>2374</v>
      </c>
      <c r="H2623" s="1073"/>
      <c r="I2623" s="1073"/>
      <c r="J2623" s="1073"/>
      <c r="K2623" s="612">
        <v>1.08</v>
      </c>
      <c r="L2623" s="243"/>
      <c r="M2623" s="173"/>
      <c r="N2623" s="203"/>
      <c r="O2623" s="205"/>
      <c r="P2623" s="171"/>
      <c r="Q2623" s="171"/>
      <c r="R2623" s="171"/>
      <c r="S2623" s="51"/>
      <c r="T2623" s="208"/>
      <c r="U2623" s="208"/>
      <c r="V2623" s="208"/>
      <c r="W2623" s="208"/>
      <c r="X2623" s="208"/>
    </row>
    <row r="2624" spans="1:24" s="208" customFormat="1" ht="30" customHeight="1" x14ac:dyDescent="0.35">
      <c r="A2624" s="241"/>
      <c r="B2624" s="446"/>
      <c r="C2624" s="458"/>
      <c r="D2624" s="458"/>
      <c r="E2624" s="458"/>
      <c r="F2624" s="458"/>
      <c r="G2624" s="458"/>
      <c r="H2624" s="458"/>
      <c r="I2624" s="458"/>
      <c r="J2624" s="446" t="s">
        <v>2356</v>
      </c>
      <c r="K2624" s="591">
        <f>+K2621*K2622/K2623</f>
        <v>119.68189907407407</v>
      </c>
      <c r="L2624" s="243" t="s">
        <v>8</v>
      </c>
      <c r="M2624" s="173"/>
      <c r="N2624" s="203"/>
      <c r="O2624" s="207"/>
      <c r="P2624" s="27"/>
      <c r="Q2624" s="27"/>
      <c r="R2624" s="27"/>
      <c r="S2624" s="27"/>
      <c r="T2624" s="203"/>
      <c r="U2624" s="203"/>
      <c r="V2624" s="203"/>
      <c r="W2624" s="203"/>
      <c r="X2624" s="203"/>
    </row>
    <row r="2625" spans="1:24" ht="30" customHeight="1" thickBot="1" x14ac:dyDescent="0.4">
      <c r="A2625" s="241"/>
      <c r="B2625" s="446"/>
      <c r="C2625" s="458"/>
      <c r="D2625" s="458"/>
      <c r="E2625" s="458"/>
      <c r="F2625" s="458"/>
      <c r="G2625" s="458"/>
      <c r="H2625" s="458"/>
      <c r="I2625" s="820" t="s">
        <v>2358</v>
      </c>
      <c r="J2625" s="583">
        <f>VLOOKUP(B2616,'Mil Cost Premiums for PUCs'!$A$4:$R$272,18,FALSE)</f>
        <v>1.2981950150858137</v>
      </c>
      <c r="K2625" s="591">
        <f>+K2624*J2625</f>
        <v>155.37044477396643</v>
      </c>
      <c r="L2625" s="243" t="s">
        <v>8</v>
      </c>
      <c r="M2625" s="173"/>
      <c r="N2625" s="208"/>
      <c r="P2625" s="208"/>
      <c r="Q2625" s="208"/>
      <c r="R2625" s="208"/>
      <c r="S2625" s="208"/>
      <c r="T2625" s="51"/>
      <c r="U2625" s="171"/>
    </row>
    <row r="2626" spans="1:24" ht="30" customHeight="1" thickBot="1" x14ac:dyDescent="0.4">
      <c r="A2626" s="1086"/>
      <c r="B2626" s="1087"/>
      <c r="C2626" s="1087"/>
      <c r="D2626" s="1087"/>
      <c r="E2626" s="1087"/>
      <c r="F2626" s="1087"/>
      <c r="G2626" s="1087"/>
      <c r="H2626" s="1087"/>
      <c r="I2626" s="1087"/>
      <c r="J2626" s="1087"/>
      <c r="K2626" s="1087"/>
      <c r="L2626" s="1088"/>
      <c r="M2626" s="173"/>
      <c r="N2626" s="214"/>
      <c r="T2626" s="51"/>
      <c r="U2626" s="171"/>
    </row>
    <row r="2627" spans="1:24" ht="30" customHeight="1" x14ac:dyDescent="0.35">
      <c r="A2627" s="465" t="s">
        <v>278</v>
      </c>
      <c r="B2627" s="539">
        <v>5307</v>
      </c>
      <c r="C2627" s="1017" t="s">
        <v>1296</v>
      </c>
      <c r="D2627" s="1018"/>
      <c r="E2627" s="541" t="s">
        <v>280</v>
      </c>
      <c r="F2627" s="542" t="s">
        <v>8</v>
      </c>
      <c r="G2627" s="543" t="s">
        <v>285</v>
      </c>
      <c r="H2627" s="632">
        <v>1813</v>
      </c>
      <c r="I2627" s="541" t="s">
        <v>281</v>
      </c>
      <c r="J2627" s="1019" t="s">
        <v>2371</v>
      </c>
      <c r="K2627" s="1019"/>
      <c r="L2627" s="1020"/>
      <c r="M2627" s="173"/>
      <c r="N2627" s="425"/>
      <c r="P2627" s="171"/>
      <c r="Q2627" s="171"/>
      <c r="R2627" s="171"/>
      <c r="S2627" s="51"/>
      <c r="T2627" s="27"/>
      <c r="U2627" s="27"/>
      <c r="V2627" s="27"/>
      <c r="W2627" s="27"/>
      <c r="X2627" s="27"/>
    </row>
    <row r="2628" spans="1:24" s="27" customFormat="1" ht="30" customHeight="1" x14ac:dyDescent="0.35">
      <c r="A2628" s="588" t="s">
        <v>298</v>
      </c>
      <c r="B2628" s="1038" t="s">
        <v>321</v>
      </c>
      <c r="C2628" s="1039"/>
      <c r="D2628" s="1040"/>
      <c r="E2628" s="23" t="s">
        <v>290</v>
      </c>
      <c r="F2628" s="23" t="s">
        <v>322</v>
      </c>
      <c r="G2628" s="1034" t="s">
        <v>323</v>
      </c>
      <c r="H2628" s="1035"/>
      <c r="I2628" s="509" t="s">
        <v>299</v>
      </c>
      <c r="J2628" s="509"/>
      <c r="K2628" s="1012" t="s">
        <v>292</v>
      </c>
      <c r="L2628" s="1013"/>
      <c r="M2628" s="173"/>
      <c r="N2628" s="203"/>
      <c r="O2628" s="205"/>
      <c r="P2628" s="171"/>
      <c r="Q2628" s="171"/>
      <c r="R2628" s="171"/>
      <c r="S2628" s="51"/>
      <c r="T2628" s="208"/>
      <c r="U2628" s="208"/>
      <c r="V2628" s="208"/>
      <c r="W2628" s="208"/>
      <c r="X2628" s="208"/>
    </row>
    <row r="2629" spans="1:24" s="208" customFormat="1" ht="30" customHeight="1" x14ac:dyDescent="0.35">
      <c r="A2629" s="832" t="s">
        <v>1262</v>
      </c>
      <c r="B2629" s="1031" t="s">
        <v>1297</v>
      </c>
      <c r="C2629" s="1032"/>
      <c r="D2629" s="1033"/>
      <c r="E2629" s="453">
        <v>79</v>
      </c>
      <c r="F2629" s="446" t="s">
        <v>8</v>
      </c>
      <c r="G2629" s="454"/>
      <c r="H2629" s="446"/>
      <c r="I2629" s="446">
        <v>1.03</v>
      </c>
      <c r="J2629" s="665"/>
      <c r="K2629" s="453">
        <f>+E2629*I2629</f>
        <v>81.37</v>
      </c>
      <c r="L2629" s="243" t="s">
        <v>8</v>
      </c>
      <c r="M2629" s="173"/>
      <c r="N2629" s="203"/>
      <c r="O2629" s="207"/>
      <c r="P2629" s="27"/>
      <c r="Q2629" s="27"/>
      <c r="R2629" s="27"/>
      <c r="S2629" s="27"/>
      <c r="T2629" s="203"/>
      <c r="U2629" s="203"/>
      <c r="V2629" s="203"/>
      <c r="W2629" s="203"/>
      <c r="X2629" s="203"/>
    </row>
    <row r="2630" spans="1:24" ht="30" customHeight="1" x14ac:dyDescent="0.35">
      <c r="A2630" s="832" t="s">
        <v>360</v>
      </c>
      <c r="B2630" s="1082" t="s">
        <v>1070</v>
      </c>
      <c r="C2630" s="1083"/>
      <c r="D2630" s="1093"/>
      <c r="E2630" s="51">
        <v>4.1500000000000004</v>
      </c>
      <c r="F2630" s="446" t="s">
        <v>8</v>
      </c>
      <c r="G2630" s="605"/>
      <c r="H2630" s="508"/>
      <c r="I2630" s="446">
        <v>1.03</v>
      </c>
      <c r="J2630" s="665"/>
      <c r="K2630" s="453">
        <f>+E2630*I2630</f>
        <v>4.2745000000000006</v>
      </c>
      <c r="L2630" s="243" t="s">
        <v>8</v>
      </c>
      <c r="M2630" s="173"/>
      <c r="N2630" s="208"/>
      <c r="P2630" s="208"/>
      <c r="Q2630" s="208"/>
      <c r="R2630" s="208"/>
      <c r="S2630" s="208"/>
      <c r="T2630" s="51"/>
      <c r="U2630" s="171"/>
    </row>
    <row r="2631" spans="1:24" ht="30" customHeight="1" x14ac:dyDescent="0.35">
      <c r="A2631" s="241"/>
      <c r="B2631" s="1059"/>
      <c r="C2631" s="1059"/>
      <c r="D2631" s="1059"/>
      <c r="E2631" s="453"/>
      <c r="F2631" s="446"/>
      <c r="G2631" s="519"/>
      <c r="H2631" s="508"/>
      <c r="I2631" s="446"/>
      <c r="J2631" s="446" t="s">
        <v>335</v>
      </c>
      <c r="K2631" s="453">
        <f>SUM(K2629:K2630)</f>
        <v>85.644500000000008</v>
      </c>
      <c r="L2631" s="243" t="s">
        <v>8</v>
      </c>
      <c r="M2631" s="173"/>
      <c r="N2631" s="214"/>
      <c r="T2631" s="51"/>
      <c r="U2631" s="171"/>
    </row>
    <row r="2632" spans="1:24" ht="30" customHeight="1" x14ac:dyDescent="0.35">
      <c r="A2632" s="241"/>
      <c r="B2632" s="1168"/>
      <c r="C2632" s="1169"/>
      <c r="D2632" s="1170"/>
      <c r="E2632" s="453"/>
      <c r="F2632" s="1029" t="s">
        <v>302</v>
      </c>
      <c r="G2632" s="1058" t="s">
        <v>303</v>
      </c>
      <c r="H2632" s="1058"/>
      <c r="I2632" s="1058"/>
      <c r="J2632" s="1058"/>
      <c r="K2632" s="665">
        <f>(1.1+1.08)/2</f>
        <v>1.0900000000000001</v>
      </c>
      <c r="L2632" s="243"/>
      <c r="M2632" s="173"/>
      <c r="P2632" s="171"/>
      <c r="Q2632" s="171"/>
      <c r="R2632" s="171"/>
      <c r="S2632" s="51"/>
      <c r="T2632" s="27"/>
      <c r="U2632" s="27"/>
      <c r="V2632" s="27"/>
      <c r="W2632" s="27"/>
      <c r="X2632" s="27"/>
    </row>
    <row r="2633" spans="1:24" s="27" customFormat="1" ht="30" customHeight="1" x14ac:dyDescent="0.35">
      <c r="A2633" s="241"/>
      <c r="B2633" s="506"/>
      <c r="C2633" s="506"/>
      <c r="D2633" s="506"/>
      <c r="E2633" s="453"/>
      <c r="F2633" s="1030"/>
      <c r="G2633" s="1073" t="s">
        <v>2374</v>
      </c>
      <c r="H2633" s="1073"/>
      <c r="I2633" s="1073"/>
      <c r="J2633" s="1073"/>
      <c r="K2633" s="612">
        <v>1.08</v>
      </c>
      <c r="L2633" s="243"/>
      <c r="M2633" s="173"/>
      <c r="N2633" s="203"/>
      <c r="O2633" s="205"/>
      <c r="P2633" s="171"/>
      <c r="Q2633" s="171"/>
      <c r="R2633" s="171"/>
      <c r="S2633" s="51"/>
      <c r="T2633" s="208"/>
      <c r="U2633" s="208"/>
      <c r="V2633" s="208"/>
      <c r="W2633" s="208"/>
      <c r="X2633" s="208"/>
    </row>
    <row r="2634" spans="1:24" s="208" customFormat="1" ht="30" customHeight="1" x14ac:dyDescent="0.35">
      <c r="A2634" s="241"/>
      <c r="B2634" s="446"/>
      <c r="C2634" s="458"/>
      <c r="D2634" s="458"/>
      <c r="E2634" s="458"/>
      <c r="F2634" s="458"/>
      <c r="G2634" s="458"/>
      <c r="H2634" s="458"/>
      <c r="I2634" s="458"/>
      <c r="J2634" s="458" t="s">
        <v>2356</v>
      </c>
      <c r="K2634" s="591">
        <f>+K2631*K2632/K2633</f>
        <v>86.437504629629643</v>
      </c>
      <c r="L2634" s="243" t="s">
        <v>8</v>
      </c>
      <c r="M2634" s="173"/>
      <c r="N2634" s="203"/>
      <c r="O2634" s="207"/>
      <c r="P2634" s="27"/>
      <c r="Q2634" s="27"/>
      <c r="R2634" s="27"/>
      <c r="S2634" s="27"/>
      <c r="T2634" s="203"/>
      <c r="U2634" s="203"/>
      <c r="V2634" s="203"/>
      <c r="W2634" s="203"/>
      <c r="X2634" s="203"/>
    </row>
    <row r="2635" spans="1:24" ht="30" customHeight="1" thickBot="1" x14ac:dyDescent="0.4">
      <c r="A2635" s="241"/>
      <c r="B2635" s="446"/>
      <c r="C2635" s="458"/>
      <c r="D2635" s="458"/>
      <c r="E2635" s="458"/>
      <c r="F2635" s="458"/>
      <c r="G2635" s="592" t="s">
        <v>2358</v>
      </c>
      <c r="H2635" s="458"/>
      <c r="I2635" s="458"/>
      <c r="J2635" s="583">
        <f>VLOOKUP(B2627,'Mil Cost Premiums for PUCs'!$A$4:$R$272,18,FALSE)</f>
        <v>1.1199953840399997</v>
      </c>
      <c r="K2635" s="591">
        <f>+K2634*J2635</f>
        <v>96.809606193121297</v>
      </c>
      <c r="L2635" s="243" t="s">
        <v>8</v>
      </c>
      <c r="M2635" s="173"/>
      <c r="N2635" s="208"/>
      <c r="P2635" s="208"/>
      <c r="Q2635" s="208"/>
      <c r="R2635" s="208"/>
      <c r="S2635" s="208"/>
    </row>
    <row r="2636" spans="1:24" ht="30" customHeight="1" thickBot="1" x14ac:dyDescent="0.4">
      <c r="A2636" s="1086"/>
      <c r="B2636" s="1087"/>
      <c r="C2636" s="1087"/>
      <c r="D2636" s="1087"/>
      <c r="E2636" s="1087"/>
      <c r="F2636" s="1087"/>
      <c r="G2636" s="1087"/>
      <c r="H2636" s="1087"/>
      <c r="I2636" s="1087"/>
      <c r="J2636" s="1087"/>
      <c r="K2636" s="1087"/>
      <c r="L2636" s="1088"/>
      <c r="M2636" s="173"/>
      <c r="N2636" s="214"/>
    </row>
    <row r="2637" spans="1:24" ht="30" customHeight="1" x14ac:dyDescent="0.35">
      <c r="A2637" s="465" t="s">
        <v>278</v>
      </c>
      <c r="B2637" s="539">
        <v>5400</v>
      </c>
      <c r="C2637" s="1060" t="s">
        <v>1298</v>
      </c>
      <c r="D2637" s="1061"/>
      <c r="E2637" s="541" t="s">
        <v>280</v>
      </c>
      <c r="F2637" s="542" t="s">
        <v>8</v>
      </c>
      <c r="G2637" s="543" t="s">
        <v>285</v>
      </c>
      <c r="H2637" s="437">
        <v>11890</v>
      </c>
      <c r="I2637" s="541" t="s">
        <v>281</v>
      </c>
      <c r="J2637" s="1019" t="s">
        <v>287</v>
      </c>
      <c r="K2637" s="1019"/>
      <c r="L2637" s="1020"/>
      <c r="M2637" s="173"/>
      <c r="O2637" s="203"/>
      <c r="P2637" s="218"/>
      <c r="Q2637" s="68"/>
      <c r="R2637" s="217"/>
      <c r="T2637" s="27"/>
      <c r="U2637" s="27"/>
      <c r="V2637" s="27"/>
      <c r="W2637" s="27"/>
      <c r="X2637" s="27"/>
    </row>
    <row r="2638" spans="1:24" s="27" customFormat="1" ht="30" customHeight="1" x14ac:dyDescent="0.35">
      <c r="A2638" s="545" t="s">
        <v>288</v>
      </c>
      <c r="B2638" s="1051" t="s">
        <v>282</v>
      </c>
      <c r="C2638" s="1051"/>
      <c r="D2638" s="1051"/>
      <c r="E2638" s="530" t="s">
        <v>289</v>
      </c>
      <c r="F2638" s="561" t="s">
        <v>290</v>
      </c>
      <c r="G2638" s="509"/>
      <c r="H2638" s="509"/>
      <c r="I2638" s="1052" t="s">
        <v>405</v>
      </c>
      <c r="J2638" s="1053"/>
      <c r="K2638" s="1012" t="s">
        <v>292</v>
      </c>
      <c r="L2638" s="1013"/>
      <c r="M2638" s="173"/>
      <c r="N2638" s="203"/>
      <c r="O2638" s="203"/>
      <c r="P2638" s="218"/>
      <c r="Q2638" s="68"/>
      <c r="R2638" s="217"/>
      <c r="S2638" s="203"/>
      <c r="T2638" s="208"/>
      <c r="U2638" s="208"/>
      <c r="V2638" s="208"/>
      <c r="W2638" s="208"/>
      <c r="X2638" s="208"/>
    </row>
    <row r="2639" spans="1:24" s="208" customFormat="1" ht="30" customHeight="1" x14ac:dyDescent="0.35">
      <c r="A2639" s="562" t="s">
        <v>293</v>
      </c>
      <c r="B2639" s="1057" t="s">
        <v>1299</v>
      </c>
      <c r="C2639" s="1057"/>
      <c r="D2639" s="1057"/>
      <c r="E2639" s="563">
        <v>17000</v>
      </c>
      <c r="F2639" s="444">
        <v>552</v>
      </c>
      <c r="G2639" s="442"/>
      <c r="H2639" s="17"/>
      <c r="I2639" s="1044">
        <f>'2021 MILCON Inflation Table'!F14</f>
        <v>1.1198495748855462</v>
      </c>
      <c r="J2639" s="1045"/>
      <c r="K2639" s="444">
        <f>+F2639*I2639</f>
        <v>618.15696533682149</v>
      </c>
      <c r="L2639" s="564" t="s">
        <v>8</v>
      </c>
      <c r="M2639" s="173"/>
      <c r="N2639" s="203"/>
      <c r="O2639" s="207"/>
      <c r="P2639" s="27"/>
      <c r="Q2639" s="27"/>
      <c r="R2639" s="27"/>
      <c r="S2639" s="27"/>
      <c r="T2639" s="203"/>
      <c r="U2639" s="203"/>
      <c r="V2639" s="203"/>
      <c r="W2639" s="203"/>
      <c r="X2639" s="203"/>
    </row>
    <row r="2640" spans="1:24" ht="30" customHeight="1" thickBot="1" x14ac:dyDescent="0.4">
      <c r="A2640" s="241"/>
      <c r="B2640" s="1059"/>
      <c r="C2640" s="1059"/>
      <c r="D2640" s="1059"/>
      <c r="E2640" s="565"/>
      <c r="F2640" s="566"/>
      <c r="G2640" s="566"/>
      <c r="H2640" s="567"/>
      <c r="I2640" s="458"/>
      <c r="J2640" s="510" t="s">
        <v>2356</v>
      </c>
      <c r="K2640" s="585">
        <f>+K2639</f>
        <v>618.15696533682149</v>
      </c>
      <c r="L2640" s="243" t="s">
        <v>8</v>
      </c>
      <c r="M2640" s="173"/>
      <c r="N2640" s="208"/>
      <c r="P2640" s="208"/>
      <c r="Q2640" s="208"/>
      <c r="R2640" s="208"/>
      <c r="S2640" s="208"/>
      <c r="T2640" s="51"/>
      <c r="U2640" s="171"/>
    </row>
    <row r="2641" spans="1:24" ht="30" customHeight="1" thickBot="1" x14ac:dyDescent="0.4">
      <c r="A2641" s="1086"/>
      <c r="B2641" s="1087"/>
      <c r="C2641" s="1087"/>
      <c r="D2641" s="1087"/>
      <c r="E2641" s="1087"/>
      <c r="F2641" s="1087"/>
      <c r="G2641" s="1087"/>
      <c r="H2641" s="1087"/>
      <c r="I2641" s="1087"/>
      <c r="J2641" s="1087"/>
      <c r="K2641" s="1087"/>
      <c r="L2641" s="1088"/>
      <c r="M2641" s="173"/>
      <c r="N2641" s="214"/>
      <c r="T2641" s="51"/>
      <c r="U2641" s="171"/>
    </row>
    <row r="2642" spans="1:24" ht="30" customHeight="1" x14ac:dyDescent="0.35">
      <c r="A2642" s="465" t="s">
        <v>278</v>
      </c>
      <c r="B2642" s="539">
        <v>5500</v>
      </c>
      <c r="C2642" s="1060" t="s">
        <v>1300</v>
      </c>
      <c r="D2642" s="1061"/>
      <c r="E2642" s="541" t="s">
        <v>280</v>
      </c>
      <c r="F2642" s="542" t="s">
        <v>8</v>
      </c>
      <c r="G2642" s="543" t="s">
        <v>285</v>
      </c>
      <c r="H2642" s="437">
        <v>17475</v>
      </c>
      <c r="I2642" s="541" t="s">
        <v>281</v>
      </c>
      <c r="J2642" s="1019" t="s">
        <v>2637</v>
      </c>
      <c r="K2642" s="1019"/>
      <c r="L2642" s="1020"/>
      <c r="M2642" s="173"/>
      <c r="P2642" s="171"/>
      <c r="Q2642" s="171"/>
      <c r="R2642" s="171"/>
      <c r="S2642" s="51"/>
      <c r="T2642" s="51"/>
      <c r="U2642" s="171"/>
    </row>
    <row r="2643" spans="1:24" ht="30" customHeight="1" x14ac:dyDescent="0.35">
      <c r="A2643" s="545" t="s">
        <v>288</v>
      </c>
      <c r="B2643" s="1051" t="s">
        <v>282</v>
      </c>
      <c r="C2643" s="1051"/>
      <c r="D2643" s="1051"/>
      <c r="E2643" s="530" t="s">
        <v>289</v>
      </c>
      <c r="F2643" s="561" t="s">
        <v>290</v>
      </c>
      <c r="G2643" s="509"/>
      <c r="H2643" s="509"/>
      <c r="I2643" s="1052" t="s">
        <v>405</v>
      </c>
      <c r="J2643" s="1053"/>
      <c r="K2643" s="1012" t="s">
        <v>292</v>
      </c>
      <c r="L2643" s="1013"/>
      <c r="M2643" s="363"/>
      <c r="P2643" s="171"/>
      <c r="Q2643" s="171"/>
      <c r="R2643" s="171"/>
      <c r="S2643" s="51"/>
      <c r="T2643" s="27"/>
      <c r="U2643" s="27"/>
      <c r="V2643" s="27"/>
      <c r="W2643" s="27"/>
      <c r="X2643" s="27"/>
    </row>
    <row r="2644" spans="1:24" s="27" customFormat="1" ht="30" customHeight="1" x14ac:dyDescent="0.35">
      <c r="A2644" s="562" t="s">
        <v>293</v>
      </c>
      <c r="B2644" s="1057" t="s">
        <v>2655</v>
      </c>
      <c r="C2644" s="1057"/>
      <c r="D2644" s="1057"/>
      <c r="E2644" s="563">
        <v>38000</v>
      </c>
      <c r="F2644" s="444">
        <v>445</v>
      </c>
      <c r="G2644" s="442"/>
      <c r="H2644" s="17"/>
      <c r="I2644" s="1044" t="s">
        <v>2638</v>
      </c>
      <c r="J2644" s="1045"/>
      <c r="K2644" s="444">
        <f>+F2644</f>
        <v>445</v>
      </c>
      <c r="L2644" s="564" t="s">
        <v>8</v>
      </c>
      <c r="M2644" s="173"/>
      <c r="N2644" s="203"/>
      <c r="O2644" s="205"/>
      <c r="P2644" s="171"/>
      <c r="Q2644" s="171"/>
      <c r="R2644" s="171"/>
      <c r="S2644" s="51"/>
      <c r="T2644" s="208"/>
      <c r="U2644" s="208"/>
      <c r="V2644" s="208"/>
      <c r="W2644" s="208"/>
      <c r="X2644" s="208"/>
    </row>
    <row r="2645" spans="1:24" s="208" customFormat="1" ht="30" customHeight="1" thickBot="1" x14ac:dyDescent="0.4">
      <c r="A2645" s="241"/>
      <c r="B2645" s="1059"/>
      <c r="C2645" s="1059"/>
      <c r="D2645" s="1059"/>
      <c r="E2645" s="565"/>
      <c r="F2645" s="566"/>
      <c r="G2645" s="566"/>
      <c r="H2645" s="567"/>
      <c r="I2645" s="458"/>
      <c r="J2645" s="510" t="s">
        <v>2356</v>
      </c>
      <c r="K2645" s="585">
        <f>+K2644</f>
        <v>445</v>
      </c>
      <c r="L2645" s="243" t="s">
        <v>8</v>
      </c>
      <c r="M2645" s="173"/>
      <c r="N2645" s="203"/>
      <c r="O2645" s="207"/>
      <c r="P2645" s="27"/>
      <c r="Q2645" s="27"/>
      <c r="R2645" s="27"/>
      <c r="S2645" s="27"/>
      <c r="T2645" s="203"/>
      <c r="U2645" s="203"/>
      <c r="V2645" s="203"/>
      <c r="W2645" s="203"/>
      <c r="X2645" s="203"/>
    </row>
    <row r="2646" spans="1:24" ht="30" customHeight="1" thickBot="1" x14ac:dyDescent="0.4">
      <c r="A2646" s="481"/>
      <c r="B2646" s="482"/>
      <c r="C2646" s="482"/>
      <c r="D2646" s="482"/>
      <c r="E2646" s="482"/>
      <c r="F2646" s="482"/>
      <c r="G2646" s="482"/>
      <c r="H2646" s="482"/>
      <c r="I2646" s="482"/>
      <c r="J2646" s="482"/>
      <c r="K2646" s="482"/>
      <c r="L2646" s="483"/>
      <c r="M2646" s="173"/>
      <c r="N2646" s="208"/>
      <c r="P2646" s="208"/>
      <c r="Q2646" s="208"/>
      <c r="R2646" s="208"/>
      <c r="S2646" s="208"/>
      <c r="T2646" s="51"/>
      <c r="U2646" s="171"/>
    </row>
    <row r="2647" spans="1:24" ht="30" customHeight="1" x14ac:dyDescent="0.35">
      <c r="A2647" s="465" t="s">
        <v>278</v>
      </c>
      <c r="B2647" s="539">
        <v>5501</v>
      </c>
      <c r="C2647" s="1060" t="s">
        <v>1301</v>
      </c>
      <c r="D2647" s="1061"/>
      <c r="E2647" s="541" t="s">
        <v>280</v>
      </c>
      <c r="F2647" s="542" t="s">
        <v>8</v>
      </c>
      <c r="G2647" s="543" t="s">
        <v>285</v>
      </c>
      <c r="H2647" s="437">
        <v>102518</v>
      </c>
      <c r="I2647" s="541" t="s">
        <v>281</v>
      </c>
      <c r="J2647" s="1019" t="s">
        <v>2365</v>
      </c>
      <c r="K2647" s="1019"/>
      <c r="L2647" s="1020"/>
      <c r="M2647" s="173"/>
      <c r="N2647" s="214"/>
      <c r="T2647" s="51"/>
      <c r="U2647" s="171"/>
    </row>
    <row r="2648" spans="1:24" ht="30" customHeight="1" x14ac:dyDescent="0.35">
      <c r="A2648" s="545" t="s">
        <v>288</v>
      </c>
      <c r="B2648" s="1051" t="s">
        <v>282</v>
      </c>
      <c r="C2648" s="1051"/>
      <c r="D2648" s="1051"/>
      <c r="E2648" s="530" t="s">
        <v>289</v>
      </c>
      <c r="F2648" s="561" t="s">
        <v>290</v>
      </c>
      <c r="G2648" s="509"/>
      <c r="H2648" s="509"/>
      <c r="I2648" s="1052" t="s">
        <v>405</v>
      </c>
      <c r="J2648" s="1053"/>
      <c r="K2648" s="1012" t="s">
        <v>292</v>
      </c>
      <c r="L2648" s="1013"/>
      <c r="M2648" s="406"/>
      <c r="N2648" s="425"/>
      <c r="P2648" s="171"/>
      <c r="Q2648" s="171"/>
      <c r="R2648" s="171"/>
      <c r="S2648" s="51"/>
    </row>
    <row r="2649" spans="1:24" ht="30" customHeight="1" x14ac:dyDescent="0.35">
      <c r="A2649" s="562" t="s">
        <v>293</v>
      </c>
      <c r="B2649" s="1057" t="s">
        <v>2656</v>
      </c>
      <c r="C2649" s="1057"/>
      <c r="D2649" s="1057"/>
      <c r="E2649" s="563">
        <v>120000</v>
      </c>
      <c r="F2649" s="444">
        <v>360</v>
      </c>
      <c r="G2649" s="442"/>
      <c r="H2649" s="17"/>
      <c r="I2649" s="1044">
        <f>'2021 MILCON Inflation Table'!F16</f>
        <v>1.0201832129291724</v>
      </c>
      <c r="J2649" s="1045"/>
      <c r="K2649" s="444">
        <f>+F2649*I2649</f>
        <v>367.26595665450202</v>
      </c>
      <c r="L2649" s="564" t="s">
        <v>8</v>
      </c>
      <c r="M2649" s="173"/>
      <c r="P2649" s="171"/>
      <c r="Q2649" s="171"/>
      <c r="R2649" s="171"/>
      <c r="S2649" s="51"/>
      <c r="T2649" s="208"/>
      <c r="U2649" s="208"/>
      <c r="V2649" s="208"/>
      <c r="W2649" s="208"/>
      <c r="X2649" s="208"/>
    </row>
    <row r="2650" spans="1:24" s="208" customFormat="1" ht="30" customHeight="1" thickBot="1" x14ac:dyDescent="0.4">
      <c r="A2650" s="241"/>
      <c r="B2650" s="1059"/>
      <c r="C2650" s="1059"/>
      <c r="D2650" s="1059"/>
      <c r="E2650" s="565"/>
      <c r="F2650" s="566"/>
      <c r="G2650" s="566"/>
      <c r="H2650" s="567"/>
      <c r="I2650" s="458"/>
      <c r="J2650" s="510" t="s">
        <v>2356</v>
      </c>
      <c r="K2650" s="585">
        <f>+K2649</f>
        <v>367.26595665450202</v>
      </c>
      <c r="L2650" s="243" t="s">
        <v>8</v>
      </c>
      <c r="M2650" s="173"/>
      <c r="N2650" s="68"/>
      <c r="O2650" s="203"/>
      <c r="P2650" s="218"/>
      <c r="Q2650" s="68"/>
      <c r="R2650" s="217"/>
      <c r="S2650" s="203"/>
      <c r="T2650" s="203"/>
      <c r="U2650" s="203"/>
      <c r="V2650" s="203"/>
      <c r="W2650" s="203"/>
      <c r="X2650" s="203"/>
    </row>
    <row r="2651" spans="1:24" ht="30" customHeight="1" thickBot="1" x14ac:dyDescent="0.4">
      <c r="A2651" s="1086"/>
      <c r="B2651" s="1087"/>
      <c r="C2651" s="1087"/>
      <c r="D2651" s="1087"/>
      <c r="E2651" s="1087"/>
      <c r="F2651" s="1087"/>
      <c r="G2651" s="1087"/>
      <c r="H2651" s="1087"/>
      <c r="I2651" s="1087"/>
      <c r="J2651" s="1087"/>
      <c r="K2651" s="1087"/>
      <c r="L2651" s="1088"/>
      <c r="M2651" s="173"/>
      <c r="N2651" s="68"/>
      <c r="O2651" s="208"/>
      <c r="P2651" s="218"/>
      <c r="Q2651" s="68"/>
      <c r="R2651" s="217"/>
      <c r="S2651" s="208"/>
    </row>
    <row r="2652" spans="1:24" ht="30" customHeight="1" x14ac:dyDescent="0.35">
      <c r="A2652" s="465" t="s">
        <v>278</v>
      </c>
      <c r="B2652" s="539">
        <v>6100</v>
      </c>
      <c r="C2652" s="1060" t="s">
        <v>1302</v>
      </c>
      <c r="D2652" s="1061"/>
      <c r="E2652" s="541" t="s">
        <v>280</v>
      </c>
      <c r="F2652" s="542" t="s">
        <v>8</v>
      </c>
      <c r="G2652" s="543" t="s">
        <v>285</v>
      </c>
      <c r="H2652" s="437">
        <v>9741</v>
      </c>
      <c r="I2652" s="541" t="s">
        <v>281</v>
      </c>
      <c r="J2652" s="1019" t="s">
        <v>2637</v>
      </c>
      <c r="K2652" s="1019"/>
      <c r="L2652" s="1020"/>
      <c r="M2652" s="173"/>
      <c r="N2652" s="425"/>
      <c r="O2652" s="203"/>
      <c r="P2652" s="218"/>
      <c r="Q2652" s="68"/>
      <c r="R2652" s="217"/>
    </row>
    <row r="2653" spans="1:24" ht="30" customHeight="1" x14ac:dyDescent="0.35">
      <c r="A2653" s="545" t="s">
        <v>288</v>
      </c>
      <c r="B2653" s="1051" t="s">
        <v>282</v>
      </c>
      <c r="C2653" s="1051"/>
      <c r="D2653" s="1051"/>
      <c r="E2653" s="530" t="s">
        <v>289</v>
      </c>
      <c r="F2653" s="561" t="s">
        <v>290</v>
      </c>
      <c r="G2653" s="509"/>
      <c r="H2653" s="509"/>
      <c r="I2653" s="1052" t="s">
        <v>405</v>
      </c>
      <c r="J2653" s="1053"/>
      <c r="K2653" s="1012" t="s">
        <v>292</v>
      </c>
      <c r="L2653" s="1013"/>
      <c r="M2653" s="173"/>
      <c r="N2653" s="68"/>
      <c r="O2653" s="203"/>
      <c r="P2653" s="218"/>
      <c r="Q2653" s="68"/>
      <c r="R2653" s="217"/>
    </row>
    <row r="2654" spans="1:24" ht="30" customHeight="1" x14ac:dyDescent="0.35">
      <c r="A2654" s="562" t="s">
        <v>293</v>
      </c>
      <c r="B2654" s="1057" t="s">
        <v>1303</v>
      </c>
      <c r="C2654" s="1057"/>
      <c r="D2654" s="1057"/>
      <c r="E2654" s="563">
        <v>44000</v>
      </c>
      <c r="F2654" s="444">
        <v>540</v>
      </c>
      <c r="G2654" s="442"/>
      <c r="H2654" s="17"/>
      <c r="I2654" s="1044" t="s">
        <v>2638</v>
      </c>
      <c r="J2654" s="1045"/>
      <c r="K2654" s="444">
        <f>+F2654</f>
        <v>540</v>
      </c>
      <c r="L2654" s="564" t="s">
        <v>8</v>
      </c>
      <c r="M2654" s="173"/>
      <c r="N2654" s="68"/>
      <c r="O2654" s="203"/>
      <c r="P2654" s="218"/>
      <c r="Q2654" s="68"/>
      <c r="R2654" s="217"/>
    </row>
    <row r="2655" spans="1:24" ht="30" customHeight="1" thickBot="1" x14ac:dyDescent="0.4">
      <c r="A2655" s="241"/>
      <c r="B2655" s="1059"/>
      <c r="C2655" s="1059"/>
      <c r="D2655" s="1059"/>
      <c r="E2655" s="565"/>
      <c r="F2655" s="566"/>
      <c r="G2655" s="566"/>
      <c r="H2655" s="567"/>
      <c r="I2655" s="458"/>
      <c r="J2655" s="510" t="s">
        <v>2356</v>
      </c>
      <c r="K2655" s="585">
        <f>+K2654</f>
        <v>540</v>
      </c>
      <c r="L2655" s="243" t="s">
        <v>8</v>
      </c>
      <c r="M2655" s="173"/>
      <c r="N2655" s="419"/>
      <c r="O2655" s="171"/>
      <c r="P2655" s="216"/>
      <c r="Q2655" s="419"/>
      <c r="R2655" s="219"/>
    </row>
    <row r="2656" spans="1:24" ht="30" customHeight="1" thickBot="1" x14ac:dyDescent="0.4">
      <c r="A2656" s="1086"/>
      <c r="B2656" s="1087"/>
      <c r="C2656" s="1087"/>
      <c r="D2656" s="1087"/>
      <c r="E2656" s="1087"/>
      <c r="F2656" s="1087"/>
      <c r="G2656" s="1087"/>
      <c r="H2656" s="1087"/>
      <c r="I2656" s="1087"/>
      <c r="J2656" s="1087"/>
      <c r="K2656" s="1087"/>
      <c r="L2656" s="1088"/>
      <c r="M2656" s="173"/>
      <c r="N2656" s="419"/>
      <c r="O2656" s="171"/>
      <c r="P2656" s="216"/>
      <c r="Q2656" s="419"/>
      <c r="R2656" s="219"/>
      <c r="T2656" s="51"/>
      <c r="U2656" s="171"/>
    </row>
    <row r="2657" spans="1:24" ht="30" customHeight="1" x14ac:dyDescent="0.35">
      <c r="A2657" s="465" t="s">
        <v>278</v>
      </c>
      <c r="B2657" s="539">
        <v>6101</v>
      </c>
      <c r="C2657" s="1060" t="s">
        <v>1304</v>
      </c>
      <c r="D2657" s="1061"/>
      <c r="E2657" s="541" t="s">
        <v>280</v>
      </c>
      <c r="F2657" s="542" t="s">
        <v>8</v>
      </c>
      <c r="G2657" s="543" t="s">
        <v>285</v>
      </c>
      <c r="H2657" s="569">
        <v>11294</v>
      </c>
      <c r="I2657" s="541" t="s">
        <v>281</v>
      </c>
      <c r="J2657" s="1019" t="s">
        <v>2637</v>
      </c>
      <c r="K2657" s="1019"/>
      <c r="L2657" s="1020"/>
      <c r="M2657" s="173"/>
      <c r="N2657" s="68"/>
      <c r="O2657" s="203"/>
      <c r="P2657" s="218"/>
      <c r="Q2657" s="68"/>
      <c r="R2657" s="217"/>
      <c r="U2657" s="171"/>
    </row>
    <row r="2658" spans="1:24" ht="30" customHeight="1" x14ac:dyDescent="0.35">
      <c r="A2658" s="545" t="s">
        <v>288</v>
      </c>
      <c r="B2658" s="1051" t="s">
        <v>282</v>
      </c>
      <c r="C2658" s="1051"/>
      <c r="D2658" s="1051"/>
      <c r="E2658" s="530" t="s">
        <v>289</v>
      </c>
      <c r="F2658" s="561" t="s">
        <v>290</v>
      </c>
      <c r="G2658" s="509"/>
      <c r="H2658" s="509"/>
      <c r="I2658" s="1052" t="s">
        <v>405</v>
      </c>
      <c r="J2658" s="1053"/>
      <c r="K2658" s="1012" t="s">
        <v>292</v>
      </c>
      <c r="L2658" s="1013"/>
      <c r="M2658" s="173"/>
      <c r="P2658" s="171"/>
      <c r="Q2658" s="171"/>
      <c r="R2658" s="171"/>
      <c r="S2658" s="51"/>
      <c r="U2658" s="171"/>
    </row>
    <row r="2659" spans="1:24" ht="30" customHeight="1" x14ac:dyDescent="0.35">
      <c r="A2659" s="562" t="s">
        <v>293</v>
      </c>
      <c r="B2659" s="1057" t="s">
        <v>1305</v>
      </c>
      <c r="C2659" s="1057"/>
      <c r="D2659" s="1057"/>
      <c r="E2659" s="563">
        <v>18000</v>
      </c>
      <c r="F2659" s="444">
        <v>331</v>
      </c>
      <c r="G2659" s="442"/>
      <c r="H2659" s="17"/>
      <c r="I2659" s="1044" t="s">
        <v>2638</v>
      </c>
      <c r="J2659" s="1045"/>
      <c r="K2659" s="444">
        <f>+F2659</f>
        <v>331</v>
      </c>
      <c r="L2659" s="564" t="s">
        <v>8</v>
      </c>
      <c r="M2659" s="173"/>
      <c r="N2659" s="68"/>
      <c r="T2659" s="213"/>
      <c r="U2659" s="208"/>
      <c r="V2659" s="208"/>
      <c r="W2659" s="208"/>
      <c r="X2659" s="208"/>
    </row>
    <row r="2660" spans="1:24" s="208" customFormat="1" ht="30" customHeight="1" thickBot="1" x14ac:dyDescent="0.4">
      <c r="A2660" s="241"/>
      <c r="B2660" s="1059"/>
      <c r="C2660" s="1059"/>
      <c r="D2660" s="1059"/>
      <c r="E2660" s="565"/>
      <c r="F2660" s="566"/>
      <c r="G2660" s="566"/>
      <c r="H2660" s="567"/>
      <c r="I2660" s="458"/>
      <c r="J2660" s="510" t="s">
        <v>2356</v>
      </c>
      <c r="K2660" s="585">
        <f>+K2659</f>
        <v>331</v>
      </c>
      <c r="L2660" s="243" t="s">
        <v>8</v>
      </c>
      <c r="M2660" s="173"/>
      <c r="N2660" s="203"/>
      <c r="O2660" s="205"/>
      <c r="P2660" s="203"/>
      <c r="Q2660" s="203"/>
      <c r="R2660" s="203"/>
      <c r="S2660" s="203"/>
      <c r="T2660" s="51"/>
      <c r="U2660" s="203"/>
      <c r="V2660" s="203"/>
      <c r="W2660" s="203"/>
      <c r="X2660" s="203"/>
    </row>
    <row r="2661" spans="1:24" ht="30" customHeight="1" thickBot="1" x14ac:dyDescent="0.4">
      <c r="A2661" s="1086"/>
      <c r="B2661" s="1087"/>
      <c r="C2661" s="1087"/>
      <c r="D2661" s="1087"/>
      <c r="E2661" s="1087"/>
      <c r="F2661" s="1087"/>
      <c r="G2661" s="1087"/>
      <c r="H2661" s="1087"/>
      <c r="I2661" s="1087"/>
      <c r="J2661" s="1087"/>
      <c r="K2661" s="1087"/>
      <c r="L2661" s="1088"/>
      <c r="M2661" s="173"/>
      <c r="N2661" s="136"/>
      <c r="P2661" s="75"/>
      <c r="Q2661" s="75"/>
      <c r="R2661" s="75"/>
      <c r="S2661" s="213"/>
      <c r="T2661" s="27"/>
      <c r="U2661" s="171"/>
    </row>
    <row r="2662" spans="1:24" ht="30" customHeight="1" x14ac:dyDescent="0.35">
      <c r="A2662" s="465" t="s">
        <v>278</v>
      </c>
      <c r="B2662" s="539">
        <v>6102</v>
      </c>
      <c r="C2662" s="1060" t="s">
        <v>1306</v>
      </c>
      <c r="D2662" s="1061"/>
      <c r="E2662" s="541" t="s">
        <v>280</v>
      </c>
      <c r="F2662" s="542" t="s">
        <v>8</v>
      </c>
      <c r="G2662" s="543" t="s">
        <v>285</v>
      </c>
      <c r="H2662" s="569">
        <v>12221</v>
      </c>
      <c r="I2662" s="541" t="s">
        <v>281</v>
      </c>
      <c r="J2662" s="1019" t="s">
        <v>2637</v>
      </c>
      <c r="K2662" s="1019"/>
      <c r="L2662" s="1020"/>
      <c r="M2662" s="173"/>
      <c r="P2662" s="171"/>
      <c r="Q2662" s="171"/>
      <c r="R2662" s="171"/>
      <c r="S2662" s="51"/>
      <c r="U2662" s="171"/>
    </row>
    <row r="2663" spans="1:24" ht="30" customHeight="1" x14ac:dyDescent="0.35">
      <c r="A2663" s="545" t="s">
        <v>288</v>
      </c>
      <c r="B2663" s="1051" t="s">
        <v>282</v>
      </c>
      <c r="C2663" s="1051"/>
      <c r="D2663" s="1051"/>
      <c r="E2663" s="530" t="s">
        <v>289</v>
      </c>
      <c r="F2663" s="561" t="s">
        <v>290</v>
      </c>
      <c r="G2663" s="509"/>
      <c r="H2663" s="509"/>
      <c r="I2663" s="1052" t="s">
        <v>405</v>
      </c>
      <c r="J2663" s="1053"/>
      <c r="K2663" s="1012" t="s">
        <v>292</v>
      </c>
      <c r="L2663" s="1013"/>
      <c r="M2663" s="173"/>
      <c r="O2663" s="207"/>
      <c r="P2663" s="27"/>
      <c r="Q2663" s="27"/>
      <c r="R2663" s="27"/>
      <c r="S2663" s="27"/>
      <c r="U2663" s="27"/>
      <c r="V2663" s="27"/>
      <c r="W2663" s="27"/>
      <c r="X2663" s="27"/>
    </row>
    <row r="2664" spans="1:24" s="27" customFormat="1" ht="30" customHeight="1" x14ac:dyDescent="0.35">
      <c r="A2664" s="562" t="s">
        <v>293</v>
      </c>
      <c r="B2664" s="1057" t="s">
        <v>2657</v>
      </c>
      <c r="C2664" s="1057"/>
      <c r="D2664" s="1057"/>
      <c r="E2664" s="563">
        <v>130000</v>
      </c>
      <c r="F2664" s="444">
        <v>447</v>
      </c>
      <c r="G2664" s="442"/>
      <c r="H2664" s="17"/>
      <c r="I2664" s="1044" t="s">
        <v>2638</v>
      </c>
      <c r="J2664" s="1045"/>
      <c r="K2664" s="444">
        <f>+F2664</f>
        <v>447</v>
      </c>
      <c r="L2664" s="564" t="s">
        <v>8</v>
      </c>
      <c r="M2664" s="363"/>
      <c r="N2664" s="203"/>
      <c r="O2664" s="205"/>
      <c r="P2664" s="203"/>
      <c r="Q2664" s="203"/>
      <c r="R2664" s="203"/>
      <c r="S2664" s="203"/>
      <c r="T2664" s="213"/>
      <c r="U2664" s="208"/>
      <c r="V2664" s="208"/>
      <c r="W2664" s="208"/>
      <c r="X2664" s="208"/>
    </row>
    <row r="2665" spans="1:24" s="208" customFormat="1" ht="30" customHeight="1" thickBot="1" x14ac:dyDescent="0.4">
      <c r="A2665" s="241"/>
      <c r="B2665" s="1059"/>
      <c r="C2665" s="1059"/>
      <c r="D2665" s="1059"/>
      <c r="E2665" s="565"/>
      <c r="F2665" s="566"/>
      <c r="G2665" s="566"/>
      <c r="H2665" s="567"/>
      <c r="I2665" s="458"/>
      <c r="J2665" s="510" t="s">
        <v>2356</v>
      </c>
      <c r="K2665" s="585">
        <f>+K2664</f>
        <v>447</v>
      </c>
      <c r="L2665" s="243" t="s">
        <v>8</v>
      </c>
      <c r="M2665" s="173"/>
      <c r="N2665" s="214"/>
      <c r="O2665" s="205"/>
      <c r="P2665" s="203"/>
      <c r="Q2665" s="203"/>
      <c r="R2665" s="203"/>
      <c r="S2665" s="203"/>
      <c r="T2665" s="51"/>
      <c r="U2665" s="203"/>
      <c r="V2665" s="203"/>
      <c r="W2665" s="203"/>
      <c r="X2665" s="203"/>
    </row>
    <row r="2666" spans="1:24" ht="30" customHeight="1" thickBot="1" x14ac:dyDescent="0.4">
      <c r="A2666" s="1086"/>
      <c r="B2666" s="1087"/>
      <c r="C2666" s="1087"/>
      <c r="D2666" s="1087"/>
      <c r="E2666" s="1087"/>
      <c r="F2666" s="1087"/>
      <c r="G2666" s="1087"/>
      <c r="H2666" s="1087"/>
      <c r="I2666" s="1087"/>
      <c r="J2666" s="1087"/>
      <c r="K2666" s="1087"/>
      <c r="L2666" s="1088"/>
      <c r="M2666" s="173"/>
      <c r="N2666" s="208"/>
      <c r="P2666" s="75"/>
      <c r="Q2666" s="75"/>
      <c r="R2666" s="75"/>
      <c r="S2666" s="213"/>
      <c r="T2666" s="27"/>
      <c r="U2666" s="171"/>
    </row>
    <row r="2667" spans="1:24" ht="30" customHeight="1" x14ac:dyDescent="0.35">
      <c r="A2667" s="465" t="s">
        <v>278</v>
      </c>
      <c r="B2667" s="539">
        <v>6103</v>
      </c>
      <c r="C2667" s="1017" t="s">
        <v>1307</v>
      </c>
      <c r="D2667" s="1018"/>
      <c r="E2667" s="541" t="s">
        <v>280</v>
      </c>
      <c r="F2667" s="587" t="s">
        <v>8</v>
      </c>
      <c r="G2667" s="543" t="s">
        <v>285</v>
      </c>
      <c r="H2667" s="756">
        <v>6927</v>
      </c>
      <c r="I2667" s="541" t="s">
        <v>281</v>
      </c>
      <c r="J2667" s="1019" t="s">
        <v>2371</v>
      </c>
      <c r="K2667" s="1019"/>
      <c r="L2667" s="1020"/>
      <c r="M2667" s="173"/>
      <c r="P2667" s="171"/>
      <c r="Q2667" s="171"/>
      <c r="R2667" s="171"/>
      <c r="S2667" s="51"/>
      <c r="U2667" s="171"/>
    </row>
    <row r="2668" spans="1:24" ht="30" customHeight="1" x14ac:dyDescent="0.35">
      <c r="A2668" s="588" t="s">
        <v>298</v>
      </c>
      <c r="B2668" s="1038" t="s">
        <v>321</v>
      </c>
      <c r="C2668" s="1039"/>
      <c r="D2668" s="1040"/>
      <c r="E2668" s="23" t="s">
        <v>290</v>
      </c>
      <c r="F2668" s="23" t="s">
        <v>322</v>
      </c>
      <c r="G2668" s="1034" t="s">
        <v>323</v>
      </c>
      <c r="H2668" s="1035"/>
      <c r="I2668" s="509" t="s">
        <v>299</v>
      </c>
      <c r="J2668" s="509"/>
      <c r="K2668" s="1012" t="s">
        <v>292</v>
      </c>
      <c r="L2668" s="1013"/>
      <c r="M2668" s="173"/>
      <c r="O2668" s="207"/>
      <c r="P2668" s="27"/>
      <c r="Q2668" s="27"/>
      <c r="R2668" s="27"/>
      <c r="S2668" s="27"/>
      <c r="U2668" s="27"/>
      <c r="V2668" s="27"/>
      <c r="W2668" s="27"/>
      <c r="X2668" s="27"/>
    </row>
    <row r="2669" spans="1:24" s="27" customFormat="1" ht="30" customHeight="1" x14ac:dyDescent="0.35">
      <c r="A2669" s="832" t="s">
        <v>902</v>
      </c>
      <c r="B2669" s="1031" t="s">
        <v>1308</v>
      </c>
      <c r="C2669" s="1032"/>
      <c r="D2669" s="1033"/>
      <c r="E2669" s="453">
        <v>80</v>
      </c>
      <c r="F2669" s="446" t="s">
        <v>8</v>
      </c>
      <c r="G2669" s="454"/>
      <c r="H2669" s="446"/>
      <c r="I2669" s="446">
        <v>1.05</v>
      </c>
      <c r="J2669" s="665"/>
      <c r="K2669" s="453">
        <f>+E2669*I2669</f>
        <v>84</v>
      </c>
      <c r="L2669" s="243" t="s">
        <v>8</v>
      </c>
      <c r="M2669" s="173"/>
      <c r="N2669" s="203"/>
      <c r="O2669" s="205"/>
      <c r="P2669" s="203"/>
      <c r="Q2669" s="203"/>
      <c r="R2669" s="203"/>
      <c r="S2669" s="203"/>
      <c r="T2669" s="213"/>
      <c r="U2669" s="208"/>
      <c r="V2669" s="208"/>
      <c r="W2669" s="208"/>
      <c r="X2669" s="208"/>
    </row>
    <row r="2670" spans="1:24" s="208" customFormat="1" ht="30" customHeight="1" x14ac:dyDescent="0.35">
      <c r="A2670" s="832" t="s">
        <v>360</v>
      </c>
      <c r="B2670" s="1059" t="s">
        <v>1159</v>
      </c>
      <c r="C2670" s="1059"/>
      <c r="D2670" s="1059"/>
      <c r="E2670" s="591">
        <v>3.34</v>
      </c>
      <c r="F2670" s="446" t="s">
        <v>8</v>
      </c>
      <c r="G2670" s="646"/>
      <c r="H2670" s="508"/>
      <c r="I2670" s="446">
        <v>1.05</v>
      </c>
      <c r="J2670" s="665"/>
      <c r="K2670" s="453">
        <f>+E2670*I2670</f>
        <v>3.5070000000000001</v>
      </c>
      <c r="L2670" s="243" t="s">
        <v>8</v>
      </c>
      <c r="M2670" s="173"/>
      <c r="N2670" s="214"/>
      <c r="O2670" s="205"/>
      <c r="P2670" s="203"/>
      <c r="Q2670" s="203"/>
      <c r="R2670" s="203"/>
      <c r="S2670" s="203"/>
      <c r="T2670" s="51"/>
      <c r="U2670" s="203"/>
      <c r="V2670" s="203"/>
      <c r="W2670" s="203"/>
      <c r="X2670" s="203"/>
    </row>
    <row r="2671" spans="1:24" ht="30" customHeight="1" x14ac:dyDescent="0.35">
      <c r="A2671" s="241"/>
      <c r="B2671" s="1059"/>
      <c r="C2671" s="1059"/>
      <c r="D2671" s="1059"/>
      <c r="E2671" s="453"/>
      <c r="F2671" s="446"/>
      <c r="G2671" s="519"/>
      <c r="H2671" s="508"/>
      <c r="I2671" s="446"/>
      <c r="J2671" s="446" t="s">
        <v>335</v>
      </c>
      <c r="K2671" s="453">
        <f>SUM(K2669:K2670)</f>
        <v>87.507000000000005</v>
      </c>
      <c r="L2671" s="243" t="s">
        <v>8</v>
      </c>
      <c r="M2671" s="173"/>
      <c r="N2671" s="208"/>
      <c r="P2671" s="75"/>
      <c r="Q2671" s="75"/>
      <c r="R2671" s="75"/>
      <c r="S2671" s="213"/>
      <c r="T2671" s="51"/>
      <c r="U2671" s="171"/>
    </row>
    <row r="2672" spans="1:24" ht="30" customHeight="1" x14ac:dyDescent="0.35">
      <c r="A2672" s="241"/>
      <c r="B2672" s="506"/>
      <c r="C2672" s="506"/>
      <c r="D2672" s="506"/>
      <c r="E2672" s="453"/>
      <c r="F2672" s="1029" t="s">
        <v>302</v>
      </c>
      <c r="G2672" s="1058" t="s">
        <v>303</v>
      </c>
      <c r="H2672" s="1058"/>
      <c r="I2672" s="1058"/>
      <c r="J2672" s="1058"/>
      <c r="K2672" s="665">
        <v>1.1000000000000001</v>
      </c>
      <c r="L2672" s="243"/>
      <c r="M2672" s="173"/>
      <c r="N2672" s="63"/>
      <c r="P2672" s="171"/>
      <c r="Q2672" s="171"/>
      <c r="R2672" s="171"/>
      <c r="S2672" s="51"/>
      <c r="T2672" s="27"/>
      <c r="U2672" s="171"/>
    </row>
    <row r="2673" spans="1:24" ht="30" customHeight="1" x14ac:dyDescent="0.35">
      <c r="A2673" s="241"/>
      <c r="B2673" s="506"/>
      <c r="C2673" s="506"/>
      <c r="D2673" s="506"/>
      <c r="E2673" s="453"/>
      <c r="F2673" s="1030"/>
      <c r="G2673" s="1073" t="s">
        <v>2374</v>
      </c>
      <c r="H2673" s="1073"/>
      <c r="I2673" s="1073"/>
      <c r="J2673" s="1073"/>
      <c r="K2673" s="612">
        <v>1.08</v>
      </c>
      <c r="L2673" s="243"/>
      <c r="M2673" s="173"/>
      <c r="N2673" s="63"/>
      <c r="P2673" s="171"/>
      <c r="Q2673" s="171"/>
      <c r="R2673" s="171"/>
      <c r="S2673" s="51"/>
      <c r="T2673" s="27"/>
      <c r="U2673" s="171"/>
    </row>
    <row r="2674" spans="1:24" ht="30" customHeight="1" x14ac:dyDescent="0.35">
      <c r="A2674" s="241"/>
      <c r="B2674" s="446"/>
      <c r="C2674" s="458"/>
      <c r="D2674" s="458"/>
      <c r="E2674" s="458"/>
      <c r="F2674" s="458"/>
      <c r="G2674" s="458"/>
      <c r="H2674" s="458"/>
      <c r="I2674" s="458"/>
      <c r="J2674" s="446" t="s">
        <v>2356</v>
      </c>
      <c r="K2674" s="591">
        <f>+K2671*K2672/K2673</f>
        <v>89.127500000000012</v>
      </c>
      <c r="L2674" s="243" t="s">
        <v>8</v>
      </c>
      <c r="M2674" s="173"/>
      <c r="O2674" s="207"/>
      <c r="P2674" s="27"/>
      <c r="Q2674" s="27"/>
      <c r="R2674" s="27"/>
      <c r="S2674" s="27"/>
      <c r="T2674" s="208"/>
      <c r="U2674" s="208"/>
      <c r="V2674" s="208"/>
      <c r="W2674" s="208"/>
      <c r="X2674" s="208"/>
    </row>
    <row r="2675" spans="1:24" s="208" customFormat="1" ht="30" customHeight="1" thickBot="1" x14ac:dyDescent="0.4">
      <c r="A2675" s="241"/>
      <c r="B2675" s="446"/>
      <c r="C2675" s="458"/>
      <c r="D2675" s="458"/>
      <c r="E2675" s="458"/>
      <c r="F2675" s="458"/>
      <c r="G2675" s="458"/>
      <c r="H2675" s="458"/>
      <c r="I2675" s="820" t="s">
        <v>2358</v>
      </c>
      <c r="J2675" s="583">
        <f>VLOOKUP(B2667,'Mil Cost Premiums for PUCs'!$A$4:$R$272,18,FALSE)</f>
        <v>1.1861082984327833</v>
      </c>
      <c r="K2675" s="591">
        <f>+K2674*J2675</f>
        <v>105.71486736856791</v>
      </c>
      <c r="L2675" s="243" t="s">
        <v>8</v>
      </c>
      <c r="M2675" s="173"/>
      <c r="N2675" s="136"/>
      <c r="O2675" s="207"/>
      <c r="P2675" s="27"/>
      <c r="Q2675" s="27"/>
      <c r="R2675" s="27"/>
      <c r="S2675" s="27"/>
      <c r="T2675" s="203"/>
      <c r="U2675" s="27"/>
      <c r="V2675" s="27"/>
      <c r="W2675" s="27"/>
      <c r="X2675" s="27"/>
    </row>
    <row r="2676" spans="1:24" s="27" customFormat="1" ht="30" customHeight="1" thickBot="1" x14ac:dyDescent="0.4">
      <c r="A2676" s="1086"/>
      <c r="B2676" s="1087"/>
      <c r="C2676" s="1087"/>
      <c r="D2676" s="1087"/>
      <c r="E2676" s="1087"/>
      <c r="F2676" s="1087"/>
      <c r="G2676" s="1087"/>
      <c r="H2676" s="1087"/>
      <c r="I2676" s="1087"/>
      <c r="J2676" s="1087"/>
      <c r="K2676" s="1087"/>
      <c r="L2676" s="1088"/>
      <c r="M2676" s="173"/>
      <c r="N2676" s="230"/>
      <c r="O2676" s="205"/>
      <c r="P2676" s="208"/>
      <c r="Q2676" s="208"/>
      <c r="R2676" s="208"/>
      <c r="S2676" s="208"/>
      <c r="T2676" s="51"/>
      <c r="U2676" s="203"/>
      <c r="V2676" s="203"/>
      <c r="W2676" s="203"/>
      <c r="X2676" s="203"/>
    </row>
    <row r="2677" spans="1:24" ht="30" customHeight="1" x14ac:dyDescent="0.35">
      <c r="A2677" s="465" t="s">
        <v>278</v>
      </c>
      <c r="B2677" s="539">
        <v>6104</v>
      </c>
      <c r="C2677" s="1060" t="s">
        <v>1309</v>
      </c>
      <c r="D2677" s="1061"/>
      <c r="E2677" s="541" t="s">
        <v>280</v>
      </c>
      <c r="F2677" s="542" t="s">
        <v>8</v>
      </c>
      <c r="G2677" s="543" t="s">
        <v>285</v>
      </c>
      <c r="H2677" s="756">
        <v>12410</v>
      </c>
      <c r="I2677" s="541" t="s">
        <v>281</v>
      </c>
      <c r="J2677" s="1019" t="s">
        <v>1310</v>
      </c>
      <c r="K2677" s="1019"/>
      <c r="L2677" s="1020"/>
      <c r="M2677" s="173"/>
      <c r="N2677" s="278"/>
      <c r="T2677" s="51"/>
    </row>
    <row r="2678" spans="1:24" ht="30" customHeight="1" x14ac:dyDescent="0.35">
      <c r="A2678" s="545"/>
      <c r="B2678" s="1051" t="s">
        <v>282</v>
      </c>
      <c r="C2678" s="1051"/>
      <c r="D2678" s="1051"/>
      <c r="E2678" s="509" t="s">
        <v>289</v>
      </c>
      <c r="F2678" s="509" t="s">
        <v>290</v>
      </c>
      <c r="G2678" s="1052"/>
      <c r="H2678" s="1053"/>
      <c r="I2678" s="1052" t="s">
        <v>405</v>
      </c>
      <c r="J2678" s="1053"/>
      <c r="K2678" s="1012" t="s">
        <v>292</v>
      </c>
      <c r="L2678" s="1013"/>
      <c r="M2678" s="173"/>
      <c r="P2678" s="171"/>
      <c r="Q2678" s="171"/>
      <c r="R2678" s="171"/>
      <c r="S2678" s="51"/>
    </row>
    <row r="2679" spans="1:24" ht="30" customHeight="1" x14ac:dyDescent="0.35">
      <c r="A2679" s="546" t="s">
        <v>293</v>
      </c>
      <c r="B2679" s="1057" t="s">
        <v>2658</v>
      </c>
      <c r="C2679" s="1057"/>
      <c r="D2679" s="1057"/>
      <c r="E2679" s="772">
        <v>26000</v>
      </c>
      <c r="F2679" s="444">
        <v>294</v>
      </c>
      <c r="G2679" s="1282"/>
      <c r="H2679" s="1307"/>
      <c r="I2679" s="1044">
        <f>+'2021 MILCON Inflation Table'!F12</f>
        <v>1.2088959491660047</v>
      </c>
      <c r="J2679" s="1045"/>
      <c r="K2679" s="835">
        <f>+F2679*I2679</f>
        <v>355.41540905480537</v>
      </c>
      <c r="L2679" s="698" t="s">
        <v>8</v>
      </c>
      <c r="M2679" s="173"/>
      <c r="P2679" s="171"/>
      <c r="Q2679" s="171"/>
      <c r="R2679" s="171"/>
      <c r="S2679" s="51"/>
    </row>
    <row r="2680" spans="1:24" ht="30" customHeight="1" thickBot="1" x14ac:dyDescent="0.4">
      <c r="A2680" s="241"/>
      <c r="B2680" s="1059"/>
      <c r="C2680" s="1059"/>
      <c r="D2680" s="1059"/>
      <c r="E2680" s="565"/>
      <c r="F2680" s="566"/>
      <c r="G2680" s="566"/>
      <c r="H2680" s="567"/>
      <c r="I2680" s="458"/>
      <c r="J2680" s="510" t="s">
        <v>2356</v>
      </c>
      <c r="K2680" s="585">
        <f>+K2679</f>
        <v>355.41540905480537</v>
      </c>
      <c r="L2680" s="243" t="s">
        <v>8</v>
      </c>
      <c r="M2680" s="173"/>
      <c r="O2680" s="203"/>
      <c r="P2680" s="218"/>
      <c r="Q2680" s="68"/>
      <c r="R2680" s="217"/>
    </row>
    <row r="2681" spans="1:24" ht="30" customHeight="1" thickBot="1" x14ac:dyDescent="0.4">
      <c r="A2681" s="1086"/>
      <c r="B2681" s="1087"/>
      <c r="C2681" s="1087"/>
      <c r="D2681" s="1087"/>
      <c r="E2681" s="1087"/>
      <c r="F2681" s="1087"/>
      <c r="G2681" s="1087"/>
      <c r="H2681" s="1087"/>
      <c r="I2681" s="1087"/>
      <c r="J2681" s="1087"/>
      <c r="K2681" s="1087"/>
      <c r="L2681" s="1088"/>
      <c r="M2681" s="173"/>
      <c r="O2681" s="203"/>
      <c r="P2681" s="218"/>
      <c r="Q2681" s="68"/>
      <c r="R2681" s="217"/>
      <c r="T2681" s="208"/>
      <c r="U2681" s="208"/>
      <c r="V2681" s="208"/>
      <c r="W2681" s="208"/>
      <c r="X2681" s="208"/>
    </row>
    <row r="2682" spans="1:24" s="208" customFormat="1" ht="30" customHeight="1" x14ac:dyDescent="0.35">
      <c r="A2682" s="465" t="s">
        <v>278</v>
      </c>
      <c r="B2682" s="539">
        <v>6105</v>
      </c>
      <c r="C2682" s="1060" t="s">
        <v>3050</v>
      </c>
      <c r="D2682" s="1061"/>
      <c r="E2682" s="541" t="s">
        <v>280</v>
      </c>
      <c r="F2682" s="542" t="s">
        <v>8</v>
      </c>
      <c r="G2682" s="543" t="s">
        <v>285</v>
      </c>
      <c r="H2682" s="569">
        <v>227136</v>
      </c>
      <c r="I2682" s="541" t="s">
        <v>281</v>
      </c>
      <c r="J2682" s="1019" t="s">
        <v>3051</v>
      </c>
      <c r="K2682" s="1019"/>
      <c r="L2682" s="1020"/>
      <c r="M2682" s="173"/>
      <c r="N2682" s="68"/>
      <c r="O2682" s="203"/>
      <c r="P2682" s="218"/>
      <c r="Q2682" s="68"/>
      <c r="R2682" s="217"/>
      <c r="S2682" s="203"/>
      <c r="T2682" s="203"/>
      <c r="U2682" s="203"/>
      <c r="V2682" s="203"/>
      <c r="W2682" s="203"/>
      <c r="X2682" s="203"/>
    </row>
    <row r="2683" spans="1:24" ht="30" customHeight="1" x14ac:dyDescent="0.35">
      <c r="A2683" s="545" t="s">
        <v>288</v>
      </c>
      <c r="B2683" s="1021" t="s">
        <v>2921</v>
      </c>
      <c r="C2683" s="1021"/>
      <c r="D2683" s="1021"/>
      <c r="E2683" s="561" t="s">
        <v>290</v>
      </c>
      <c r="F2683" s="509" t="s">
        <v>289</v>
      </c>
      <c r="G2683" s="1094" t="s">
        <v>323</v>
      </c>
      <c r="H2683" s="1095"/>
      <c r="I2683" s="1052" t="s">
        <v>405</v>
      </c>
      <c r="J2683" s="1053"/>
      <c r="K2683" s="1012" t="s">
        <v>292</v>
      </c>
      <c r="L2683" s="1013"/>
      <c r="M2683" s="173"/>
      <c r="N2683" s="68"/>
      <c r="O2683" s="208"/>
      <c r="P2683" s="218"/>
      <c r="Q2683" s="68"/>
      <c r="R2683" s="217"/>
      <c r="S2683" s="208"/>
    </row>
    <row r="2684" spans="1:24" ht="30" customHeight="1" x14ac:dyDescent="0.35">
      <c r="A2684" s="241" t="s">
        <v>3189</v>
      </c>
      <c r="B2684" s="1313">
        <v>736.37</v>
      </c>
      <c r="C2684" s="1314"/>
      <c r="D2684" s="1315"/>
      <c r="E2684" s="453"/>
      <c r="F2684" s="694"/>
      <c r="G2684" s="462"/>
      <c r="H2684" s="462"/>
      <c r="I2684" s="1091">
        <v>1.0202</v>
      </c>
      <c r="J2684" s="1092"/>
      <c r="K2684" s="444">
        <f>I2684*B2684</f>
        <v>751.24467400000003</v>
      </c>
      <c r="L2684" s="564" t="s">
        <v>8</v>
      </c>
      <c r="M2684" s="173"/>
      <c r="N2684" s="68"/>
      <c r="O2684" s="203"/>
      <c r="P2684" s="218"/>
      <c r="Q2684" s="68"/>
      <c r="R2684" s="217"/>
    </row>
    <row r="2685" spans="1:24" ht="30" customHeight="1" thickBot="1" x14ac:dyDescent="0.4">
      <c r="A2685" s="241"/>
      <c r="B2685" s="1082"/>
      <c r="C2685" s="1083"/>
      <c r="D2685" s="1093"/>
      <c r="E2685" s="836"/>
      <c r="F2685" s="837"/>
      <c r="G2685" s="837"/>
      <c r="H2685" s="838"/>
      <c r="I2685" s="458" t="s">
        <v>304</v>
      </c>
      <c r="J2685" s="510" t="s">
        <v>2356</v>
      </c>
      <c r="K2685" s="585">
        <f>AVERAGE(K2684:K2684)</f>
        <v>751.24467400000003</v>
      </c>
      <c r="L2685" s="564" t="s">
        <v>8</v>
      </c>
      <c r="M2685" s="173"/>
      <c r="N2685" s="68"/>
      <c r="O2685" s="203"/>
      <c r="P2685" s="218"/>
      <c r="Q2685" s="68"/>
      <c r="R2685" s="217"/>
    </row>
    <row r="2686" spans="1:24" ht="30" customHeight="1" thickBot="1" x14ac:dyDescent="0.4">
      <c r="A2686" s="1086"/>
      <c r="B2686" s="1087"/>
      <c r="C2686" s="1087"/>
      <c r="D2686" s="1087"/>
      <c r="E2686" s="1087"/>
      <c r="F2686" s="1087"/>
      <c r="G2686" s="1087"/>
      <c r="H2686" s="1087"/>
      <c r="I2686" s="1087"/>
      <c r="J2686" s="1087"/>
      <c r="K2686" s="1087"/>
      <c r="L2686" s="1088"/>
      <c r="M2686" s="173"/>
      <c r="N2686" s="68"/>
      <c r="O2686" s="203"/>
      <c r="P2686" s="218"/>
      <c r="Q2686" s="68"/>
      <c r="R2686" s="217"/>
    </row>
    <row r="2687" spans="1:24" ht="30" customHeight="1" x14ac:dyDescent="0.35">
      <c r="A2687" s="465" t="s">
        <v>278</v>
      </c>
      <c r="B2687" s="539">
        <v>6106</v>
      </c>
      <c r="C2687" s="1060" t="s">
        <v>1311</v>
      </c>
      <c r="D2687" s="1061"/>
      <c r="E2687" s="541" t="s">
        <v>280</v>
      </c>
      <c r="F2687" s="542" t="s">
        <v>8</v>
      </c>
      <c r="G2687" s="543" t="s">
        <v>285</v>
      </c>
      <c r="H2687" s="569">
        <v>197384</v>
      </c>
      <c r="I2687" s="541" t="s">
        <v>281</v>
      </c>
      <c r="J2687" s="1019" t="s">
        <v>346</v>
      </c>
      <c r="K2687" s="1019"/>
      <c r="L2687" s="1020"/>
      <c r="M2687" s="173"/>
      <c r="N2687" s="419"/>
      <c r="O2687" s="171"/>
      <c r="P2687" s="216"/>
      <c r="Q2687" s="419"/>
      <c r="R2687" s="219"/>
    </row>
    <row r="2688" spans="1:24" ht="30" customHeight="1" x14ac:dyDescent="0.35">
      <c r="A2688" s="545" t="s">
        <v>288</v>
      </c>
      <c r="B2688" s="1051" t="s">
        <v>282</v>
      </c>
      <c r="C2688" s="1051"/>
      <c r="D2688" s="1051"/>
      <c r="E2688" s="561" t="s">
        <v>290</v>
      </c>
      <c r="F2688" s="509" t="s">
        <v>289</v>
      </c>
      <c r="G2688" s="1094" t="s">
        <v>323</v>
      </c>
      <c r="H2688" s="1095"/>
      <c r="I2688" s="1052" t="s">
        <v>405</v>
      </c>
      <c r="J2688" s="1053"/>
      <c r="K2688" s="1012" t="s">
        <v>292</v>
      </c>
      <c r="L2688" s="1013"/>
      <c r="M2688" s="363"/>
      <c r="N2688" s="419"/>
      <c r="O2688" s="171"/>
      <c r="P2688" s="216"/>
      <c r="Q2688" s="419"/>
      <c r="R2688" s="219"/>
      <c r="T2688" s="27"/>
      <c r="U2688" s="171"/>
    </row>
    <row r="2689" spans="1:24" ht="30" customHeight="1" x14ac:dyDescent="0.35">
      <c r="A2689" s="241">
        <v>21910</v>
      </c>
      <c r="B2689" s="1082" t="s">
        <v>3056</v>
      </c>
      <c r="C2689" s="1083"/>
      <c r="D2689" s="1093"/>
      <c r="E2689" s="453">
        <v>287</v>
      </c>
      <c r="F2689" s="694">
        <v>8200</v>
      </c>
      <c r="G2689" s="462"/>
      <c r="H2689" s="462"/>
      <c r="I2689" s="1091">
        <f>'2021 MILCON Inflation Table'!F17</f>
        <v>1</v>
      </c>
      <c r="J2689" s="1092"/>
      <c r="K2689" s="444">
        <f>E2689*I2689</f>
        <v>287</v>
      </c>
      <c r="L2689" s="564" t="s">
        <v>8</v>
      </c>
      <c r="M2689" s="173"/>
      <c r="N2689" s="68"/>
      <c r="O2689" s="203"/>
      <c r="P2689" s="218"/>
      <c r="Q2689" s="68"/>
      <c r="R2689" s="217"/>
      <c r="T2689" s="27"/>
      <c r="U2689" s="171"/>
    </row>
    <row r="2690" spans="1:24" ht="30" customHeight="1" thickBot="1" x14ac:dyDescent="0.4">
      <c r="A2690" s="241"/>
      <c r="B2690" s="1082" t="s">
        <v>3057</v>
      </c>
      <c r="C2690" s="1083"/>
      <c r="D2690" s="1093"/>
      <c r="E2690" s="836"/>
      <c r="F2690" s="1404"/>
      <c r="G2690" s="1404"/>
      <c r="H2690" s="1405"/>
      <c r="I2690" s="458" t="s">
        <v>304</v>
      </c>
      <c r="J2690" s="510" t="s">
        <v>2356</v>
      </c>
      <c r="K2690" s="585">
        <f>AVERAGE(K2689:K2689)</f>
        <v>287</v>
      </c>
      <c r="L2690" s="564" t="s">
        <v>8</v>
      </c>
      <c r="M2690" s="173"/>
      <c r="N2690" s="68"/>
      <c r="O2690" s="207"/>
      <c r="P2690" s="27"/>
      <c r="Q2690" s="27"/>
      <c r="R2690" s="27"/>
      <c r="S2690" s="27"/>
      <c r="T2690" s="27"/>
      <c r="U2690" s="27"/>
      <c r="V2690" s="27"/>
      <c r="W2690" s="27"/>
      <c r="X2690" s="27"/>
    </row>
    <row r="2691" spans="1:24" s="27" customFormat="1" ht="30" customHeight="1" thickBot="1" x14ac:dyDescent="0.4">
      <c r="A2691" s="1086"/>
      <c r="B2691" s="1087"/>
      <c r="C2691" s="1087"/>
      <c r="D2691" s="1087"/>
      <c r="E2691" s="1087"/>
      <c r="F2691" s="1087"/>
      <c r="G2691" s="1087"/>
      <c r="H2691" s="1087"/>
      <c r="I2691" s="1087"/>
      <c r="J2691" s="1087"/>
      <c r="K2691" s="1087"/>
      <c r="L2691" s="1088"/>
      <c r="M2691" s="173"/>
      <c r="N2691" s="264"/>
      <c r="O2691" s="207"/>
      <c r="T2691" s="208"/>
      <c r="U2691" s="208"/>
      <c r="V2691" s="208"/>
      <c r="W2691" s="208"/>
      <c r="X2691" s="208"/>
    </row>
    <row r="2692" spans="1:24" s="208" customFormat="1" ht="30" customHeight="1" x14ac:dyDescent="0.35">
      <c r="A2692" s="465" t="s">
        <v>278</v>
      </c>
      <c r="B2692" s="539">
        <v>6107</v>
      </c>
      <c r="C2692" s="1017" t="s">
        <v>3052</v>
      </c>
      <c r="D2692" s="1018"/>
      <c r="E2692" s="541" t="s">
        <v>280</v>
      </c>
      <c r="F2692" s="587" t="s">
        <v>8</v>
      </c>
      <c r="G2692" s="543" t="s">
        <v>285</v>
      </c>
      <c r="H2692" s="756">
        <v>326900</v>
      </c>
      <c r="I2692" s="541" t="s">
        <v>281</v>
      </c>
      <c r="J2692" s="1019" t="s">
        <v>2371</v>
      </c>
      <c r="K2692" s="1019"/>
      <c r="L2692" s="1020"/>
      <c r="M2692" s="173"/>
      <c r="N2692" s="27"/>
      <c r="O2692" s="207"/>
      <c r="P2692" s="27"/>
      <c r="Q2692" s="27"/>
      <c r="R2692" s="27"/>
      <c r="S2692" s="27"/>
      <c r="T2692" s="27"/>
      <c r="U2692" s="27"/>
      <c r="V2692" s="27"/>
      <c r="W2692" s="27"/>
      <c r="X2692" s="27"/>
    </row>
    <row r="2693" spans="1:24" s="27" customFormat="1" ht="30" customHeight="1" x14ac:dyDescent="0.35">
      <c r="A2693" s="588" t="s">
        <v>298</v>
      </c>
      <c r="B2693" s="1038" t="s">
        <v>321</v>
      </c>
      <c r="C2693" s="1039"/>
      <c r="D2693" s="1040"/>
      <c r="E2693" s="23" t="s">
        <v>290</v>
      </c>
      <c r="F2693" s="23" t="s">
        <v>322</v>
      </c>
      <c r="G2693" s="1034" t="s">
        <v>323</v>
      </c>
      <c r="H2693" s="1035"/>
      <c r="I2693" s="509" t="s">
        <v>299</v>
      </c>
      <c r="J2693" s="509"/>
      <c r="K2693" s="1012" t="s">
        <v>292</v>
      </c>
      <c r="L2693" s="1013"/>
      <c r="M2693" s="173"/>
      <c r="N2693" s="208"/>
      <c r="O2693" s="205"/>
      <c r="P2693" s="208"/>
      <c r="Q2693" s="208"/>
      <c r="R2693" s="208"/>
      <c r="S2693" s="208"/>
    </row>
    <row r="2694" spans="1:24" s="27" customFormat="1" ht="30" customHeight="1" x14ac:dyDescent="0.35">
      <c r="A2694" s="832" t="s">
        <v>1340</v>
      </c>
      <c r="B2694" s="1031" t="s">
        <v>3054</v>
      </c>
      <c r="C2694" s="1032"/>
      <c r="D2694" s="1033"/>
      <c r="E2694" s="453">
        <v>228</v>
      </c>
      <c r="F2694" s="446" t="s">
        <v>8</v>
      </c>
      <c r="G2694" s="454"/>
      <c r="H2694" s="446"/>
      <c r="I2694" s="446">
        <v>1.03</v>
      </c>
      <c r="J2694" s="665"/>
      <c r="K2694" s="453">
        <f>+E2694*I2694</f>
        <v>234.84</v>
      </c>
      <c r="L2694" s="243" t="s">
        <v>8</v>
      </c>
      <c r="M2694" s="173"/>
      <c r="N2694" s="425"/>
      <c r="O2694" s="207"/>
    </row>
    <row r="2695" spans="1:24" s="27" customFormat="1" ht="30" customHeight="1" x14ac:dyDescent="0.35">
      <c r="A2695" s="832" t="s">
        <v>1340</v>
      </c>
      <c r="B2695" s="1059" t="s">
        <v>3059</v>
      </c>
      <c r="C2695" s="1059"/>
      <c r="D2695" s="1059"/>
      <c r="E2695" s="591"/>
      <c r="F2695" s="446"/>
      <c r="G2695" s="782">
        <f>13*0.005</f>
        <v>6.5000000000000002E-2</v>
      </c>
      <c r="H2695" s="508"/>
      <c r="I2695" s="446">
        <v>1.03</v>
      </c>
      <c r="J2695" s="665"/>
      <c r="K2695" s="453">
        <f>+K2694*I2695*G2695</f>
        <v>15.722538</v>
      </c>
      <c r="L2695" s="243" t="s">
        <v>8</v>
      </c>
      <c r="M2695" s="173"/>
      <c r="N2695" s="68"/>
      <c r="O2695" s="207"/>
    </row>
    <row r="2696" spans="1:24" s="27" customFormat="1" ht="30" customHeight="1" x14ac:dyDescent="0.35">
      <c r="A2696" s="832" t="s">
        <v>397</v>
      </c>
      <c r="B2696" s="1059" t="s">
        <v>3053</v>
      </c>
      <c r="C2696" s="1059"/>
      <c r="D2696" s="1059"/>
      <c r="E2696" s="591">
        <v>2.31</v>
      </c>
      <c r="F2696" s="446" t="s">
        <v>8</v>
      </c>
      <c r="G2696" s="839"/>
      <c r="H2696" s="508"/>
      <c r="I2696" s="446">
        <v>1.03</v>
      </c>
      <c r="J2696" s="665"/>
      <c r="K2696" s="453">
        <f>+E2696*I2696</f>
        <v>2.3793000000000002</v>
      </c>
      <c r="L2696" s="243" t="s">
        <v>8</v>
      </c>
      <c r="M2696" s="173"/>
      <c r="N2696" s="68"/>
      <c r="O2696" s="207"/>
    </row>
    <row r="2697" spans="1:24" ht="30" customHeight="1" x14ac:dyDescent="0.35">
      <c r="A2697" s="241"/>
      <c r="B2697" s="1059"/>
      <c r="C2697" s="1059"/>
      <c r="D2697" s="1059"/>
      <c r="E2697" s="453"/>
      <c r="F2697" s="446"/>
      <c r="G2697" s="519"/>
      <c r="H2697" s="508"/>
      <c r="I2697" s="446"/>
      <c r="J2697" s="446" t="s">
        <v>335</v>
      </c>
      <c r="K2697" s="453">
        <f>SUM(K2694:K2696)</f>
        <v>252.94183800000002</v>
      </c>
      <c r="L2697" s="243" t="s">
        <v>8</v>
      </c>
      <c r="M2697" s="173"/>
      <c r="N2697" s="68"/>
      <c r="O2697" s="207"/>
      <c r="P2697" s="27"/>
      <c r="Q2697" s="27"/>
      <c r="R2697" s="27"/>
      <c r="S2697" s="27"/>
    </row>
    <row r="2698" spans="1:24" s="27" customFormat="1" ht="30" customHeight="1" x14ac:dyDescent="0.35">
      <c r="A2698" s="241"/>
      <c r="B2698" s="506"/>
      <c r="C2698" s="506"/>
      <c r="D2698" s="506"/>
      <c r="E2698" s="453"/>
      <c r="F2698" s="1029" t="s">
        <v>302</v>
      </c>
      <c r="G2698" s="1058" t="s">
        <v>303</v>
      </c>
      <c r="H2698" s="1058"/>
      <c r="I2698" s="1058"/>
      <c r="J2698" s="1058"/>
      <c r="K2698" s="665">
        <v>1.08</v>
      </c>
      <c r="L2698" s="243"/>
      <c r="M2698" s="363"/>
      <c r="N2698" s="208"/>
      <c r="O2698" s="205"/>
      <c r="P2698" s="208"/>
      <c r="Q2698" s="208"/>
      <c r="R2698" s="208"/>
      <c r="S2698" s="208"/>
    </row>
    <row r="2699" spans="1:24" s="27" customFormat="1" ht="30" customHeight="1" x14ac:dyDescent="0.35">
      <c r="A2699" s="241"/>
      <c r="B2699" s="506"/>
      <c r="C2699" s="506"/>
      <c r="D2699" s="506"/>
      <c r="E2699" s="453"/>
      <c r="F2699" s="1030"/>
      <c r="G2699" s="1073" t="s">
        <v>2374</v>
      </c>
      <c r="H2699" s="1073"/>
      <c r="I2699" s="1073"/>
      <c r="J2699" s="1073"/>
      <c r="K2699" s="612">
        <v>1.08</v>
      </c>
      <c r="L2699" s="243"/>
      <c r="M2699" s="173"/>
      <c r="N2699" s="425"/>
      <c r="O2699" s="207"/>
    </row>
    <row r="2700" spans="1:24" s="27" customFormat="1" ht="30" customHeight="1" x14ac:dyDescent="0.35">
      <c r="A2700" s="1183" t="s">
        <v>3058</v>
      </c>
      <c r="B2700" s="1207"/>
      <c r="C2700" s="1207"/>
      <c r="D2700" s="1359"/>
      <c r="E2700" s="458"/>
      <c r="F2700" s="458"/>
      <c r="G2700" s="458"/>
      <c r="H2700" s="458"/>
      <c r="I2700" s="458"/>
      <c r="J2700" s="446" t="s">
        <v>2356</v>
      </c>
      <c r="K2700" s="591">
        <f>+K2697*K2698/K2699</f>
        <v>252.94183800000002</v>
      </c>
      <c r="L2700" s="243" t="s">
        <v>8</v>
      </c>
      <c r="M2700" s="173"/>
      <c r="N2700" s="68"/>
      <c r="O2700" s="207"/>
    </row>
    <row r="2701" spans="1:24" s="27" customFormat="1" ht="30" customHeight="1" thickBot="1" x14ac:dyDescent="0.4">
      <c r="A2701" s="1403"/>
      <c r="B2701" s="1375"/>
      <c r="C2701" s="1375"/>
      <c r="D2701" s="1376"/>
      <c r="E2701" s="458"/>
      <c r="F2701" s="458"/>
      <c r="G2701" s="458"/>
      <c r="H2701" s="458"/>
      <c r="I2701" s="820" t="s">
        <v>2358</v>
      </c>
      <c r="J2701" s="583">
        <f>VLOOKUP(B2692,'Mil Cost Premiums for PUCs'!$A$4:$R$272,18,FALSE)</f>
        <v>1.3319480854780448</v>
      </c>
      <c r="K2701" s="591">
        <f>+K2700*J2701</f>
        <v>336.90539686139778</v>
      </c>
      <c r="L2701" s="243" t="s">
        <v>8</v>
      </c>
      <c r="M2701" s="173"/>
      <c r="N2701" s="68"/>
      <c r="O2701" s="207"/>
    </row>
    <row r="2702" spans="1:24" ht="30" customHeight="1" thickBot="1" x14ac:dyDescent="0.4">
      <c r="A2702" s="1086"/>
      <c r="B2702" s="1087"/>
      <c r="C2702" s="1087"/>
      <c r="D2702" s="1087"/>
      <c r="E2702" s="1087"/>
      <c r="F2702" s="1087"/>
      <c r="G2702" s="1087"/>
      <c r="H2702" s="1087"/>
      <c r="I2702" s="1087"/>
      <c r="J2702" s="1087"/>
      <c r="K2702" s="1087"/>
      <c r="L2702" s="1088"/>
      <c r="M2702" s="173"/>
      <c r="N2702" s="68"/>
      <c r="O2702" s="207"/>
      <c r="P2702" s="27"/>
      <c r="Q2702" s="27"/>
      <c r="R2702" s="27"/>
      <c r="S2702" s="27"/>
    </row>
    <row r="2703" spans="1:24" ht="30" customHeight="1" x14ac:dyDescent="0.35">
      <c r="A2703" s="465" t="s">
        <v>278</v>
      </c>
      <c r="B2703" s="539">
        <v>6200</v>
      </c>
      <c r="C2703" s="1060" t="s">
        <v>2644</v>
      </c>
      <c r="D2703" s="1061"/>
      <c r="E2703" s="541" t="s">
        <v>280</v>
      </c>
      <c r="F2703" s="542" t="s">
        <v>8</v>
      </c>
      <c r="G2703" s="543" t="s">
        <v>285</v>
      </c>
      <c r="H2703" s="555">
        <v>13333</v>
      </c>
      <c r="I2703" s="541" t="s">
        <v>281</v>
      </c>
      <c r="J2703" s="1019" t="s">
        <v>1213</v>
      </c>
      <c r="K2703" s="1019"/>
      <c r="L2703" s="1020"/>
      <c r="M2703" s="173"/>
      <c r="O2703" s="203"/>
      <c r="P2703" s="218"/>
      <c r="Q2703" s="68"/>
      <c r="R2703" s="217"/>
    </row>
    <row r="2704" spans="1:24" ht="30" customHeight="1" x14ac:dyDescent="0.35">
      <c r="A2704" s="545" t="s">
        <v>288</v>
      </c>
      <c r="B2704" s="1051" t="s">
        <v>282</v>
      </c>
      <c r="C2704" s="1051"/>
      <c r="D2704" s="1051"/>
      <c r="E2704" s="530" t="s">
        <v>289</v>
      </c>
      <c r="F2704" s="561" t="s">
        <v>290</v>
      </c>
      <c r="G2704" s="840"/>
      <c r="H2704" s="75"/>
      <c r="I2704" s="1052" t="s">
        <v>405</v>
      </c>
      <c r="J2704" s="1053"/>
      <c r="K2704" s="1012" t="s">
        <v>292</v>
      </c>
      <c r="L2704" s="1013"/>
      <c r="N2704" s="419"/>
      <c r="O2704" s="171"/>
      <c r="P2704" s="216"/>
      <c r="Q2704" s="419"/>
      <c r="R2704" s="219"/>
    </row>
    <row r="2705" spans="1:24" ht="30" customHeight="1" x14ac:dyDescent="0.35">
      <c r="A2705" s="562">
        <v>62010</v>
      </c>
      <c r="B2705" s="1057" t="s">
        <v>1312</v>
      </c>
      <c r="C2705" s="1057"/>
      <c r="D2705" s="1057"/>
      <c r="E2705" s="563">
        <v>6000</v>
      </c>
      <c r="F2705" s="441">
        <v>235</v>
      </c>
      <c r="G2705" s="434"/>
      <c r="H2705" s="783"/>
      <c r="I2705" s="1091">
        <f>+'2021 MILCON Inflation Table'!F8</f>
        <v>1.3794561933534744</v>
      </c>
      <c r="J2705" s="1092"/>
      <c r="K2705" s="463">
        <f>+F2705*I2705</f>
        <v>324.1722054380665</v>
      </c>
      <c r="L2705" s="564" t="s">
        <v>8</v>
      </c>
      <c r="M2705" s="173"/>
      <c r="N2705" s="419"/>
      <c r="O2705" s="171"/>
      <c r="P2705" s="216"/>
      <c r="Q2705" s="419"/>
      <c r="R2705" s="219"/>
    </row>
    <row r="2706" spans="1:24" ht="30" customHeight="1" thickBot="1" x14ac:dyDescent="0.4">
      <c r="A2706" s="241"/>
      <c r="B2706" s="1059"/>
      <c r="C2706" s="1059"/>
      <c r="D2706" s="1059"/>
      <c r="E2706" s="565"/>
      <c r="F2706" s="566"/>
      <c r="G2706" s="566"/>
      <c r="H2706" s="567"/>
      <c r="I2706" s="458"/>
      <c r="J2706" s="510" t="s">
        <v>2356</v>
      </c>
      <c r="K2706" s="459">
        <f>+K2705</f>
        <v>324.1722054380665</v>
      </c>
      <c r="L2706" s="243" t="s">
        <v>8</v>
      </c>
      <c r="M2706" s="173"/>
      <c r="N2706" s="68"/>
      <c r="O2706" s="203"/>
      <c r="P2706" s="216"/>
      <c r="Q2706" s="68"/>
      <c r="R2706" s="217"/>
    </row>
    <row r="2707" spans="1:24" ht="30" customHeight="1" thickBot="1" x14ac:dyDescent="0.4">
      <c r="A2707" s="1086"/>
      <c r="B2707" s="1087"/>
      <c r="C2707" s="1087"/>
      <c r="D2707" s="1087"/>
      <c r="E2707" s="1087"/>
      <c r="F2707" s="1087"/>
      <c r="G2707" s="1087"/>
      <c r="H2707" s="1087"/>
      <c r="I2707" s="1087"/>
      <c r="J2707" s="1087"/>
      <c r="K2707" s="1087"/>
      <c r="L2707" s="1088"/>
      <c r="M2707" s="173"/>
      <c r="N2707" s="68"/>
      <c r="O2707" s="203"/>
      <c r="P2707" s="216"/>
      <c r="Q2707" s="68"/>
      <c r="R2707" s="217"/>
    </row>
    <row r="2708" spans="1:24" ht="30" customHeight="1" x14ac:dyDescent="0.35">
      <c r="A2708" s="465" t="s">
        <v>278</v>
      </c>
      <c r="B2708" s="539">
        <v>6201</v>
      </c>
      <c r="C2708" s="1060" t="s">
        <v>1313</v>
      </c>
      <c r="D2708" s="1061"/>
      <c r="E2708" s="541" t="s">
        <v>280</v>
      </c>
      <c r="F2708" s="542" t="s">
        <v>8</v>
      </c>
      <c r="G2708" s="543" t="s">
        <v>285</v>
      </c>
      <c r="H2708" s="569">
        <v>231854</v>
      </c>
      <c r="I2708" s="541" t="s">
        <v>281</v>
      </c>
      <c r="J2708" s="1019" t="s">
        <v>2637</v>
      </c>
      <c r="K2708" s="1019"/>
      <c r="L2708" s="1020"/>
      <c r="M2708" s="173"/>
      <c r="N2708" s="68"/>
      <c r="O2708" s="203"/>
      <c r="P2708" s="216"/>
      <c r="Q2708" s="68"/>
      <c r="R2708" s="217"/>
      <c r="T2708" s="208"/>
      <c r="U2708" s="208"/>
      <c r="V2708" s="208"/>
      <c r="W2708" s="208"/>
      <c r="X2708" s="208"/>
    </row>
    <row r="2709" spans="1:24" s="208" customFormat="1" ht="30" customHeight="1" x14ac:dyDescent="0.35">
      <c r="A2709" s="545" t="s">
        <v>288</v>
      </c>
      <c r="B2709" s="1051" t="s">
        <v>282</v>
      </c>
      <c r="C2709" s="1051"/>
      <c r="D2709" s="1051"/>
      <c r="E2709" s="530" t="s">
        <v>289</v>
      </c>
      <c r="F2709" s="561" t="s">
        <v>290</v>
      </c>
      <c r="G2709" s="840"/>
      <c r="H2709" s="530"/>
      <c r="I2709" s="1052" t="s">
        <v>405</v>
      </c>
      <c r="J2709" s="1053"/>
      <c r="K2709" s="1012" t="s">
        <v>292</v>
      </c>
      <c r="L2709" s="1013"/>
      <c r="M2709" s="173"/>
      <c r="N2709" s="68"/>
      <c r="O2709" s="203"/>
      <c r="P2709" s="216"/>
      <c r="Q2709" s="68"/>
      <c r="R2709" s="217"/>
      <c r="S2709" s="203"/>
      <c r="T2709" s="203"/>
      <c r="U2709" s="203"/>
      <c r="V2709" s="203"/>
      <c r="W2709" s="203"/>
      <c r="X2709" s="203"/>
    </row>
    <row r="2710" spans="1:24" ht="30" customHeight="1" x14ac:dyDescent="0.35">
      <c r="A2710" s="546" t="s">
        <v>293</v>
      </c>
      <c r="B2710" s="1057" t="s">
        <v>2659</v>
      </c>
      <c r="C2710" s="1057"/>
      <c r="D2710" s="1057"/>
      <c r="E2710" s="772">
        <v>37000</v>
      </c>
      <c r="F2710" s="841">
        <v>527</v>
      </c>
      <c r="G2710" s="434"/>
      <c r="H2710" s="439"/>
      <c r="I2710" s="1091" t="s">
        <v>2638</v>
      </c>
      <c r="J2710" s="1092"/>
      <c r="K2710" s="842">
        <f>F2710</f>
        <v>527</v>
      </c>
      <c r="L2710" s="698" t="s">
        <v>8</v>
      </c>
      <c r="M2710" s="173"/>
      <c r="N2710" s="68"/>
      <c r="O2710" s="208"/>
      <c r="P2710" s="216"/>
      <c r="Q2710" s="68"/>
      <c r="R2710" s="217"/>
      <c r="S2710" s="208"/>
    </row>
    <row r="2711" spans="1:24" ht="30" customHeight="1" x14ac:dyDescent="0.35">
      <c r="A2711" s="562">
        <v>62010</v>
      </c>
      <c r="B2711" s="1057" t="s">
        <v>3060</v>
      </c>
      <c r="C2711" s="1057"/>
      <c r="D2711" s="1057"/>
      <c r="E2711" s="563">
        <v>6000</v>
      </c>
      <c r="F2711" s="441">
        <v>235</v>
      </c>
      <c r="G2711" s="434"/>
      <c r="H2711" s="783"/>
      <c r="I2711" s="1091">
        <f>+'2021 MILCON Inflation Table'!F8</f>
        <v>1.3794561933534744</v>
      </c>
      <c r="J2711" s="1092"/>
      <c r="K2711" s="444">
        <f>+F2711*I2711</f>
        <v>324.1722054380665</v>
      </c>
      <c r="L2711" s="564" t="s">
        <v>8</v>
      </c>
      <c r="M2711" s="173"/>
      <c r="N2711" s="68"/>
      <c r="O2711" s="203"/>
      <c r="P2711" s="216"/>
      <c r="Q2711" s="68"/>
      <c r="R2711" s="217"/>
    </row>
    <row r="2712" spans="1:24" ht="30" customHeight="1" x14ac:dyDescent="0.35">
      <c r="A2712" s="562"/>
      <c r="B2712" s="514"/>
      <c r="C2712" s="514"/>
      <c r="D2712" s="514"/>
      <c r="E2712" s="621"/>
      <c r="F2712" s="622"/>
      <c r="G2712" s="668"/>
      <c r="H2712" s="807"/>
      <c r="I2712" s="1091" t="s">
        <v>304</v>
      </c>
      <c r="J2712" s="1092"/>
      <c r="K2712" s="444">
        <f>+AVERAGE(K2710:K2711)</f>
        <v>425.58610271903325</v>
      </c>
      <c r="L2712" s="564" t="s">
        <v>8</v>
      </c>
      <c r="M2712" s="173"/>
      <c r="N2712" s="68"/>
      <c r="O2712" s="203" t="s">
        <v>1334</v>
      </c>
      <c r="P2712" s="216"/>
      <c r="Q2712" s="68"/>
      <c r="R2712" s="217"/>
    </row>
    <row r="2713" spans="1:24" ht="30" customHeight="1" thickBot="1" x14ac:dyDescent="0.4">
      <c r="A2713" s="241"/>
      <c r="B2713" s="1059"/>
      <c r="C2713" s="1059"/>
      <c r="D2713" s="1059"/>
      <c r="E2713" s="565"/>
      <c r="F2713" s="566"/>
      <c r="G2713" s="566"/>
      <c r="H2713" s="567"/>
      <c r="I2713" s="458"/>
      <c r="J2713" s="510" t="s">
        <v>2356</v>
      </c>
      <c r="K2713" s="585">
        <f>K2712</f>
        <v>425.58610271903325</v>
      </c>
      <c r="L2713" s="243" t="s">
        <v>8</v>
      </c>
      <c r="M2713" s="173"/>
      <c r="N2713" s="419"/>
      <c r="O2713" s="171"/>
      <c r="P2713" s="216"/>
      <c r="Q2713" s="419"/>
      <c r="R2713" s="219"/>
    </row>
    <row r="2714" spans="1:24" ht="30" customHeight="1" thickBot="1" x14ac:dyDescent="0.4">
      <c r="A2714" s="1086"/>
      <c r="B2714" s="1087"/>
      <c r="C2714" s="1087"/>
      <c r="D2714" s="1087"/>
      <c r="E2714" s="1087"/>
      <c r="F2714" s="1087"/>
      <c r="G2714" s="1087"/>
      <c r="H2714" s="1087"/>
      <c r="I2714" s="1087"/>
      <c r="J2714" s="1087"/>
      <c r="K2714" s="1087"/>
      <c r="L2714" s="1088"/>
      <c r="M2714" s="363"/>
      <c r="N2714" s="419"/>
      <c r="O2714" s="171"/>
      <c r="P2714" s="216"/>
      <c r="Q2714" s="419"/>
      <c r="R2714" s="219"/>
    </row>
    <row r="2715" spans="1:24" ht="30" customHeight="1" x14ac:dyDescent="0.35">
      <c r="A2715" s="465" t="s">
        <v>278</v>
      </c>
      <c r="B2715" s="539">
        <v>6900</v>
      </c>
      <c r="C2715" s="1060" t="s">
        <v>1314</v>
      </c>
      <c r="D2715" s="1061"/>
      <c r="E2715" s="541" t="s">
        <v>280</v>
      </c>
      <c r="F2715" s="542" t="s">
        <v>10</v>
      </c>
      <c r="G2715" s="560" t="s">
        <v>279</v>
      </c>
      <c r="H2715" s="587">
        <v>1</v>
      </c>
      <c r="I2715" s="541" t="s">
        <v>281</v>
      </c>
      <c r="J2715" s="1019" t="s">
        <v>2371</v>
      </c>
      <c r="K2715" s="1019"/>
      <c r="L2715" s="1020"/>
      <c r="M2715" s="173"/>
      <c r="N2715" s="68"/>
      <c r="O2715" s="203"/>
      <c r="P2715" s="216"/>
      <c r="Q2715" s="68"/>
      <c r="R2715" s="217"/>
    </row>
    <row r="2716" spans="1:24" ht="30" customHeight="1" x14ac:dyDescent="0.35">
      <c r="A2716" s="588" t="s">
        <v>298</v>
      </c>
      <c r="B2716" s="1038" t="s">
        <v>321</v>
      </c>
      <c r="C2716" s="1039"/>
      <c r="D2716" s="1040"/>
      <c r="E2716" s="23" t="s">
        <v>290</v>
      </c>
      <c r="F2716" s="23" t="s">
        <v>322</v>
      </c>
      <c r="G2716" s="1034" t="s">
        <v>323</v>
      </c>
      <c r="H2716" s="1035"/>
      <c r="I2716" s="509" t="s">
        <v>299</v>
      </c>
      <c r="J2716" s="509"/>
      <c r="K2716" s="1012" t="s">
        <v>292</v>
      </c>
      <c r="L2716" s="1013"/>
      <c r="M2716" s="173"/>
      <c r="N2716" s="68"/>
      <c r="O2716" s="203"/>
      <c r="P2716" s="216"/>
      <c r="Q2716" s="68"/>
      <c r="R2716" s="217"/>
    </row>
    <row r="2717" spans="1:24" ht="30" customHeight="1" x14ac:dyDescent="0.35">
      <c r="A2717" s="832" t="s">
        <v>442</v>
      </c>
      <c r="B2717" s="1082" t="s">
        <v>1315</v>
      </c>
      <c r="C2717" s="1083"/>
      <c r="D2717" s="1093"/>
      <c r="E2717" s="453">
        <f>+(3325+7250)/2</f>
        <v>5287.5</v>
      </c>
      <c r="F2717" s="446" t="s">
        <v>10</v>
      </c>
      <c r="G2717" s="454"/>
      <c r="H2717" s="446"/>
      <c r="I2717" s="446">
        <v>1.02</v>
      </c>
      <c r="J2717" s="839"/>
      <c r="K2717" s="453">
        <f>+E2717*I2717</f>
        <v>5393.25</v>
      </c>
      <c r="L2717" s="243" t="s">
        <v>10</v>
      </c>
      <c r="M2717" s="173"/>
      <c r="N2717" s="68"/>
      <c r="O2717" s="203"/>
      <c r="P2717" s="216"/>
      <c r="Q2717" s="68"/>
      <c r="R2717" s="217"/>
      <c r="T2717" s="208"/>
      <c r="U2717" s="208"/>
      <c r="V2717" s="208"/>
      <c r="W2717" s="208"/>
      <c r="X2717" s="208"/>
    </row>
    <row r="2718" spans="1:24" s="208" customFormat="1" ht="30" customHeight="1" x14ac:dyDescent="0.35">
      <c r="A2718" s="832" t="s">
        <v>1316</v>
      </c>
      <c r="B2718" s="1082" t="s">
        <v>2402</v>
      </c>
      <c r="C2718" s="1083"/>
      <c r="D2718" s="1093"/>
      <c r="E2718" s="591">
        <f>+((62.5+69.5)/2)*75</f>
        <v>4950</v>
      </c>
      <c r="F2718" s="446" t="s">
        <v>10</v>
      </c>
      <c r="G2718" s="605"/>
      <c r="H2718" s="508"/>
      <c r="I2718" s="446">
        <v>1.02</v>
      </c>
      <c r="J2718" s="839"/>
      <c r="K2718" s="453">
        <f>+E2718*I2718</f>
        <v>5049</v>
      </c>
      <c r="L2718" s="243" t="s">
        <v>10</v>
      </c>
      <c r="M2718" s="173"/>
      <c r="N2718" s="68"/>
      <c r="O2718" s="203"/>
      <c r="P2718" s="216"/>
      <c r="Q2718" s="68"/>
      <c r="R2718" s="217"/>
      <c r="S2718" s="203"/>
      <c r="T2718" s="203"/>
      <c r="U2718" s="203"/>
      <c r="V2718" s="203"/>
      <c r="W2718" s="203"/>
      <c r="X2718" s="203"/>
    </row>
    <row r="2719" spans="1:24" ht="30" customHeight="1" x14ac:dyDescent="0.35">
      <c r="A2719" s="832" t="s">
        <v>1754</v>
      </c>
      <c r="B2719" s="1082" t="s">
        <v>3063</v>
      </c>
      <c r="C2719" s="1083"/>
      <c r="D2719" s="1093"/>
      <c r="E2719" s="591">
        <f>((95+147)/2) *2*15</f>
        <v>3630</v>
      </c>
      <c r="F2719" s="446" t="s">
        <v>10</v>
      </c>
      <c r="G2719" s="605"/>
      <c r="H2719" s="508"/>
      <c r="I2719" s="446">
        <v>1.05</v>
      </c>
      <c r="J2719" s="839"/>
      <c r="K2719" s="453">
        <f>E2719*I2719</f>
        <v>3811.5</v>
      </c>
      <c r="L2719" s="243"/>
      <c r="M2719" s="173"/>
      <c r="N2719" s="68"/>
      <c r="O2719" s="208"/>
      <c r="P2719" s="216"/>
      <c r="Q2719" s="68"/>
      <c r="R2719" s="217"/>
      <c r="S2719" s="208"/>
    </row>
    <row r="2720" spans="1:24" ht="30" customHeight="1" x14ac:dyDescent="0.35">
      <c r="A2720" s="832"/>
      <c r="B2720" s="485"/>
      <c r="C2720" s="610"/>
      <c r="D2720" s="608"/>
      <c r="E2720" s="51"/>
      <c r="F2720" s="446"/>
      <c r="G2720" s="605"/>
      <c r="H2720" s="508"/>
      <c r="I2720" s="1104" t="s">
        <v>3061</v>
      </c>
      <c r="J2720" s="1106"/>
      <c r="K2720" s="453">
        <f>+K2718+K2719</f>
        <v>8860.5</v>
      </c>
      <c r="L2720" s="243"/>
      <c r="M2720" s="173"/>
      <c r="N2720" s="68"/>
      <c r="O2720" s="203"/>
      <c r="P2720" s="216"/>
      <c r="Q2720" s="68"/>
      <c r="R2720" s="217"/>
    </row>
    <row r="2721" spans="1:25" ht="30" customHeight="1" x14ac:dyDescent="0.35">
      <c r="A2721" s="241"/>
      <c r="B2721" s="1059"/>
      <c r="C2721" s="1059"/>
      <c r="D2721" s="1059"/>
      <c r="E2721" s="453"/>
      <c r="F2721" s="446"/>
      <c r="G2721" s="519"/>
      <c r="H2721" s="508"/>
      <c r="I2721" s="1104" t="s">
        <v>3062</v>
      </c>
      <c r="J2721" s="1106"/>
      <c r="K2721" s="453">
        <f>(+K2720+K2717)/2</f>
        <v>7126.875</v>
      </c>
      <c r="L2721" s="243" t="s">
        <v>10</v>
      </c>
      <c r="M2721" s="173"/>
      <c r="N2721" s="419"/>
      <c r="O2721" s="171"/>
      <c r="P2721" s="216"/>
      <c r="Q2721" s="419"/>
      <c r="R2721" s="219"/>
    </row>
    <row r="2722" spans="1:25" ht="30" customHeight="1" x14ac:dyDescent="0.35">
      <c r="A2722" s="241"/>
      <c r="B2722" s="506"/>
      <c r="C2722" s="506"/>
      <c r="D2722" s="506"/>
      <c r="E2722" s="453"/>
      <c r="F2722" s="1029" t="s">
        <v>302</v>
      </c>
      <c r="G2722" s="1058" t="s">
        <v>303</v>
      </c>
      <c r="H2722" s="1058"/>
      <c r="I2722" s="1058"/>
      <c r="J2722" s="1058"/>
      <c r="K2722" s="612">
        <v>1.07</v>
      </c>
      <c r="L2722" s="243"/>
      <c r="M2722" s="173"/>
      <c r="N2722" s="419"/>
      <c r="O2722" s="171"/>
      <c r="P2722" s="216"/>
      <c r="Q2722" s="419"/>
      <c r="R2722" s="219"/>
    </row>
    <row r="2723" spans="1:25" ht="30" customHeight="1" x14ac:dyDescent="0.35">
      <c r="A2723" s="241"/>
      <c r="B2723" s="506"/>
      <c r="C2723" s="506"/>
      <c r="D2723" s="506"/>
      <c r="E2723" s="453"/>
      <c r="F2723" s="1030"/>
      <c r="G2723" s="1073" t="s">
        <v>2374</v>
      </c>
      <c r="H2723" s="1073"/>
      <c r="I2723" s="1073"/>
      <c r="J2723" s="1073"/>
      <c r="K2723" s="612">
        <v>1.08</v>
      </c>
      <c r="L2723" s="243"/>
      <c r="M2723" s="173"/>
      <c r="N2723" s="68"/>
      <c r="O2723" s="203"/>
      <c r="P2723" s="216"/>
      <c r="Q2723" s="68"/>
      <c r="R2723" s="217"/>
    </row>
    <row r="2724" spans="1:25" ht="30" customHeight="1" x14ac:dyDescent="0.35">
      <c r="A2724" s="241"/>
      <c r="B2724" s="446"/>
      <c r="C2724" s="458"/>
      <c r="D2724" s="458"/>
      <c r="E2724" s="458"/>
      <c r="F2724" s="458"/>
      <c r="G2724" s="458"/>
      <c r="H2724" s="458"/>
      <c r="I2724" s="458"/>
      <c r="J2724" s="446" t="s">
        <v>2356</v>
      </c>
      <c r="K2724" s="591">
        <f>+K2721*K2722/K2723</f>
        <v>7060.885416666667</v>
      </c>
      <c r="L2724" s="243" t="s">
        <v>10</v>
      </c>
      <c r="M2724" s="173"/>
      <c r="N2724" s="68"/>
      <c r="O2724" s="203"/>
      <c r="P2724" s="218"/>
      <c r="Q2724" s="68"/>
      <c r="R2724" s="217"/>
    </row>
    <row r="2725" spans="1:25" ht="30" customHeight="1" thickBot="1" x14ac:dyDescent="0.4">
      <c r="A2725" s="241"/>
      <c r="B2725" s="446"/>
      <c r="C2725" s="458"/>
      <c r="D2725" s="458"/>
      <c r="E2725" s="458"/>
      <c r="F2725" s="458"/>
      <c r="G2725" s="592" t="s">
        <v>2358</v>
      </c>
      <c r="H2725" s="458"/>
      <c r="I2725" s="458"/>
      <c r="J2725" s="583">
        <f>VLOOKUP(B2715,'Mil Cost Premiums for PUCs'!$A$4:$R$272,18,FALSE)</f>
        <v>1.0209999999999999</v>
      </c>
      <c r="K2725" s="591">
        <f>+K2724*J2725</f>
        <v>7209.1640104166663</v>
      </c>
      <c r="L2725" s="243" t="s">
        <v>10</v>
      </c>
      <c r="M2725" s="173"/>
      <c r="N2725" s="68"/>
      <c r="O2725" s="203"/>
      <c r="P2725" s="218"/>
      <c r="Q2725" s="68"/>
      <c r="R2725" s="217"/>
      <c r="T2725" s="208"/>
      <c r="U2725" s="208"/>
      <c r="V2725" s="208"/>
      <c r="W2725" s="208"/>
      <c r="X2725" s="208"/>
    </row>
    <row r="2726" spans="1:25" s="208" customFormat="1" ht="30" customHeight="1" thickBot="1" x14ac:dyDescent="0.4">
      <c r="A2726" s="1086"/>
      <c r="B2726" s="1087"/>
      <c r="C2726" s="1087"/>
      <c r="D2726" s="1087"/>
      <c r="E2726" s="1087"/>
      <c r="F2726" s="1087"/>
      <c r="G2726" s="1087"/>
      <c r="H2726" s="1087"/>
      <c r="I2726" s="1087"/>
      <c r="J2726" s="1087"/>
      <c r="K2726" s="1087"/>
      <c r="L2726" s="1088"/>
      <c r="M2726" s="173"/>
      <c r="N2726" s="68"/>
      <c r="O2726" s="203"/>
      <c r="P2726" s="218"/>
      <c r="Q2726" s="68"/>
      <c r="R2726" s="217"/>
      <c r="S2726" s="203"/>
      <c r="T2726" s="203"/>
      <c r="U2726" s="203"/>
      <c r="V2726" s="203"/>
      <c r="W2726" s="203"/>
      <c r="X2726" s="203"/>
    </row>
    <row r="2727" spans="1:25" ht="30" customHeight="1" x14ac:dyDescent="0.35">
      <c r="A2727" s="465" t="s">
        <v>278</v>
      </c>
      <c r="B2727" s="539">
        <v>7110</v>
      </c>
      <c r="C2727" s="1060" t="s">
        <v>1317</v>
      </c>
      <c r="D2727" s="1061"/>
      <c r="E2727" s="541" t="s">
        <v>280</v>
      </c>
      <c r="F2727" s="542" t="s">
        <v>8</v>
      </c>
      <c r="G2727" s="543" t="s">
        <v>285</v>
      </c>
      <c r="H2727" s="569">
        <v>3795</v>
      </c>
      <c r="I2727" s="541" t="s">
        <v>281</v>
      </c>
      <c r="J2727" s="1019" t="s">
        <v>2749</v>
      </c>
      <c r="K2727" s="1019"/>
      <c r="L2727" s="1020"/>
      <c r="N2727" s="34"/>
      <c r="O2727" s="410"/>
      <c r="P2727" s="410"/>
      <c r="Q2727" s="410"/>
      <c r="R2727" s="411"/>
      <c r="S2727" s="72"/>
      <c r="T2727" s="412"/>
      <c r="U2727" s="412"/>
      <c r="V2727" s="413"/>
      <c r="W2727" s="412"/>
      <c r="X2727" s="414"/>
      <c r="Y2727" s="72"/>
    </row>
    <row r="2728" spans="1:25" ht="30" customHeight="1" x14ac:dyDescent="0.35">
      <c r="A2728" s="545" t="s">
        <v>288</v>
      </c>
      <c r="B2728" s="1051" t="s">
        <v>282</v>
      </c>
      <c r="C2728" s="1051"/>
      <c r="D2728" s="1051"/>
      <c r="E2728" s="530" t="s">
        <v>289</v>
      </c>
      <c r="F2728" s="561" t="s">
        <v>290</v>
      </c>
      <c r="G2728" s="509"/>
      <c r="H2728" s="509"/>
      <c r="I2728" s="1052" t="s">
        <v>405</v>
      </c>
      <c r="J2728" s="1053"/>
      <c r="K2728" s="1012" t="s">
        <v>292</v>
      </c>
      <c r="L2728" s="1013"/>
      <c r="M2728" s="173"/>
      <c r="N2728" s="34"/>
      <c r="O2728" s="410"/>
      <c r="P2728" s="410"/>
      <c r="Q2728" s="410"/>
      <c r="R2728" s="411"/>
      <c r="S2728" s="72"/>
      <c r="T2728" s="412"/>
      <c r="U2728" s="412"/>
      <c r="V2728" s="413"/>
      <c r="W2728" s="412"/>
      <c r="X2728" s="414"/>
      <c r="Y2728" s="72"/>
    </row>
    <row r="2729" spans="1:25" ht="30" customHeight="1" x14ac:dyDescent="0.35">
      <c r="A2729" s="241">
        <v>71111</v>
      </c>
      <c r="B2729" s="1031" t="s">
        <v>1318</v>
      </c>
      <c r="C2729" s="1032"/>
      <c r="D2729" s="1033"/>
      <c r="E2729" s="694">
        <v>3330</v>
      </c>
      <c r="F2729" s="453">
        <f>(294.41+334.77)/2</f>
        <v>314.59000000000003</v>
      </c>
      <c r="G2729" s="725"/>
      <c r="H2729" s="726"/>
      <c r="I2729" s="1062">
        <f>+'2021 MILCON Inflation Table'!F20</f>
        <v>0.9432470865927236</v>
      </c>
      <c r="J2729" s="1063"/>
      <c r="K2729" s="693">
        <f t="shared" ref="K2729:K2735" si="71">+F2729*I2729</f>
        <v>296.73610097120496</v>
      </c>
      <c r="L2729" s="243" t="s">
        <v>8</v>
      </c>
      <c r="M2729" s="173"/>
      <c r="N2729" s="419"/>
      <c r="O2729" s="171"/>
      <c r="P2729" s="216"/>
      <c r="Q2729" s="419"/>
      <c r="R2729" s="219"/>
      <c r="S2729" s="171"/>
      <c r="T2729" s="171"/>
      <c r="U2729" s="171"/>
      <c r="V2729" s="171"/>
      <c r="W2729" s="171"/>
      <c r="X2729" s="171"/>
      <c r="Y2729" s="171"/>
    </row>
    <row r="2730" spans="1:25" ht="30" customHeight="1" x14ac:dyDescent="0.35">
      <c r="A2730" s="241">
        <v>71112</v>
      </c>
      <c r="B2730" s="1031" t="s">
        <v>1319</v>
      </c>
      <c r="C2730" s="1032"/>
      <c r="D2730" s="1033"/>
      <c r="E2730" s="694">
        <v>2520</v>
      </c>
      <c r="F2730" s="453">
        <f>(288.54+319.04)/2</f>
        <v>303.79000000000002</v>
      </c>
      <c r="G2730" s="725"/>
      <c r="H2730" s="726"/>
      <c r="I2730" s="1062">
        <f>+'2021 MILCON Inflation Table'!F20</f>
        <v>0.9432470865927236</v>
      </c>
      <c r="J2730" s="1063"/>
      <c r="K2730" s="693">
        <f t="shared" si="71"/>
        <v>286.54903243600353</v>
      </c>
      <c r="L2730" s="243" t="s">
        <v>8</v>
      </c>
      <c r="M2730" s="173"/>
      <c r="N2730" s="419"/>
      <c r="O2730" s="171"/>
      <c r="P2730" s="216"/>
      <c r="Q2730" s="419"/>
      <c r="R2730" s="219"/>
    </row>
    <row r="2731" spans="1:25" ht="30" customHeight="1" x14ac:dyDescent="0.35">
      <c r="A2731" s="241">
        <v>71113</v>
      </c>
      <c r="B2731" s="1082" t="s">
        <v>1320</v>
      </c>
      <c r="C2731" s="1083"/>
      <c r="D2731" s="1093"/>
      <c r="E2731" s="694">
        <v>2310</v>
      </c>
      <c r="F2731" s="453">
        <f>(272.12+310.83)/2</f>
        <v>291.47500000000002</v>
      </c>
      <c r="G2731" s="725"/>
      <c r="H2731" s="726"/>
      <c r="I2731" s="1062">
        <f>+'2021 MILCON Inflation Table'!F20</f>
        <v>0.9432470865927236</v>
      </c>
      <c r="J2731" s="1063"/>
      <c r="K2731" s="693">
        <f t="shared" si="71"/>
        <v>274.93294456461416</v>
      </c>
      <c r="L2731" s="243" t="s">
        <v>8</v>
      </c>
      <c r="M2731" s="173"/>
      <c r="N2731" s="419"/>
      <c r="O2731" s="171"/>
      <c r="P2731" s="216"/>
      <c r="Q2731" s="419"/>
      <c r="R2731" s="219"/>
    </row>
    <row r="2732" spans="1:25" ht="30" customHeight="1" x14ac:dyDescent="0.35">
      <c r="A2732" s="241">
        <v>71114</v>
      </c>
      <c r="B2732" s="1082" t="s">
        <v>1321</v>
      </c>
      <c r="C2732" s="1083"/>
      <c r="D2732" s="1093"/>
      <c r="E2732" s="694">
        <v>2150</v>
      </c>
      <c r="F2732" s="453">
        <f>+(246.32+282.68)/2</f>
        <v>264.5</v>
      </c>
      <c r="G2732" s="725"/>
      <c r="H2732" s="726"/>
      <c r="I2732" s="1062">
        <f>+'2021 MILCON Inflation Table'!F20</f>
        <v>0.9432470865927236</v>
      </c>
      <c r="J2732" s="1063"/>
      <c r="K2732" s="693">
        <f t="shared" si="71"/>
        <v>249.48885440377541</v>
      </c>
      <c r="L2732" s="243" t="s">
        <v>8</v>
      </c>
      <c r="M2732" s="173"/>
      <c r="N2732" s="68"/>
      <c r="O2732" s="203"/>
      <c r="P2732" s="218"/>
      <c r="Q2732" s="68"/>
      <c r="R2732" s="217"/>
    </row>
    <row r="2733" spans="1:25" ht="30" customHeight="1" x14ac:dyDescent="0.35">
      <c r="A2733" s="241">
        <v>71115</v>
      </c>
      <c r="B2733" s="1031" t="s">
        <v>3064</v>
      </c>
      <c r="C2733" s="1032"/>
      <c r="D2733" s="1033"/>
      <c r="E2733" s="694">
        <v>2020</v>
      </c>
      <c r="F2733" s="453">
        <f>(286.2+312)/2</f>
        <v>299.10000000000002</v>
      </c>
      <c r="G2733" s="725"/>
      <c r="H2733" s="726"/>
      <c r="I2733" s="1062">
        <f>+'2021 MILCON Inflation Table'!F20</f>
        <v>0.9432470865927236</v>
      </c>
      <c r="J2733" s="1063"/>
      <c r="K2733" s="693">
        <f t="shared" si="71"/>
        <v>282.12520359988366</v>
      </c>
      <c r="L2733" s="243" t="s">
        <v>8</v>
      </c>
      <c r="M2733" s="173"/>
      <c r="N2733" s="68"/>
      <c r="O2733" s="203"/>
      <c r="P2733" s="218"/>
      <c r="Q2733" s="68"/>
      <c r="R2733" s="217"/>
    </row>
    <row r="2734" spans="1:25" ht="30" customHeight="1" x14ac:dyDescent="0.35">
      <c r="A2734" s="241">
        <v>71115</v>
      </c>
      <c r="B2734" s="1031" t="s">
        <v>2241</v>
      </c>
      <c r="C2734" s="1032"/>
      <c r="D2734" s="1033"/>
      <c r="E2734" s="694">
        <v>1860</v>
      </c>
      <c r="F2734" s="453">
        <f>(249.84+287.37)/2</f>
        <v>268.60500000000002</v>
      </c>
      <c r="G2734" s="725"/>
      <c r="H2734" s="726"/>
      <c r="I2734" s="1062">
        <f>+'2021 MILCON Inflation Table'!F20</f>
        <v>0.9432470865927236</v>
      </c>
      <c r="J2734" s="1063"/>
      <c r="K2734" s="693">
        <f t="shared" si="71"/>
        <v>253.36088369423854</v>
      </c>
      <c r="L2734" s="243" t="s">
        <v>8</v>
      </c>
      <c r="M2734" s="173"/>
      <c r="N2734" s="68"/>
      <c r="O2734" s="203"/>
      <c r="P2734" s="218"/>
      <c r="Q2734" s="68"/>
      <c r="R2734" s="217"/>
      <c r="T2734" s="208"/>
      <c r="U2734" s="208"/>
      <c r="V2734" s="208"/>
      <c r="W2734" s="208"/>
      <c r="X2734" s="208"/>
    </row>
    <row r="2735" spans="1:25" ht="30" customHeight="1" x14ac:dyDescent="0.35">
      <c r="A2735" s="241">
        <v>71116</v>
      </c>
      <c r="B2735" s="1031" t="s">
        <v>1322</v>
      </c>
      <c r="C2735" s="1032"/>
      <c r="D2735" s="1033"/>
      <c r="E2735" s="694">
        <v>1950</v>
      </c>
      <c r="F2735" s="453">
        <f>(252.18+288.54)/2</f>
        <v>270.36</v>
      </c>
      <c r="G2735" s="725"/>
      <c r="H2735" s="726"/>
      <c r="I2735" s="1062">
        <f>+'2021 MILCON Inflation Table'!F20</f>
        <v>0.9432470865927236</v>
      </c>
      <c r="J2735" s="1063"/>
      <c r="K2735" s="693">
        <f t="shared" si="71"/>
        <v>255.01628233120877</v>
      </c>
      <c r="L2735" s="243" t="s">
        <v>8</v>
      </c>
      <c r="M2735" s="173"/>
      <c r="N2735" s="68"/>
      <c r="O2735" s="203"/>
      <c r="P2735" s="218"/>
      <c r="Q2735" s="68"/>
      <c r="R2735" s="217"/>
      <c r="Y2735" s="208"/>
    </row>
    <row r="2736" spans="1:25" ht="30" customHeight="1" thickBot="1" x14ac:dyDescent="0.4">
      <c r="A2736" s="241"/>
      <c r="B2736" s="516"/>
      <c r="C2736" s="570"/>
      <c r="D2736" s="571" t="s">
        <v>2166</v>
      </c>
      <c r="E2736" s="624">
        <f>AVERAGE(E2729:E2735)</f>
        <v>2305.7142857142858</v>
      </c>
      <c r="F2736" s="625"/>
      <c r="G2736" s="625"/>
      <c r="H2736" s="626"/>
      <c r="I2736" s="458"/>
      <c r="J2736" s="510" t="s">
        <v>2356</v>
      </c>
      <c r="K2736" s="585">
        <f>AVERAGE(K2729:K2735)</f>
        <v>271.17275742870413</v>
      </c>
      <c r="L2736" s="243" t="s">
        <v>8</v>
      </c>
      <c r="M2736" s="173"/>
      <c r="N2736" s="13"/>
      <c r="O2736" s="208"/>
      <c r="P2736" s="218"/>
      <c r="Q2736" s="68"/>
      <c r="R2736" s="217"/>
      <c r="S2736" s="208"/>
    </row>
    <row r="2737" spans="1:25" ht="30" customHeight="1" thickBot="1" x14ac:dyDescent="0.4">
      <c r="A2737" s="1086"/>
      <c r="B2737" s="1087"/>
      <c r="C2737" s="1087"/>
      <c r="D2737" s="1087"/>
      <c r="E2737" s="1087"/>
      <c r="F2737" s="1087"/>
      <c r="G2737" s="1087"/>
      <c r="H2737" s="1087"/>
      <c r="I2737" s="1087"/>
      <c r="J2737" s="1087"/>
      <c r="K2737" s="1087"/>
      <c r="L2737" s="1088"/>
      <c r="M2737" s="173"/>
      <c r="N2737" s="13"/>
      <c r="O2737" s="203"/>
      <c r="P2737" s="218"/>
      <c r="Q2737" s="68"/>
      <c r="R2737" s="217"/>
    </row>
    <row r="2738" spans="1:25" s="208" customFormat="1" ht="30" customHeight="1" x14ac:dyDescent="0.35">
      <c r="A2738" s="465" t="s">
        <v>278</v>
      </c>
      <c r="B2738" s="539">
        <v>7113</v>
      </c>
      <c r="C2738" s="1017" t="s">
        <v>3065</v>
      </c>
      <c r="D2738" s="1018"/>
      <c r="E2738" s="541" t="s">
        <v>280</v>
      </c>
      <c r="F2738" s="542" t="s">
        <v>8</v>
      </c>
      <c r="G2738" s="553" t="s">
        <v>285</v>
      </c>
      <c r="H2738" s="632">
        <v>227826</v>
      </c>
      <c r="I2738" s="541" t="s">
        <v>281</v>
      </c>
      <c r="J2738" s="1019" t="s">
        <v>2637</v>
      </c>
      <c r="K2738" s="1019"/>
      <c r="L2738" s="1020"/>
      <c r="M2738" s="173"/>
      <c r="N2738" s="68"/>
      <c r="O2738" s="203"/>
      <c r="P2738" s="218"/>
      <c r="Q2738" s="68"/>
      <c r="R2738" s="217"/>
      <c r="S2738" s="203"/>
      <c r="T2738" s="203"/>
      <c r="U2738" s="203"/>
      <c r="V2738" s="203"/>
      <c r="W2738" s="203"/>
      <c r="X2738" s="203"/>
      <c r="Y2738" s="203"/>
    </row>
    <row r="2739" spans="1:25" ht="30" customHeight="1" x14ac:dyDescent="0.35">
      <c r="A2739" s="545"/>
      <c r="B2739" s="1051" t="s">
        <v>282</v>
      </c>
      <c r="C2739" s="1051"/>
      <c r="D2739" s="1051"/>
      <c r="E2739" s="509" t="s">
        <v>289</v>
      </c>
      <c r="F2739" s="509" t="s">
        <v>290</v>
      </c>
      <c r="G2739" s="1052"/>
      <c r="H2739" s="1053"/>
      <c r="I2739" s="1052" t="s">
        <v>405</v>
      </c>
      <c r="J2739" s="1053"/>
      <c r="K2739" s="1012" t="s">
        <v>292</v>
      </c>
      <c r="L2739" s="1013"/>
      <c r="M2739" s="173"/>
      <c r="N2739" s="13"/>
      <c r="O2739" s="203"/>
      <c r="P2739" s="218"/>
      <c r="Q2739" s="68"/>
      <c r="R2739" s="217"/>
    </row>
    <row r="2740" spans="1:25" ht="30" customHeight="1" x14ac:dyDescent="0.35">
      <c r="A2740" s="546" t="s">
        <v>293</v>
      </c>
      <c r="B2740" s="1057" t="s">
        <v>3066</v>
      </c>
      <c r="C2740" s="1057"/>
      <c r="D2740" s="1057"/>
      <c r="E2740" s="772">
        <v>220000</v>
      </c>
      <c r="F2740" s="444">
        <v>158</v>
      </c>
      <c r="G2740" s="1282"/>
      <c r="H2740" s="1307"/>
      <c r="I2740" s="1044" t="s">
        <v>2638</v>
      </c>
      <c r="J2740" s="1045"/>
      <c r="K2740" s="835">
        <v>158</v>
      </c>
      <c r="L2740" s="698" t="s">
        <v>8</v>
      </c>
      <c r="M2740" s="173"/>
      <c r="N2740" s="13"/>
      <c r="O2740" s="171"/>
      <c r="P2740" s="216"/>
      <c r="Q2740" s="419"/>
      <c r="R2740" s="219"/>
    </row>
    <row r="2741" spans="1:25" ht="30" customHeight="1" x14ac:dyDescent="0.35">
      <c r="A2741" s="241"/>
      <c r="B2741" s="1059"/>
      <c r="C2741" s="1059"/>
      <c r="D2741" s="1059"/>
      <c r="E2741" s="565"/>
      <c r="F2741" s="566"/>
      <c r="G2741" s="566"/>
      <c r="H2741" s="567"/>
      <c r="I2741" s="458"/>
      <c r="J2741" s="510" t="s">
        <v>2356</v>
      </c>
      <c r="K2741" s="585">
        <f>+K2740</f>
        <v>158</v>
      </c>
      <c r="L2741" s="243" t="s">
        <v>8</v>
      </c>
      <c r="M2741" s="173"/>
      <c r="N2741" s="419"/>
      <c r="O2741" s="171"/>
      <c r="P2741" s="216"/>
      <c r="Q2741" s="419"/>
      <c r="R2741" s="219"/>
    </row>
    <row r="2742" spans="1:25" ht="30" customHeight="1" x14ac:dyDescent="0.35">
      <c r="A2742" s="1319"/>
      <c r="B2742" s="1157"/>
      <c r="C2742" s="1157"/>
      <c r="D2742" s="1157"/>
      <c r="E2742" s="1157"/>
      <c r="F2742" s="1157"/>
      <c r="G2742" s="1157"/>
      <c r="H2742" s="1157"/>
      <c r="I2742" s="1157"/>
      <c r="J2742" s="1157"/>
      <c r="K2742" s="1157"/>
      <c r="L2742" s="1320"/>
      <c r="M2742" s="173"/>
      <c r="N2742" s="68"/>
      <c r="O2742" s="203"/>
      <c r="P2742" s="218"/>
      <c r="Q2742" s="68"/>
      <c r="R2742" s="217"/>
    </row>
    <row r="2743" spans="1:25" ht="30" customHeight="1" x14ac:dyDescent="0.35">
      <c r="A2743" s="1407"/>
      <c r="B2743" s="1408"/>
      <c r="C2743" s="1408"/>
      <c r="D2743" s="1408"/>
      <c r="E2743" s="1408"/>
      <c r="F2743" s="1408"/>
      <c r="G2743" s="1408"/>
      <c r="H2743" s="1408"/>
      <c r="I2743" s="1408"/>
      <c r="J2743" s="1408"/>
      <c r="K2743" s="1408"/>
      <c r="L2743" s="1409"/>
      <c r="M2743" s="173"/>
      <c r="N2743" s="68"/>
      <c r="O2743" s="203"/>
      <c r="P2743" s="218"/>
      <c r="Q2743" s="68"/>
      <c r="R2743" s="217"/>
    </row>
    <row r="2744" spans="1:25" ht="269.5" customHeight="1" thickBot="1" x14ac:dyDescent="0.4">
      <c r="A2744" s="1410"/>
      <c r="B2744" s="1160"/>
      <c r="C2744" s="1160"/>
      <c r="D2744" s="1160"/>
      <c r="E2744" s="1160"/>
      <c r="F2744" s="1160"/>
      <c r="G2744" s="1160"/>
      <c r="H2744" s="1160"/>
      <c r="I2744" s="1160"/>
      <c r="J2744" s="1160"/>
      <c r="K2744" s="1160"/>
      <c r="L2744" s="1411"/>
      <c r="M2744" s="173"/>
      <c r="N2744" s="68"/>
      <c r="O2744" s="203"/>
      <c r="P2744" s="218"/>
      <c r="Q2744" s="68"/>
      <c r="R2744" s="217"/>
      <c r="T2744" s="208"/>
      <c r="U2744" s="208"/>
      <c r="V2744" s="208"/>
      <c r="W2744" s="208"/>
      <c r="X2744" s="208"/>
    </row>
    <row r="2745" spans="1:25" ht="30" customHeight="1" thickBot="1" x14ac:dyDescent="0.4">
      <c r="A2745" s="1086"/>
      <c r="B2745" s="1087"/>
      <c r="C2745" s="1087"/>
      <c r="D2745" s="1087"/>
      <c r="E2745" s="1087"/>
      <c r="F2745" s="1087"/>
      <c r="G2745" s="1087"/>
      <c r="H2745" s="1087"/>
      <c r="I2745" s="1087"/>
      <c r="J2745" s="1087"/>
      <c r="K2745" s="1087"/>
      <c r="L2745" s="1088"/>
      <c r="M2745" s="173"/>
      <c r="N2745" s="63"/>
      <c r="O2745" s="203"/>
      <c r="P2745" s="218"/>
      <c r="Q2745" s="68"/>
      <c r="R2745" s="217"/>
      <c r="Y2745" s="208"/>
    </row>
    <row r="2746" spans="1:25" ht="30" customHeight="1" x14ac:dyDescent="0.35">
      <c r="A2746" s="465" t="s">
        <v>278</v>
      </c>
      <c r="B2746" s="539">
        <v>7130</v>
      </c>
      <c r="C2746" s="1017" t="s">
        <v>1323</v>
      </c>
      <c r="D2746" s="1018"/>
      <c r="E2746" s="541" t="s">
        <v>280</v>
      </c>
      <c r="F2746" s="542" t="s">
        <v>3</v>
      </c>
      <c r="G2746" s="553" t="s">
        <v>279</v>
      </c>
      <c r="H2746" s="632">
        <v>3200</v>
      </c>
      <c r="I2746" s="541" t="s">
        <v>281</v>
      </c>
      <c r="J2746" s="1019" t="s">
        <v>2371</v>
      </c>
      <c r="K2746" s="1019"/>
      <c r="L2746" s="1020"/>
      <c r="M2746" s="173"/>
      <c r="N2746" s="63"/>
      <c r="O2746" s="208"/>
      <c r="P2746" s="218"/>
      <c r="Q2746" s="68"/>
      <c r="R2746" s="217"/>
      <c r="S2746" s="208"/>
    </row>
    <row r="2747" spans="1:25" ht="30" customHeight="1" x14ac:dyDescent="0.35">
      <c r="A2747" s="588" t="s">
        <v>298</v>
      </c>
      <c r="B2747" s="1038" t="s">
        <v>321</v>
      </c>
      <c r="C2747" s="1039"/>
      <c r="D2747" s="1040"/>
      <c r="E2747" s="23" t="s">
        <v>290</v>
      </c>
      <c r="F2747" s="23" t="s">
        <v>322</v>
      </c>
      <c r="G2747" s="1034" t="s">
        <v>323</v>
      </c>
      <c r="H2747" s="1035"/>
      <c r="I2747" s="509" t="s">
        <v>299</v>
      </c>
      <c r="J2747" s="509" t="s">
        <v>2167</v>
      </c>
      <c r="K2747" s="1012" t="s">
        <v>292</v>
      </c>
      <c r="L2747" s="1013"/>
      <c r="M2747" s="173"/>
      <c r="N2747" s="68"/>
      <c r="O2747" s="203"/>
      <c r="P2747" s="218"/>
      <c r="Q2747" s="68"/>
      <c r="R2747" s="217"/>
    </row>
    <row r="2748" spans="1:25" s="208" customFormat="1" ht="30" customHeight="1" x14ac:dyDescent="0.35">
      <c r="A2748" s="241" t="s">
        <v>1324</v>
      </c>
      <c r="B2748" s="1082" t="s">
        <v>1325</v>
      </c>
      <c r="C2748" s="1083"/>
      <c r="D2748" s="1093"/>
      <c r="E2748" s="453">
        <v>11700</v>
      </c>
      <c r="F2748" s="3" t="s">
        <v>2403</v>
      </c>
      <c r="G2748" s="78">
        <f>3200/9</f>
        <v>355.55555555555554</v>
      </c>
      <c r="H2748" s="498" t="s">
        <v>2404</v>
      </c>
      <c r="I2748" s="446">
        <v>1</v>
      </c>
      <c r="J2748" s="665">
        <v>1.1000000000000001</v>
      </c>
      <c r="K2748" s="453">
        <f>+E2748/G2748*I2748*J2748</f>
        <v>36.196875000000006</v>
      </c>
      <c r="L2748" s="243" t="s">
        <v>3</v>
      </c>
      <c r="M2748" s="173"/>
      <c r="N2748" s="68"/>
      <c r="O2748" s="203"/>
      <c r="P2748" s="218"/>
      <c r="Q2748" s="68"/>
      <c r="R2748" s="217"/>
      <c r="S2748" s="203"/>
      <c r="T2748" s="203"/>
      <c r="U2748" s="203"/>
      <c r="V2748" s="203"/>
      <c r="W2748" s="203"/>
      <c r="X2748" s="203"/>
      <c r="Y2748" s="203"/>
    </row>
    <row r="2749" spans="1:25" ht="30" customHeight="1" x14ac:dyDescent="0.35">
      <c r="A2749" s="241"/>
      <c r="B2749" s="1059" t="s">
        <v>1327</v>
      </c>
      <c r="C2749" s="1059"/>
      <c r="D2749" s="1059"/>
      <c r="E2749" s="453"/>
      <c r="F2749" s="446"/>
      <c r="G2749" s="446"/>
      <c r="H2749" s="446"/>
      <c r="I2749" s="446"/>
      <c r="J2749" s="446"/>
      <c r="K2749" s="453"/>
      <c r="L2749" s="243"/>
      <c r="M2749" s="173"/>
      <c r="N2749" s="68"/>
      <c r="O2749" s="171"/>
      <c r="P2749" s="216"/>
      <c r="Q2749" s="419"/>
      <c r="R2749" s="219"/>
    </row>
    <row r="2750" spans="1:25" ht="30" customHeight="1" x14ac:dyDescent="0.35">
      <c r="A2750" s="241"/>
      <c r="B2750" s="506"/>
      <c r="C2750" s="506"/>
      <c r="D2750" s="506"/>
      <c r="E2750" s="453"/>
      <c r="F2750" s="1029" t="s">
        <v>302</v>
      </c>
      <c r="G2750" s="1058" t="s">
        <v>303</v>
      </c>
      <c r="H2750" s="1058"/>
      <c r="I2750" s="1058"/>
      <c r="J2750" s="1058"/>
      <c r="K2750" s="612">
        <v>1.07</v>
      </c>
      <c r="L2750" s="243"/>
      <c r="M2750" s="173"/>
      <c r="N2750" s="63"/>
      <c r="O2750" s="171"/>
      <c r="P2750" s="216"/>
      <c r="Q2750" s="419"/>
      <c r="R2750" s="219"/>
    </row>
    <row r="2751" spans="1:25" ht="30" customHeight="1" x14ac:dyDescent="0.35">
      <c r="A2751" s="241"/>
      <c r="B2751" s="506"/>
      <c r="C2751" s="506"/>
      <c r="D2751" s="506"/>
      <c r="E2751" s="453"/>
      <c r="F2751" s="1030"/>
      <c r="G2751" s="1073" t="s">
        <v>2374</v>
      </c>
      <c r="H2751" s="1073"/>
      <c r="I2751" s="1073"/>
      <c r="J2751" s="1073"/>
      <c r="K2751" s="612">
        <v>1.08</v>
      </c>
      <c r="L2751" s="243"/>
      <c r="M2751" s="173"/>
      <c r="N2751" s="68"/>
      <c r="O2751" s="203"/>
      <c r="P2751" s="218"/>
      <c r="Q2751" s="68"/>
      <c r="R2751" s="217"/>
    </row>
    <row r="2752" spans="1:25" ht="30" customHeight="1" x14ac:dyDescent="0.35">
      <c r="A2752" s="832"/>
      <c r="B2752" s="446"/>
      <c r="C2752" s="458"/>
      <c r="D2752" s="458"/>
      <c r="E2752" s="453"/>
      <c r="F2752" s="446"/>
      <c r="G2752" s="454"/>
      <c r="H2752" s="446"/>
      <c r="I2752" s="446"/>
      <c r="J2752" s="446" t="s">
        <v>2356</v>
      </c>
      <c r="K2752" s="591">
        <f>+K2748*K2750/K2751</f>
        <v>35.861718750000009</v>
      </c>
      <c r="L2752" s="243" t="s">
        <v>3</v>
      </c>
      <c r="M2752" s="173"/>
      <c r="N2752" s="63"/>
      <c r="O2752" s="203"/>
      <c r="P2752" s="218"/>
      <c r="Q2752" s="68"/>
      <c r="R2752" s="217"/>
      <c r="Y2752" s="208"/>
    </row>
    <row r="2753" spans="1:25" ht="30" customHeight="1" thickBot="1" x14ac:dyDescent="0.4">
      <c r="A2753" s="241"/>
      <c r="B2753" s="446"/>
      <c r="C2753" s="458"/>
      <c r="D2753" s="458"/>
      <c r="E2753" s="458"/>
      <c r="F2753" s="458"/>
      <c r="G2753" s="592" t="s">
        <v>2358</v>
      </c>
      <c r="H2753" s="458"/>
      <c r="I2753" s="458"/>
      <c r="J2753" s="583">
        <f>VLOOKUP(B2746,'Mil Cost Premiums for PUCs'!$A$4:$R$272,18,FALSE)</f>
        <v>1.0209999999999999</v>
      </c>
      <c r="K2753" s="591">
        <f>+K2752*J2753</f>
        <v>36.614814843750004</v>
      </c>
      <c r="L2753" s="243" t="s">
        <v>3</v>
      </c>
      <c r="M2753" s="173"/>
      <c r="N2753" s="68"/>
      <c r="O2753" s="203"/>
      <c r="P2753" s="218"/>
      <c r="Q2753" s="68"/>
      <c r="R2753" s="217"/>
    </row>
    <row r="2754" spans="1:25" ht="30" customHeight="1" thickBot="1" x14ac:dyDescent="0.4">
      <c r="A2754" s="1086"/>
      <c r="B2754" s="1087"/>
      <c r="C2754" s="1087"/>
      <c r="D2754" s="1087"/>
      <c r="E2754" s="1087"/>
      <c r="F2754" s="1087"/>
      <c r="G2754" s="1087"/>
      <c r="H2754" s="1087"/>
      <c r="I2754" s="1087"/>
      <c r="J2754" s="1087"/>
      <c r="K2754" s="1087"/>
      <c r="L2754" s="1088"/>
      <c r="M2754" s="173"/>
      <c r="N2754" s="68"/>
      <c r="O2754" s="203"/>
      <c r="P2754" s="218"/>
      <c r="Q2754" s="68"/>
      <c r="R2754" s="217"/>
    </row>
    <row r="2755" spans="1:25" s="208" customFormat="1" ht="30" customHeight="1" x14ac:dyDescent="0.35">
      <c r="A2755" s="465" t="s">
        <v>278</v>
      </c>
      <c r="B2755" s="539">
        <v>7141</v>
      </c>
      <c r="C2755" s="1017" t="s">
        <v>1328</v>
      </c>
      <c r="D2755" s="1018"/>
      <c r="E2755" s="396" t="s">
        <v>280</v>
      </c>
      <c r="F2755" s="67" t="s">
        <v>8</v>
      </c>
      <c r="G2755" s="543" t="s">
        <v>285</v>
      </c>
      <c r="H2755" s="202">
        <v>724</v>
      </c>
      <c r="I2755" s="541" t="s">
        <v>281</v>
      </c>
      <c r="J2755" s="1019" t="s">
        <v>2371</v>
      </c>
      <c r="K2755" s="1019"/>
      <c r="L2755" s="1020"/>
      <c r="M2755" s="173"/>
      <c r="N2755" s="68"/>
      <c r="O2755" s="171"/>
      <c r="P2755" s="216"/>
      <c r="Q2755" s="494"/>
      <c r="R2755" s="219"/>
      <c r="S2755" s="203"/>
      <c r="T2755" s="203"/>
      <c r="U2755" s="203"/>
      <c r="V2755" s="203"/>
      <c r="W2755" s="203"/>
      <c r="X2755" s="203"/>
      <c r="Y2755" s="203"/>
    </row>
    <row r="2756" spans="1:25" ht="30" customHeight="1" x14ac:dyDescent="0.35">
      <c r="A2756" s="588" t="s">
        <v>298</v>
      </c>
      <c r="B2756" s="1038" t="s">
        <v>321</v>
      </c>
      <c r="C2756" s="1039"/>
      <c r="D2756" s="1040"/>
      <c r="E2756" s="23" t="s">
        <v>290</v>
      </c>
      <c r="F2756" s="23" t="s">
        <v>322</v>
      </c>
      <c r="G2756" s="1034" t="s">
        <v>323</v>
      </c>
      <c r="H2756" s="1035"/>
      <c r="I2756" s="509" t="s">
        <v>299</v>
      </c>
      <c r="J2756" s="509"/>
      <c r="K2756" s="1012" t="s">
        <v>292</v>
      </c>
      <c r="L2756" s="1013"/>
      <c r="M2756" s="173"/>
      <c r="N2756" s="63"/>
      <c r="O2756" s="171"/>
      <c r="P2756" s="216"/>
      <c r="Q2756" s="419"/>
      <c r="R2756" s="219"/>
    </row>
    <row r="2757" spans="1:25" ht="30" customHeight="1" x14ac:dyDescent="0.35">
      <c r="A2757" s="832" t="s">
        <v>1329</v>
      </c>
      <c r="B2757" s="1082" t="s">
        <v>1330</v>
      </c>
      <c r="C2757" s="1083"/>
      <c r="D2757" s="1093"/>
      <c r="E2757" s="453">
        <v>37</v>
      </c>
      <c r="F2757" s="446" t="s">
        <v>8</v>
      </c>
      <c r="G2757" s="454"/>
      <c r="H2757" s="446"/>
      <c r="I2757" s="446">
        <v>1.05</v>
      </c>
      <c r="J2757" s="446"/>
      <c r="K2757" s="453">
        <f>+E2757*I2757</f>
        <v>38.85</v>
      </c>
      <c r="L2757" s="243" t="s">
        <v>8</v>
      </c>
      <c r="M2757" s="173"/>
      <c r="N2757" s="63"/>
      <c r="O2757" s="171"/>
      <c r="P2757" s="216"/>
      <c r="Q2757" s="419"/>
      <c r="R2757" s="219"/>
    </row>
    <row r="2758" spans="1:25" ht="30" customHeight="1" x14ac:dyDescent="0.35">
      <c r="A2758" s="241"/>
      <c r="B2758" s="506"/>
      <c r="C2758" s="506"/>
      <c r="D2758" s="506"/>
      <c r="E2758" s="453"/>
      <c r="F2758" s="1029" t="s">
        <v>302</v>
      </c>
      <c r="G2758" s="1058" t="s">
        <v>303</v>
      </c>
      <c r="H2758" s="1058"/>
      <c r="I2758" s="1058"/>
      <c r="J2758" s="1058"/>
      <c r="K2758" s="612">
        <v>1.07</v>
      </c>
      <c r="L2758" s="243"/>
      <c r="M2758" s="173"/>
      <c r="N2758" s="68"/>
      <c r="O2758" s="203"/>
      <c r="P2758" s="218"/>
      <c r="Q2758" s="68"/>
      <c r="R2758" s="217"/>
    </row>
    <row r="2759" spans="1:25" ht="30" customHeight="1" x14ac:dyDescent="0.35">
      <c r="A2759" s="241"/>
      <c r="B2759" s="506"/>
      <c r="C2759" s="506"/>
      <c r="D2759" s="506"/>
      <c r="E2759" s="453"/>
      <c r="F2759" s="1030"/>
      <c r="G2759" s="1073" t="s">
        <v>2374</v>
      </c>
      <c r="H2759" s="1073"/>
      <c r="I2759" s="1073"/>
      <c r="J2759" s="1073"/>
      <c r="K2759" s="612">
        <v>1.08</v>
      </c>
      <c r="L2759" s="243"/>
      <c r="M2759" s="173"/>
      <c r="N2759" s="68"/>
      <c r="O2759" s="203"/>
      <c r="P2759" s="218"/>
      <c r="Q2759" s="68"/>
      <c r="R2759" s="217"/>
    </row>
    <row r="2760" spans="1:25" ht="30" customHeight="1" x14ac:dyDescent="0.35">
      <c r="A2760" s="241"/>
      <c r="B2760" s="446"/>
      <c r="C2760" s="458"/>
      <c r="D2760" s="458"/>
      <c r="E2760" s="458"/>
      <c r="F2760" s="458"/>
      <c r="G2760" s="458"/>
      <c r="H2760" s="458"/>
      <c r="I2760" s="458"/>
      <c r="J2760" s="446" t="s">
        <v>2356</v>
      </c>
      <c r="K2760" s="591">
        <f>+K2757*K2758/K2759</f>
        <v>38.490277777777777</v>
      </c>
      <c r="L2760" s="243" t="s">
        <v>8</v>
      </c>
      <c r="M2760" s="173"/>
      <c r="N2760" s="13"/>
      <c r="O2760" s="203"/>
      <c r="P2760" s="218"/>
      <c r="Q2760" s="68"/>
      <c r="R2760" s="217"/>
      <c r="T2760" s="208"/>
      <c r="U2760" s="208"/>
      <c r="V2760" s="208"/>
      <c r="W2760" s="208"/>
      <c r="X2760" s="208"/>
    </row>
    <row r="2761" spans="1:25" ht="30" customHeight="1" thickBot="1" x14ac:dyDescent="0.4">
      <c r="A2761" s="241"/>
      <c r="B2761" s="446"/>
      <c r="C2761" s="458"/>
      <c r="D2761" s="458"/>
      <c r="E2761" s="458"/>
      <c r="F2761" s="458"/>
      <c r="G2761" s="592" t="s">
        <v>2358</v>
      </c>
      <c r="H2761" s="458"/>
      <c r="I2761" s="458"/>
      <c r="J2761" s="583">
        <f>VLOOKUP(B2755,'Mil Cost Premiums for PUCs'!$A$4:$R$272,18,FALSE)</f>
        <v>1.0905505199999999</v>
      </c>
      <c r="K2761" s="591">
        <f>+K2760*J2761</f>
        <v>41.975592445499991</v>
      </c>
      <c r="L2761" s="243" t="s">
        <v>8</v>
      </c>
      <c r="M2761" s="173"/>
      <c r="N2761" s="13"/>
      <c r="O2761" s="203"/>
      <c r="P2761" s="218"/>
      <c r="Q2761" s="68"/>
      <c r="R2761" s="217"/>
      <c r="Y2761" s="208"/>
    </row>
    <row r="2762" spans="1:25" ht="30" customHeight="1" thickBot="1" x14ac:dyDescent="0.4">
      <c r="A2762" s="1086"/>
      <c r="B2762" s="1087"/>
      <c r="C2762" s="1087"/>
      <c r="D2762" s="1087"/>
      <c r="E2762" s="1087"/>
      <c r="F2762" s="1087"/>
      <c r="G2762" s="1087"/>
      <c r="H2762" s="1087"/>
      <c r="I2762" s="1087"/>
      <c r="J2762" s="1087"/>
      <c r="K2762" s="1087"/>
      <c r="L2762" s="1088"/>
      <c r="M2762" s="173"/>
      <c r="N2762" s="208"/>
      <c r="O2762" s="208"/>
      <c r="P2762" s="218"/>
      <c r="Q2762" s="68"/>
      <c r="R2762" s="217"/>
      <c r="S2762" s="208"/>
    </row>
    <row r="2763" spans="1:25" ht="30" customHeight="1" x14ac:dyDescent="0.35">
      <c r="A2763" s="465" t="s">
        <v>278</v>
      </c>
      <c r="B2763" s="539">
        <v>7142</v>
      </c>
      <c r="C2763" s="1017" t="s">
        <v>1331</v>
      </c>
      <c r="D2763" s="1018"/>
      <c r="E2763" s="541" t="s">
        <v>280</v>
      </c>
      <c r="F2763" s="542" t="s">
        <v>8</v>
      </c>
      <c r="G2763" s="543" t="s">
        <v>285</v>
      </c>
      <c r="H2763" s="587">
        <v>287</v>
      </c>
      <c r="I2763" s="541" t="s">
        <v>281</v>
      </c>
      <c r="J2763" s="1019" t="s">
        <v>2371</v>
      </c>
      <c r="K2763" s="1019"/>
      <c r="L2763" s="1020"/>
      <c r="M2763" s="173"/>
      <c r="O2763" s="203"/>
      <c r="P2763" s="218"/>
      <c r="Q2763" s="68"/>
      <c r="R2763" s="217"/>
    </row>
    <row r="2764" spans="1:25" s="208" customFormat="1" ht="30" customHeight="1" x14ac:dyDescent="0.35">
      <c r="A2764" s="588" t="s">
        <v>298</v>
      </c>
      <c r="B2764" s="1038" t="s">
        <v>321</v>
      </c>
      <c r="C2764" s="1039"/>
      <c r="D2764" s="1040"/>
      <c r="E2764" s="23" t="s">
        <v>290</v>
      </c>
      <c r="F2764" s="23" t="s">
        <v>322</v>
      </c>
      <c r="G2764" s="1034" t="s">
        <v>323</v>
      </c>
      <c r="H2764" s="1035"/>
      <c r="I2764" s="509" t="s">
        <v>299</v>
      </c>
      <c r="J2764" s="509"/>
      <c r="K2764" s="1012" t="s">
        <v>292</v>
      </c>
      <c r="L2764" s="1013"/>
      <c r="M2764" s="173"/>
      <c r="N2764" s="68"/>
      <c r="O2764" s="203"/>
      <c r="P2764" s="218"/>
      <c r="Q2764" s="68"/>
      <c r="R2764" s="217"/>
      <c r="S2764" s="203"/>
      <c r="T2764" s="203"/>
      <c r="U2764" s="203"/>
      <c r="V2764" s="203"/>
      <c r="W2764" s="203"/>
      <c r="X2764" s="203"/>
      <c r="Y2764" s="203"/>
    </row>
    <row r="2765" spans="1:25" ht="30" customHeight="1" x14ac:dyDescent="0.35">
      <c r="A2765" s="241" t="s">
        <v>1332</v>
      </c>
      <c r="B2765" s="1031" t="s">
        <v>1333</v>
      </c>
      <c r="C2765" s="1032"/>
      <c r="D2765" s="1033"/>
      <c r="E2765" s="453">
        <f>+(13.5+24.4)/2</f>
        <v>18.95</v>
      </c>
      <c r="F2765" s="3" t="s">
        <v>8</v>
      </c>
      <c r="G2765" s="496"/>
      <c r="H2765" s="498"/>
      <c r="I2765" s="446">
        <v>1.01</v>
      </c>
      <c r="J2765" s="446"/>
      <c r="K2765" s="453">
        <f>+E2765*I2765</f>
        <v>19.139499999999998</v>
      </c>
      <c r="L2765" s="243" t="s">
        <v>8</v>
      </c>
      <c r="M2765" s="173"/>
      <c r="N2765" s="68"/>
      <c r="O2765" s="171"/>
      <c r="P2765" s="216"/>
      <c r="Q2765" s="419"/>
      <c r="R2765" s="219"/>
    </row>
    <row r="2766" spans="1:25" ht="30" customHeight="1" x14ac:dyDescent="0.35">
      <c r="A2766" s="241" t="s">
        <v>1332</v>
      </c>
      <c r="B2766" s="1031" t="s">
        <v>2405</v>
      </c>
      <c r="C2766" s="1032"/>
      <c r="D2766" s="1032"/>
      <c r="E2766" s="453">
        <v>4.1500000000000004</v>
      </c>
      <c r="F2766" s="639" t="s">
        <v>8</v>
      </c>
      <c r="G2766" s="496"/>
      <c r="H2766" s="498"/>
      <c r="I2766" s="446">
        <v>1.01</v>
      </c>
      <c r="J2766" s="446"/>
      <c r="K2766" s="453">
        <f>+E2766*I2766</f>
        <v>4.1915000000000004</v>
      </c>
      <c r="L2766" s="243" t="s">
        <v>8</v>
      </c>
      <c r="M2766" s="173"/>
      <c r="N2766" s="63"/>
      <c r="O2766" s="171"/>
      <c r="P2766" s="216"/>
      <c r="Q2766" s="419"/>
      <c r="R2766" s="219"/>
      <c r="T2766" s="51"/>
      <c r="U2766" s="171"/>
    </row>
    <row r="2767" spans="1:25" ht="30" customHeight="1" x14ac:dyDescent="0.35">
      <c r="A2767" s="832"/>
      <c r="B2767" s="1102"/>
      <c r="C2767" s="1102"/>
      <c r="D2767" s="1102"/>
      <c r="E2767" s="453"/>
      <c r="F2767" s="446"/>
      <c r="G2767" s="454"/>
      <c r="H2767" s="446"/>
      <c r="I2767" s="446"/>
      <c r="J2767" s="446" t="s">
        <v>335</v>
      </c>
      <c r="K2767" s="453">
        <f>SUM(K2765:K2766)</f>
        <v>23.331</v>
      </c>
      <c r="L2767" s="243" t="s">
        <v>8</v>
      </c>
      <c r="M2767" s="173"/>
      <c r="N2767" s="63"/>
      <c r="O2767" s="203"/>
      <c r="P2767" s="218"/>
      <c r="Q2767" s="68"/>
      <c r="R2767" s="217"/>
      <c r="T2767" s="51"/>
      <c r="U2767" s="171"/>
    </row>
    <row r="2768" spans="1:25" ht="30" customHeight="1" x14ac:dyDescent="0.35">
      <c r="A2768" s="241"/>
      <c r="B2768" s="506"/>
      <c r="C2768" s="506"/>
      <c r="D2768" s="506"/>
      <c r="E2768" s="453"/>
      <c r="F2768" s="1029" t="s">
        <v>302</v>
      </c>
      <c r="G2768" s="1058" t="s">
        <v>303</v>
      </c>
      <c r="H2768" s="1058"/>
      <c r="I2768" s="1058"/>
      <c r="J2768" s="1058"/>
      <c r="K2768" s="612">
        <v>1.07</v>
      </c>
      <c r="L2768" s="243"/>
      <c r="M2768" s="173"/>
      <c r="N2768" s="68"/>
      <c r="P2768" s="171"/>
      <c r="Q2768" s="171"/>
      <c r="R2768" s="171"/>
      <c r="S2768" s="51"/>
      <c r="T2768" s="51"/>
      <c r="U2768" s="171"/>
    </row>
    <row r="2769" spans="1:25" ht="30" customHeight="1" x14ac:dyDescent="0.35">
      <c r="A2769" s="241"/>
      <c r="B2769" s="506"/>
      <c r="C2769" s="506"/>
      <c r="D2769" s="506"/>
      <c r="E2769" s="453"/>
      <c r="F2769" s="1030"/>
      <c r="G2769" s="1073" t="s">
        <v>2374</v>
      </c>
      <c r="H2769" s="1073"/>
      <c r="I2769" s="1073"/>
      <c r="J2769" s="1073"/>
      <c r="K2769" s="612">
        <v>1.08</v>
      </c>
      <c r="L2769" s="243"/>
      <c r="M2769" s="173"/>
      <c r="N2769" s="68"/>
      <c r="P2769" s="171"/>
      <c r="Q2769" s="171"/>
      <c r="R2769" s="171"/>
      <c r="S2769" s="51"/>
      <c r="T2769" s="208"/>
      <c r="U2769" s="208"/>
      <c r="V2769" s="208"/>
      <c r="W2769" s="208"/>
      <c r="X2769" s="208"/>
      <c r="Y2769" s="27"/>
    </row>
    <row r="2770" spans="1:25" ht="30" customHeight="1" x14ac:dyDescent="0.35">
      <c r="A2770" s="241"/>
      <c r="B2770" s="446"/>
      <c r="C2770" s="458"/>
      <c r="D2770" s="458"/>
      <c r="E2770" s="458"/>
      <c r="F2770" s="458"/>
      <c r="G2770" s="458"/>
      <c r="H2770" s="458"/>
      <c r="I2770" s="458"/>
      <c r="J2770" s="458" t="s">
        <v>2356</v>
      </c>
      <c r="K2770" s="591">
        <f>+K2767*K2768/K2769</f>
        <v>23.114972222222221</v>
      </c>
      <c r="L2770" s="243" t="s">
        <v>8</v>
      </c>
      <c r="M2770" s="173"/>
      <c r="N2770" s="27"/>
      <c r="O2770" s="207"/>
      <c r="P2770" s="27"/>
      <c r="Q2770" s="27"/>
      <c r="R2770" s="27"/>
      <c r="S2770" s="27"/>
      <c r="Y2770" s="208"/>
    </row>
    <row r="2771" spans="1:25" ht="30" customHeight="1" thickBot="1" x14ac:dyDescent="0.4">
      <c r="A2771" s="241"/>
      <c r="B2771" s="446"/>
      <c r="C2771" s="458"/>
      <c r="D2771" s="458"/>
      <c r="E2771" s="458"/>
      <c r="F2771" s="458"/>
      <c r="G2771" s="592" t="s">
        <v>2358</v>
      </c>
      <c r="H2771" s="458"/>
      <c r="I2771" s="458"/>
      <c r="J2771" s="583">
        <f>VLOOKUP(B2763,'Mil Cost Premiums for PUCs'!$A$4:$R$272,18,FALSE)</f>
        <v>1.0209999999999999</v>
      </c>
      <c r="K2771" s="591">
        <f>+K2770*J2771</f>
        <v>23.600386638888885</v>
      </c>
      <c r="L2771" s="243" t="s">
        <v>8</v>
      </c>
      <c r="M2771" s="173"/>
      <c r="N2771" s="208"/>
      <c r="P2771" s="208"/>
      <c r="Q2771" s="208"/>
      <c r="R2771" s="208"/>
      <c r="S2771" s="208"/>
      <c r="T2771" s="51"/>
      <c r="U2771" s="171"/>
    </row>
    <row r="2772" spans="1:25" s="27" customFormat="1" ht="30" customHeight="1" thickBot="1" x14ac:dyDescent="0.4">
      <c r="A2772" s="1086"/>
      <c r="B2772" s="1087"/>
      <c r="C2772" s="1087"/>
      <c r="D2772" s="1087"/>
      <c r="E2772" s="1087"/>
      <c r="F2772" s="1087"/>
      <c r="G2772" s="1087"/>
      <c r="H2772" s="1087"/>
      <c r="I2772" s="1087"/>
      <c r="J2772" s="1087"/>
      <c r="K2772" s="1087"/>
      <c r="L2772" s="1088"/>
      <c r="M2772" s="173"/>
      <c r="N2772" s="419"/>
      <c r="O2772" s="205"/>
      <c r="P2772" s="203"/>
      <c r="Q2772" s="203"/>
      <c r="R2772" s="203"/>
      <c r="S2772" s="203"/>
      <c r="Y2772" s="203"/>
    </row>
    <row r="2773" spans="1:25" s="208" customFormat="1" ht="30" customHeight="1" x14ac:dyDescent="0.35">
      <c r="A2773" s="465" t="s">
        <v>278</v>
      </c>
      <c r="B2773" s="539">
        <v>7143</v>
      </c>
      <c r="C2773" s="1060" t="s">
        <v>1335</v>
      </c>
      <c r="D2773" s="1061"/>
      <c r="E2773" s="541" t="s">
        <v>280</v>
      </c>
      <c r="F2773" s="542" t="s">
        <v>8</v>
      </c>
      <c r="G2773" s="543" t="s">
        <v>285</v>
      </c>
      <c r="H2773" s="587">
        <v>399</v>
      </c>
      <c r="I2773" s="541" t="s">
        <v>281</v>
      </c>
      <c r="J2773" s="1019" t="s">
        <v>2371</v>
      </c>
      <c r="K2773" s="1019"/>
      <c r="L2773" s="1020"/>
      <c r="M2773" s="173"/>
      <c r="N2773" s="68"/>
      <c r="O2773" s="205"/>
      <c r="P2773" s="171"/>
      <c r="Q2773" s="171"/>
      <c r="R2773" s="171"/>
      <c r="S2773" s="51"/>
      <c r="Y2773" s="27"/>
    </row>
    <row r="2774" spans="1:25" ht="30" customHeight="1" x14ac:dyDescent="0.35">
      <c r="A2774" s="588" t="s">
        <v>298</v>
      </c>
      <c r="B2774" s="1038" t="s">
        <v>321</v>
      </c>
      <c r="C2774" s="1039"/>
      <c r="D2774" s="1040"/>
      <c r="E2774" s="23" t="s">
        <v>290</v>
      </c>
      <c r="F2774" s="23" t="s">
        <v>322</v>
      </c>
      <c r="G2774" s="1034" t="s">
        <v>323</v>
      </c>
      <c r="H2774" s="1035"/>
      <c r="I2774" s="509" t="s">
        <v>299</v>
      </c>
      <c r="J2774" s="509"/>
      <c r="K2774" s="1012" t="s">
        <v>292</v>
      </c>
      <c r="L2774" s="1013"/>
      <c r="M2774" s="173"/>
      <c r="N2774" s="68"/>
      <c r="O2774" s="207"/>
      <c r="P2774" s="27"/>
      <c r="Q2774" s="27"/>
      <c r="R2774" s="27"/>
      <c r="S2774" s="27"/>
      <c r="Y2774" s="208"/>
    </row>
    <row r="2775" spans="1:25" ht="30" customHeight="1" x14ac:dyDescent="0.35">
      <c r="A2775" s="241" t="s">
        <v>1336</v>
      </c>
      <c r="B2775" s="1031" t="s">
        <v>1337</v>
      </c>
      <c r="C2775" s="1032"/>
      <c r="D2775" s="1033"/>
      <c r="E2775" s="453">
        <v>27.5</v>
      </c>
      <c r="F2775" s="3" t="s">
        <v>8</v>
      </c>
      <c r="G2775" s="496"/>
      <c r="H2775" s="498"/>
      <c r="I2775" s="665">
        <v>1.06</v>
      </c>
      <c r="J2775" s="446"/>
      <c r="K2775" s="453">
        <f>+E2775*I2775</f>
        <v>29.150000000000002</v>
      </c>
      <c r="L2775" s="243" t="s">
        <v>8</v>
      </c>
      <c r="M2775" s="173"/>
      <c r="N2775" s="68"/>
      <c r="P2775" s="208"/>
      <c r="Q2775" s="208"/>
      <c r="R2775" s="208"/>
      <c r="S2775" s="208"/>
      <c r="T2775" s="51"/>
      <c r="U2775" s="171"/>
    </row>
    <row r="2776" spans="1:25" s="27" customFormat="1" ht="30" customHeight="1" x14ac:dyDescent="0.35">
      <c r="A2776" s="241" t="s">
        <v>360</v>
      </c>
      <c r="B2776" s="1102" t="s">
        <v>1338</v>
      </c>
      <c r="C2776" s="1102"/>
      <c r="D2776" s="1102"/>
      <c r="E2776" s="453">
        <v>4.1500000000000004</v>
      </c>
      <c r="F2776" s="446" t="s">
        <v>8</v>
      </c>
      <c r="G2776" s="446"/>
      <c r="H2776" s="446"/>
      <c r="I2776" s="446">
        <v>1.04</v>
      </c>
      <c r="J2776" s="446"/>
      <c r="K2776" s="453">
        <f>+E2776*I2776</f>
        <v>4.3160000000000007</v>
      </c>
      <c r="L2776" s="243" t="s">
        <v>8</v>
      </c>
      <c r="M2776" s="173"/>
      <c r="N2776" s="203"/>
      <c r="O2776" s="205"/>
      <c r="P2776" s="203"/>
      <c r="Q2776" s="203"/>
      <c r="R2776" s="203"/>
      <c r="S2776" s="203"/>
      <c r="T2776" s="51"/>
      <c r="U2776" s="171"/>
      <c r="V2776" s="203"/>
      <c r="W2776" s="203"/>
      <c r="X2776" s="203"/>
      <c r="Y2776" s="203"/>
    </row>
    <row r="2777" spans="1:25" s="208" customFormat="1" ht="30" customHeight="1" x14ac:dyDescent="0.35">
      <c r="A2777" s="832"/>
      <c r="B2777" s="1102"/>
      <c r="C2777" s="1102"/>
      <c r="D2777" s="1102"/>
      <c r="E2777" s="453"/>
      <c r="F2777" s="446"/>
      <c r="G2777" s="454"/>
      <c r="H2777" s="446"/>
      <c r="I2777" s="446"/>
      <c r="J2777" s="446" t="s">
        <v>335</v>
      </c>
      <c r="K2777" s="453">
        <f>SUM(K2775:K2776)</f>
        <v>33.466000000000001</v>
      </c>
      <c r="L2777" s="243" t="s">
        <v>8</v>
      </c>
      <c r="M2777" s="173"/>
      <c r="N2777" s="203"/>
      <c r="O2777" s="205"/>
      <c r="P2777" s="171"/>
      <c r="Q2777" s="171"/>
      <c r="R2777" s="171"/>
      <c r="S2777" s="51"/>
      <c r="T2777" s="27"/>
      <c r="U2777" s="27"/>
      <c r="V2777" s="27"/>
      <c r="W2777" s="27"/>
      <c r="X2777" s="27"/>
      <c r="Y2777" s="203"/>
    </row>
    <row r="2778" spans="1:25" ht="30" customHeight="1" x14ac:dyDescent="0.35">
      <c r="A2778" s="241"/>
      <c r="B2778" s="506"/>
      <c r="C2778" s="506"/>
      <c r="D2778" s="506"/>
      <c r="E2778" s="453"/>
      <c r="F2778" s="1029" t="s">
        <v>302</v>
      </c>
      <c r="G2778" s="1058" t="s">
        <v>303</v>
      </c>
      <c r="H2778" s="1058"/>
      <c r="I2778" s="1058"/>
      <c r="J2778" s="1058"/>
      <c r="K2778" s="612">
        <v>1.07</v>
      </c>
      <c r="L2778" s="243"/>
      <c r="M2778" s="173"/>
      <c r="P2778" s="171"/>
      <c r="Q2778" s="171"/>
      <c r="R2778" s="171"/>
      <c r="S2778" s="51"/>
      <c r="T2778" s="208"/>
      <c r="U2778" s="208"/>
      <c r="V2778" s="208"/>
      <c r="W2778" s="208"/>
      <c r="X2778" s="208"/>
      <c r="Y2778" s="27"/>
    </row>
    <row r="2779" spans="1:25" ht="30" customHeight="1" x14ac:dyDescent="0.35">
      <c r="A2779" s="241"/>
      <c r="B2779" s="506"/>
      <c r="C2779" s="506"/>
      <c r="D2779" s="506"/>
      <c r="E2779" s="453"/>
      <c r="F2779" s="1030"/>
      <c r="G2779" s="1073" t="s">
        <v>2374</v>
      </c>
      <c r="H2779" s="1073"/>
      <c r="I2779" s="1073"/>
      <c r="J2779" s="1073"/>
      <c r="K2779" s="612">
        <v>1.08</v>
      </c>
      <c r="L2779" s="243"/>
      <c r="M2779" s="173"/>
      <c r="N2779" s="208"/>
      <c r="O2779" s="207"/>
      <c r="P2779" s="27"/>
      <c r="Q2779" s="27"/>
      <c r="R2779" s="27"/>
      <c r="S2779" s="27"/>
      <c r="Y2779" s="208"/>
    </row>
    <row r="2780" spans="1:25" ht="30" customHeight="1" x14ac:dyDescent="0.35">
      <c r="A2780" s="241"/>
      <c r="B2780" s="446"/>
      <c r="C2780" s="458"/>
      <c r="D2780" s="458"/>
      <c r="E2780" s="458"/>
      <c r="F2780" s="458"/>
      <c r="G2780" s="458"/>
      <c r="H2780" s="458"/>
      <c r="I2780" s="458"/>
      <c r="J2780" s="458" t="s">
        <v>2356</v>
      </c>
      <c r="K2780" s="591">
        <f>+K2777*K2778/K2779</f>
        <v>33.156129629629632</v>
      </c>
      <c r="L2780" s="243" t="s">
        <v>8</v>
      </c>
      <c r="M2780" s="173"/>
      <c r="N2780" s="214"/>
      <c r="P2780" s="208"/>
      <c r="Q2780" s="208"/>
      <c r="R2780" s="208"/>
      <c r="S2780" s="208"/>
      <c r="T2780" s="51"/>
      <c r="U2780" s="171"/>
    </row>
    <row r="2781" spans="1:25" s="27" customFormat="1" ht="30" customHeight="1" thickBot="1" x14ac:dyDescent="0.4">
      <c r="A2781" s="241"/>
      <c r="B2781" s="446"/>
      <c r="C2781" s="458"/>
      <c r="D2781" s="458"/>
      <c r="E2781" s="458"/>
      <c r="F2781" s="458"/>
      <c r="G2781" s="592" t="s">
        <v>2358</v>
      </c>
      <c r="H2781" s="458"/>
      <c r="I2781" s="458"/>
      <c r="J2781" s="583">
        <f>VLOOKUP(B2773,'Mil Cost Premiums for PUCs'!$A$4:$R$272,18,FALSE)</f>
        <v>1.0209999999999999</v>
      </c>
      <c r="K2781" s="591">
        <f>+K2780*J2781</f>
        <v>33.852408351851849</v>
      </c>
      <c r="L2781" s="243" t="s">
        <v>8</v>
      </c>
      <c r="M2781" s="173"/>
      <c r="N2781" s="203"/>
      <c r="O2781" s="205"/>
      <c r="P2781" s="203"/>
      <c r="Q2781" s="203"/>
      <c r="R2781" s="203"/>
      <c r="S2781" s="203"/>
      <c r="T2781" s="51"/>
      <c r="U2781" s="171"/>
      <c r="V2781" s="203"/>
      <c r="W2781" s="203"/>
      <c r="X2781" s="203"/>
      <c r="Y2781" s="203"/>
    </row>
    <row r="2782" spans="1:25" s="208" customFormat="1" ht="30" customHeight="1" thickBot="1" x14ac:dyDescent="0.4">
      <c r="A2782" s="1086"/>
      <c r="B2782" s="1087"/>
      <c r="C2782" s="1087"/>
      <c r="D2782" s="1087"/>
      <c r="E2782" s="1087"/>
      <c r="F2782" s="1087"/>
      <c r="G2782" s="1087"/>
      <c r="H2782" s="1087"/>
      <c r="I2782" s="1087"/>
      <c r="J2782" s="1087"/>
      <c r="K2782" s="1087"/>
      <c r="L2782" s="1088"/>
      <c r="M2782" s="173"/>
      <c r="N2782" s="203"/>
      <c r="O2782" s="205"/>
      <c r="P2782" s="171"/>
      <c r="Q2782" s="171"/>
      <c r="R2782" s="171"/>
      <c r="S2782" s="51"/>
      <c r="T2782" s="27"/>
      <c r="U2782" s="27"/>
      <c r="V2782" s="27"/>
      <c r="W2782" s="27"/>
      <c r="X2782" s="27"/>
      <c r="Y2782" s="203"/>
    </row>
    <row r="2783" spans="1:25" ht="30" customHeight="1" x14ac:dyDescent="0.35">
      <c r="A2783" s="465" t="s">
        <v>278</v>
      </c>
      <c r="B2783" s="539">
        <v>7145</v>
      </c>
      <c r="C2783" s="1017" t="s">
        <v>1339</v>
      </c>
      <c r="D2783" s="1018"/>
      <c r="E2783" s="541" t="s">
        <v>280</v>
      </c>
      <c r="F2783" s="542" t="s">
        <v>8</v>
      </c>
      <c r="G2783" s="543" t="s">
        <v>285</v>
      </c>
      <c r="H2783" s="632">
        <v>2809</v>
      </c>
      <c r="I2783" s="541" t="s">
        <v>281</v>
      </c>
      <c r="J2783" s="1019" t="s">
        <v>2371</v>
      </c>
      <c r="K2783" s="1019"/>
      <c r="L2783" s="1020"/>
      <c r="M2783" s="173"/>
      <c r="P2783" s="171"/>
      <c r="Q2783" s="171"/>
      <c r="R2783" s="171"/>
      <c r="S2783" s="51"/>
      <c r="T2783" s="208"/>
      <c r="U2783" s="208"/>
      <c r="V2783" s="208"/>
      <c r="W2783" s="208"/>
      <c r="X2783" s="208"/>
      <c r="Y2783" s="27"/>
    </row>
    <row r="2784" spans="1:25" ht="30" customHeight="1" x14ac:dyDescent="0.35">
      <c r="A2784" s="588" t="s">
        <v>298</v>
      </c>
      <c r="B2784" s="1038" t="s">
        <v>321</v>
      </c>
      <c r="C2784" s="1039"/>
      <c r="D2784" s="1040"/>
      <c r="E2784" s="23" t="s">
        <v>290</v>
      </c>
      <c r="F2784" s="23" t="s">
        <v>322</v>
      </c>
      <c r="G2784" s="1034" t="s">
        <v>323</v>
      </c>
      <c r="H2784" s="1035"/>
      <c r="I2784" s="509" t="s">
        <v>299</v>
      </c>
      <c r="J2784" s="509"/>
      <c r="K2784" s="1012" t="s">
        <v>292</v>
      </c>
      <c r="L2784" s="1013"/>
      <c r="M2784" s="173"/>
      <c r="N2784" s="208"/>
      <c r="O2784" s="207"/>
      <c r="P2784" s="27"/>
      <c r="Q2784" s="27"/>
      <c r="R2784" s="27"/>
      <c r="S2784" s="27"/>
      <c r="Y2784" s="208"/>
    </row>
    <row r="2785" spans="1:25" ht="30" customHeight="1" x14ac:dyDescent="0.35">
      <c r="A2785" s="241" t="s">
        <v>1340</v>
      </c>
      <c r="B2785" s="1031" t="s">
        <v>1341</v>
      </c>
      <c r="C2785" s="1032"/>
      <c r="D2785" s="1033"/>
      <c r="E2785" s="453">
        <v>118</v>
      </c>
      <c r="F2785" s="3" t="s">
        <v>8</v>
      </c>
      <c r="G2785" s="496"/>
      <c r="H2785" s="498"/>
      <c r="I2785" s="446">
        <v>1.05</v>
      </c>
      <c r="J2785" s="446"/>
      <c r="K2785" s="453">
        <f>+E2785*I2785</f>
        <v>123.9</v>
      </c>
      <c r="L2785" s="243" t="s">
        <v>8</v>
      </c>
      <c r="M2785" s="173"/>
      <c r="N2785" s="214"/>
      <c r="P2785" s="208"/>
      <c r="Q2785" s="208"/>
      <c r="R2785" s="208"/>
      <c r="S2785" s="208"/>
    </row>
    <row r="2786" spans="1:25" s="27" customFormat="1" ht="30" customHeight="1" x14ac:dyDescent="0.35">
      <c r="A2786" s="241" t="s">
        <v>397</v>
      </c>
      <c r="B2786" s="1102" t="s">
        <v>1380</v>
      </c>
      <c r="C2786" s="1102"/>
      <c r="D2786" s="1102"/>
      <c r="E2786" s="453">
        <v>4.8600000000000003</v>
      </c>
      <c r="F2786" s="446" t="s">
        <v>8</v>
      </c>
      <c r="G2786" s="446"/>
      <c r="H2786" s="446"/>
      <c r="I2786" s="446">
        <v>1.05</v>
      </c>
      <c r="J2786" s="446"/>
      <c r="K2786" s="453">
        <f>+E2786*I2786</f>
        <v>5.1030000000000006</v>
      </c>
      <c r="L2786" s="243" t="s">
        <v>8</v>
      </c>
      <c r="M2786" s="173"/>
      <c r="N2786" s="203"/>
      <c r="O2786" s="205"/>
      <c r="P2786" s="203"/>
      <c r="Q2786" s="203"/>
      <c r="R2786" s="203"/>
      <c r="S2786" s="203"/>
      <c r="T2786" s="203"/>
      <c r="U2786" s="203"/>
      <c r="V2786" s="203"/>
      <c r="W2786" s="203"/>
      <c r="X2786" s="203"/>
      <c r="Y2786" s="203"/>
    </row>
    <row r="2787" spans="1:25" s="208" customFormat="1" ht="30" customHeight="1" x14ac:dyDescent="0.35">
      <c r="A2787" s="832"/>
      <c r="B2787" s="1102"/>
      <c r="C2787" s="1102"/>
      <c r="D2787" s="1102"/>
      <c r="E2787" s="453"/>
      <c r="F2787" s="446"/>
      <c r="G2787" s="454"/>
      <c r="H2787" s="446"/>
      <c r="I2787" s="446"/>
      <c r="J2787" s="446" t="s">
        <v>335</v>
      </c>
      <c r="K2787" s="453">
        <f>SUM(K2785:K2786)</f>
        <v>129.00300000000001</v>
      </c>
      <c r="L2787" s="243" t="s">
        <v>8</v>
      </c>
      <c r="M2787" s="173"/>
      <c r="N2787" s="203"/>
      <c r="O2787" s="203"/>
      <c r="P2787" s="218"/>
      <c r="Q2787" s="68"/>
      <c r="R2787" s="217"/>
      <c r="S2787" s="203"/>
      <c r="T2787" s="203"/>
      <c r="U2787" s="203"/>
      <c r="V2787" s="203"/>
      <c r="W2787" s="203"/>
      <c r="X2787" s="203"/>
      <c r="Y2787" s="203"/>
    </row>
    <row r="2788" spans="1:25" ht="30" customHeight="1" x14ac:dyDescent="0.35">
      <c r="A2788" s="241"/>
      <c r="B2788" s="506"/>
      <c r="C2788" s="506"/>
      <c r="D2788" s="506"/>
      <c r="E2788" s="453"/>
      <c r="F2788" s="1029" t="s">
        <v>302</v>
      </c>
      <c r="G2788" s="1058" t="s">
        <v>303</v>
      </c>
      <c r="H2788" s="1058"/>
      <c r="I2788" s="1058"/>
      <c r="J2788" s="1058"/>
      <c r="K2788" s="612">
        <v>1.07</v>
      </c>
      <c r="L2788" s="243"/>
      <c r="M2788" s="173"/>
      <c r="O2788" s="203"/>
      <c r="P2788" s="218"/>
      <c r="Q2788" s="68"/>
      <c r="R2788" s="217"/>
      <c r="T2788" s="208"/>
      <c r="U2788" s="208"/>
      <c r="V2788" s="208"/>
      <c r="W2788" s="208"/>
      <c r="X2788" s="208"/>
    </row>
    <row r="2789" spans="1:25" ht="30" customHeight="1" x14ac:dyDescent="0.35">
      <c r="A2789" s="241"/>
      <c r="B2789" s="506"/>
      <c r="C2789" s="506"/>
      <c r="D2789" s="506"/>
      <c r="E2789" s="453"/>
      <c r="F2789" s="1030"/>
      <c r="G2789" s="1073" t="s">
        <v>2374</v>
      </c>
      <c r="H2789" s="1073"/>
      <c r="I2789" s="1073"/>
      <c r="J2789" s="1073"/>
      <c r="K2789" s="612">
        <v>1.08</v>
      </c>
      <c r="L2789" s="243"/>
      <c r="M2789" s="173"/>
      <c r="N2789" s="208"/>
      <c r="O2789" s="203"/>
      <c r="P2789" s="218"/>
      <c r="Q2789" s="68"/>
      <c r="R2789" s="217"/>
      <c r="Y2789" s="208"/>
    </row>
    <row r="2790" spans="1:25" ht="30" customHeight="1" x14ac:dyDescent="0.35">
      <c r="A2790" s="241"/>
      <c r="B2790" s="446"/>
      <c r="C2790" s="458"/>
      <c r="D2790" s="458"/>
      <c r="E2790" s="458"/>
      <c r="F2790" s="458"/>
      <c r="G2790" s="458"/>
      <c r="H2790" s="458"/>
      <c r="I2790" s="458"/>
      <c r="J2790" s="446" t="s">
        <v>2356</v>
      </c>
      <c r="K2790" s="591">
        <f>+K2787*K2788/K2789</f>
        <v>127.8085277777778</v>
      </c>
      <c r="L2790" s="243" t="s">
        <v>8</v>
      </c>
      <c r="M2790" s="173"/>
      <c r="N2790" s="214"/>
      <c r="O2790" s="208"/>
      <c r="P2790" s="218"/>
      <c r="Q2790" s="68"/>
      <c r="R2790" s="217"/>
      <c r="S2790" s="208"/>
    </row>
    <row r="2791" spans="1:25" ht="30" customHeight="1" thickBot="1" x14ac:dyDescent="0.4">
      <c r="A2791" s="241"/>
      <c r="B2791" s="446"/>
      <c r="C2791" s="458"/>
      <c r="D2791" s="458"/>
      <c r="E2791" s="458"/>
      <c r="F2791" s="458"/>
      <c r="G2791" s="592" t="s">
        <v>2358</v>
      </c>
      <c r="H2791" s="458"/>
      <c r="I2791" s="458"/>
      <c r="J2791" s="583">
        <f>VLOOKUP(B2783,'Mil Cost Premiums for PUCs'!$A$4:$R$272,18,FALSE)</f>
        <v>1.0209999999999999</v>
      </c>
      <c r="K2791" s="591">
        <f>+K2790*J2791</f>
        <v>130.49250686111111</v>
      </c>
      <c r="L2791" s="243" t="s">
        <v>8</v>
      </c>
      <c r="M2791" s="173"/>
      <c r="O2791" s="203"/>
      <c r="P2791" s="218"/>
      <c r="Q2791" s="68"/>
      <c r="R2791" s="217"/>
    </row>
    <row r="2792" spans="1:25" s="208" customFormat="1" ht="30" customHeight="1" thickBot="1" x14ac:dyDescent="0.4">
      <c r="A2792" s="1086"/>
      <c r="B2792" s="1087"/>
      <c r="C2792" s="1087"/>
      <c r="D2792" s="1087"/>
      <c r="E2792" s="1087"/>
      <c r="F2792" s="1087"/>
      <c r="G2792" s="1087"/>
      <c r="H2792" s="1087"/>
      <c r="I2792" s="1087"/>
      <c r="J2792" s="1087"/>
      <c r="K2792" s="1087"/>
      <c r="L2792" s="1088"/>
      <c r="M2792" s="173"/>
      <c r="N2792" s="203"/>
      <c r="O2792" s="203"/>
      <c r="P2792" s="218"/>
      <c r="Q2792" s="68"/>
      <c r="R2792" s="217"/>
      <c r="S2792" s="203"/>
      <c r="T2792" s="203"/>
      <c r="U2792" s="203"/>
      <c r="V2792" s="203"/>
      <c r="W2792" s="203"/>
      <c r="X2792" s="203"/>
      <c r="Y2792" s="203"/>
    </row>
    <row r="2793" spans="1:25" ht="30" customHeight="1" x14ac:dyDescent="0.35">
      <c r="A2793" s="465" t="s">
        <v>278</v>
      </c>
      <c r="B2793" s="539">
        <v>7147</v>
      </c>
      <c r="C2793" s="1017" t="s">
        <v>1342</v>
      </c>
      <c r="D2793" s="1018"/>
      <c r="E2793" s="541" t="s">
        <v>280</v>
      </c>
      <c r="F2793" s="542" t="s">
        <v>8</v>
      </c>
      <c r="G2793" s="543" t="s">
        <v>285</v>
      </c>
      <c r="H2793" s="587">
        <v>544</v>
      </c>
      <c r="I2793" s="541" t="s">
        <v>281</v>
      </c>
      <c r="J2793" s="1019" t="s">
        <v>2371</v>
      </c>
      <c r="K2793" s="1019"/>
      <c r="L2793" s="1020"/>
      <c r="M2793" s="173"/>
      <c r="N2793" s="13"/>
      <c r="O2793" s="203"/>
      <c r="P2793" s="218"/>
      <c r="Q2793" s="68"/>
      <c r="R2793" s="217"/>
    </row>
    <row r="2794" spans="1:25" ht="30" customHeight="1" x14ac:dyDescent="0.35">
      <c r="A2794" s="588" t="s">
        <v>298</v>
      </c>
      <c r="B2794" s="1038" t="s">
        <v>321</v>
      </c>
      <c r="C2794" s="1039"/>
      <c r="D2794" s="1040"/>
      <c r="E2794" s="23" t="s">
        <v>290</v>
      </c>
      <c r="F2794" s="23" t="s">
        <v>322</v>
      </c>
      <c r="G2794" s="1034" t="s">
        <v>323</v>
      </c>
      <c r="H2794" s="1035"/>
      <c r="I2794" s="509" t="s">
        <v>299</v>
      </c>
      <c r="J2794" s="509"/>
      <c r="K2794" s="1012" t="s">
        <v>292</v>
      </c>
      <c r="L2794" s="1013"/>
      <c r="M2794" s="173"/>
      <c r="N2794" s="208"/>
      <c r="O2794" s="203"/>
      <c r="P2794" s="218"/>
      <c r="Q2794" s="68"/>
      <c r="R2794" s="217"/>
    </row>
    <row r="2795" spans="1:25" ht="30" customHeight="1" x14ac:dyDescent="0.35">
      <c r="A2795" s="832" t="s">
        <v>1332</v>
      </c>
      <c r="B2795" s="1031" t="s">
        <v>1343</v>
      </c>
      <c r="C2795" s="1032"/>
      <c r="D2795" s="1033"/>
      <c r="E2795" s="453">
        <f>+(8.31+16.7)/2</f>
        <v>12.504999999999999</v>
      </c>
      <c r="F2795" s="3" t="s">
        <v>8</v>
      </c>
      <c r="G2795" s="496"/>
      <c r="H2795" s="498"/>
      <c r="I2795" s="446">
        <v>1.01</v>
      </c>
      <c r="J2795" s="446"/>
      <c r="K2795" s="453">
        <f>+E2795*I2795</f>
        <v>12.630049999999999</v>
      </c>
      <c r="L2795" s="243" t="s">
        <v>8</v>
      </c>
      <c r="M2795" s="173"/>
      <c r="N2795" s="214"/>
      <c r="O2795" s="203"/>
      <c r="P2795" s="218"/>
      <c r="Q2795" s="68"/>
      <c r="R2795" s="217"/>
    </row>
    <row r="2796" spans="1:25" ht="30" customHeight="1" x14ac:dyDescent="0.35">
      <c r="A2796" s="832" t="s">
        <v>1332</v>
      </c>
      <c r="B2796" s="1082" t="s">
        <v>1344</v>
      </c>
      <c r="C2796" s="1083"/>
      <c r="D2796" s="1093"/>
      <c r="E2796" s="453">
        <f>(5.81+9.95)/2</f>
        <v>7.879999999999999</v>
      </c>
      <c r="F2796" s="3" t="s">
        <v>8</v>
      </c>
      <c r="G2796" s="496"/>
      <c r="H2796" s="498"/>
      <c r="I2796" s="446">
        <v>1.01</v>
      </c>
      <c r="J2796" s="446"/>
      <c r="K2796" s="453">
        <f>+E2796*I2796</f>
        <v>7.9587999999999992</v>
      </c>
      <c r="L2796" s="243"/>
      <c r="M2796" s="173"/>
      <c r="O2796" s="203"/>
      <c r="P2796" s="218"/>
      <c r="Q2796" s="68"/>
      <c r="R2796" s="217"/>
    </row>
    <row r="2797" spans="1:25" ht="30" customHeight="1" x14ac:dyDescent="0.35">
      <c r="A2797" s="832"/>
      <c r="B2797" s="1102"/>
      <c r="C2797" s="1102"/>
      <c r="D2797" s="1102"/>
      <c r="E2797" s="453"/>
      <c r="F2797" s="446"/>
      <c r="G2797" s="454"/>
      <c r="H2797" s="446"/>
      <c r="I2797" s="446"/>
      <c r="J2797" s="446" t="s">
        <v>335</v>
      </c>
      <c r="K2797" s="453">
        <f>SUM(K2795:K2796)</f>
        <v>20.588849999999997</v>
      </c>
      <c r="L2797" s="243" t="s">
        <v>8</v>
      </c>
      <c r="M2797" s="173"/>
      <c r="O2797" s="203"/>
      <c r="P2797" s="218"/>
      <c r="Q2797" s="68"/>
      <c r="R2797" s="217"/>
    </row>
    <row r="2798" spans="1:25" ht="30" customHeight="1" x14ac:dyDescent="0.35">
      <c r="A2798" s="241"/>
      <c r="B2798" s="506"/>
      <c r="C2798" s="506"/>
      <c r="D2798" s="506"/>
      <c r="E2798" s="453"/>
      <c r="F2798" s="1029" t="s">
        <v>302</v>
      </c>
      <c r="G2798" s="1058" t="s">
        <v>303</v>
      </c>
      <c r="H2798" s="1058"/>
      <c r="I2798" s="1058"/>
      <c r="J2798" s="1058"/>
      <c r="K2798" s="612">
        <v>1.07</v>
      </c>
      <c r="L2798" s="243"/>
      <c r="M2798" s="173"/>
      <c r="N2798" s="68"/>
      <c r="O2798" s="203"/>
      <c r="P2798" s="218"/>
      <c r="Q2798" s="68"/>
      <c r="R2798" s="217"/>
    </row>
    <row r="2799" spans="1:25" ht="30" customHeight="1" x14ac:dyDescent="0.35">
      <c r="A2799" s="241"/>
      <c r="B2799" s="506"/>
      <c r="C2799" s="506"/>
      <c r="D2799" s="506"/>
      <c r="E2799" s="453"/>
      <c r="F2799" s="1030"/>
      <c r="G2799" s="1073" t="s">
        <v>2374</v>
      </c>
      <c r="H2799" s="1073"/>
      <c r="I2799" s="1073"/>
      <c r="J2799" s="1073"/>
      <c r="K2799" s="612">
        <v>1.08</v>
      </c>
      <c r="L2799" s="243"/>
      <c r="M2799" s="173"/>
      <c r="N2799" s="68"/>
      <c r="O2799" s="203"/>
      <c r="P2799" s="218"/>
      <c r="Q2799" s="68"/>
      <c r="R2799" s="217"/>
    </row>
    <row r="2800" spans="1:25" ht="30" customHeight="1" x14ac:dyDescent="0.35">
      <c r="A2800" s="241"/>
      <c r="B2800" s="446"/>
      <c r="C2800" s="458"/>
      <c r="D2800" s="458"/>
      <c r="E2800" s="458"/>
      <c r="F2800" s="458"/>
      <c r="G2800" s="458"/>
      <c r="H2800" s="458"/>
      <c r="I2800" s="458"/>
      <c r="J2800" s="446" t="s">
        <v>2356</v>
      </c>
      <c r="K2800" s="591">
        <f>+K2797*K2798/K2799</f>
        <v>20.3982125</v>
      </c>
      <c r="L2800" s="243" t="s">
        <v>8</v>
      </c>
      <c r="M2800" s="173"/>
      <c r="N2800" s="68"/>
      <c r="O2800" s="203"/>
      <c r="P2800" s="218"/>
      <c r="Q2800" s="68"/>
      <c r="R2800" s="217"/>
    </row>
    <row r="2801" spans="1:25" ht="30" customHeight="1" thickBot="1" x14ac:dyDescent="0.4">
      <c r="A2801" s="241"/>
      <c r="B2801" s="446"/>
      <c r="C2801" s="458"/>
      <c r="D2801" s="458"/>
      <c r="E2801" s="458"/>
      <c r="F2801" s="458"/>
      <c r="G2801" s="592" t="s">
        <v>2358</v>
      </c>
      <c r="H2801" s="458"/>
      <c r="I2801" s="458"/>
      <c r="J2801" s="583">
        <f>VLOOKUP(B2793,'Mil Cost Premiums for PUCs'!$A$4:$R$272,18,FALSE)</f>
        <v>1.0905505199999999</v>
      </c>
      <c r="K2801" s="591">
        <f>+K2800*J2801</f>
        <v>22.245281248945496</v>
      </c>
      <c r="L2801" s="243" t="s">
        <v>8</v>
      </c>
      <c r="M2801" s="173"/>
      <c r="N2801" s="68"/>
      <c r="O2801" s="171"/>
      <c r="P2801" s="216"/>
      <c r="Q2801" s="419"/>
      <c r="R2801" s="219"/>
    </row>
    <row r="2802" spans="1:25" ht="30" customHeight="1" thickBot="1" x14ac:dyDescent="0.4">
      <c r="A2802" s="1086"/>
      <c r="B2802" s="1087"/>
      <c r="C2802" s="1087"/>
      <c r="D2802" s="1087"/>
      <c r="E2802" s="1087"/>
      <c r="F2802" s="1087"/>
      <c r="G2802" s="1087"/>
      <c r="H2802" s="1087"/>
      <c r="I2802" s="1087"/>
      <c r="J2802" s="1087"/>
      <c r="K2802" s="1087"/>
      <c r="L2802" s="1088"/>
      <c r="M2802" s="173"/>
      <c r="N2802" s="63"/>
      <c r="O2802" s="171"/>
      <c r="P2802" s="216"/>
      <c r="Q2802" s="419"/>
      <c r="R2802" s="219"/>
    </row>
    <row r="2803" spans="1:25" ht="30" customHeight="1" x14ac:dyDescent="0.35">
      <c r="A2803" s="465" t="s">
        <v>278</v>
      </c>
      <c r="B2803" s="539">
        <v>7210</v>
      </c>
      <c r="C2803" s="1060" t="s">
        <v>1345</v>
      </c>
      <c r="D2803" s="1061"/>
      <c r="E2803" s="541" t="s">
        <v>280</v>
      </c>
      <c r="F2803" s="542" t="s">
        <v>8</v>
      </c>
      <c r="G2803" s="543" t="s">
        <v>285</v>
      </c>
      <c r="H2803" s="558">
        <v>31188</v>
      </c>
      <c r="I2803" s="541" t="s">
        <v>281</v>
      </c>
      <c r="J2803" s="1019" t="s">
        <v>2637</v>
      </c>
      <c r="K2803" s="1019"/>
      <c r="L2803" s="1020"/>
      <c r="M2803" s="173"/>
      <c r="N2803" s="63"/>
      <c r="O2803" s="203"/>
      <c r="P2803" s="218"/>
      <c r="Q2803" s="68"/>
      <c r="R2803" s="217"/>
    </row>
    <row r="2804" spans="1:25" ht="30" customHeight="1" x14ac:dyDescent="0.35">
      <c r="A2804" s="545" t="s">
        <v>288</v>
      </c>
      <c r="B2804" s="1051" t="s">
        <v>282</v>
      </c>
      <c r="C2804" s="1051"/>
      <c r="D2804" s="1051"/>
      <c r="E2804" s="530" t="s">
        <v>289</v>
      </c>
      <c r="F2804" s="561" t="s">
        <v>290</v>
      </c>
      <c r="G2804" s="509"/>
      <c r="H2804" s="509"/>
      <c r="I2804" s="1052" t="s">
        <v>405</v>
      </c>
      <c r="J2804" s="1053"/>
      <c r="K2804" s="1012" t="s">
        <v>292</v>
      </c>
      <c r="L2804" s="1013"/>
      <c r="M2804" s="173"/>
      <c r="N2804" s="68"/>
      <c r="O2804" s="203"/>
      <c r="P2804" s="218"/>
      <c r="Q2804" s="68"/>
      <c r="R2804" s="217"/>
    </row>
    <row r="2805" spans="1:25" ht="30" customHeight="1" x14ac:dyDescent="0.35">
      <c r="A2805" s="562" t="s">
        <v>293</v>
      </c>
      <c r="B2805" s="1057" t="s">
        <v>1346</v>
      </c>
      <c r="C2805" s="1057"/>
      <c r="D2805" s="1057"/>
      <c r="E2805" s="563">
        <v>79000</v>
      </c>
      <c r="F2805" s="444">
        <v>366</v>
      </c>
      <c r="G2805" s="442"/>
      <c r="H2805" s="17"/>
      <c r="I2805" s="1044" t="s">
        <v>2638</v>
      </c>
      <c r="J2805" s="1045"/>
      <c r="K2805" s="444">
        <f>+F2805</f>
        <v>366</v>
      </c>
      <c r="L2805" s="564" t="s">
        <v>8</v>
      </c>
      <c r="M2805" s="173"/>
      <c r="N2805" s="68"/>
      <c r="O2805" s="203"/>
      <c r="P2805" s="218"/>
      <c r="Q2805" s="68"/>
      <c r="R2805" s="217"/>
    </row>
    <row r="2806" spans="1:25" ht="30" customHeight="1" thickBot="1" x14ac:dyDescent="0.4">
      <c r="A2806" s="241"/>
      <c r="B2806" s="1059"/>
      <c r="C2806" s="1059"/>
      <c r="D2806" s="1059"/>
      <c r="E2806" s="565"/>
      <c r="F2806" s="566"/>
      <c r="G2806" s="566"/>
      <c r="H2806" s="567"/>
      <c r="I2806" s="458"/>
      <c r="J2806" s="510" t="s">
        <v>2356</v>
      </c>
      <c r="K2806" s="585">
        <f>+K2805</f>
        <v>366</v>
      </c>
      <c r="L2806" s="243" t="s">
        <v>8</v>
      </c>
      <c r="M2806" s="173"/>
      <c r="N2806" s="68"/>
      <c r="O2806" s="203"/>
      <c r="P2806" s="218"/>
      <c r="Q2806" s="68"/>
      <c r="R2806" s="217"/>
    </row>
    <row r="2807" spans="1:25" ht="30" customHeight="1" thickBot="1" x14ac:dyDescent="0.4">
      <c r="A2807" s="1086"/>
      <c r="B2807" s="1087"/>
      <c r="C2807" s="1087"/>
      <c r="D2807" s="1087"/>
      <c r="E2807" s="1087"/>
      <c r="F2807" s="1087"/>
      <c r="G2807" s="1087"/>
      <c r="H2807" s="1087"/>
      <c r="I2807" s="1087"/>
      <c r="J2807" s="1087"/>
      <c r="K2807" s="1087"/>
      <c r="L2807" s="1088"/>
      <c r="M2807" s="173"/>
      <c r="N2807" s="68"/>
      <c r="O2807" s="203"/>
      <c r="P2807" s="218"/>
      <c r="Q2807" s="68"/>
      <c r="R2807" s="217"/>
      <c r="T2807" s="51"/>
      <c r="U2807" s="171"/>
    </row>
    <row r="2808" spans="1:25" ht="30" customHeight="1" x14ac:dyDescent="0.35">
      <c r="A2808" s="465" t="s">
        <v>278</v>
      </c>
      <c r="B2808" s="539">
        <v>7212</v>
      </c>
      <c r="C2808" s="1060" t="s">
        <v>1347</v>
      </c>
      <c r="D2808" s="1061"/>
      <c r="E2808" s="541" t="s">
        <v>280</v>
      </c>
      <c r="F2808" s="542" t="s">
        <v>8</v>
      </c>
      <c r="G2808" s="543" t="s">
        <v>285</v>
      </c>
      <c r="H2808" s="558">
        <v>23869</v>
      </c>
      <c r="I2808" s="541" t="s">
        <v>281</v>
      </c>
      <c r="J2808" s="1019" t="s">
        <v>2637</v>
      </c>
      <c r="K2808" s="1019"/>
      <c r="L2808" s="1020"/>
      <c r="M2808" s="173"/>
      <c r="N2808" s="68"/>
      <c r="O2808" s="203"/>
      <c r="P2808" s="218"/>
      <c r="Q2808" s="68"/>
      <c r="R2808" s="217"/>
      <c r="T2808" s="51"/>
      <c r="U2808" s="171"/>
    </row>
    <row r="2809" spans="1:25" ht="30" customHeight="1" x14ac:dyDescent="0.35">
      <c r="A2809" s="545" t="s">
        <v>288</v>
      </c>
      <c r="B2809" s="1051" t="s">
        <v>282</v>
      </c>
      <c r="C2809" s="1051"/>
      <c r="D2809" s="1051"/>
      <c r="E2809" s="530" t="s">
        <v>289</v>
      </c>
      <c r="F2809" s="561" t="s">
        <v>290</v>
      </c>
      <c r="G2809" s="509"/>
      <c r="H2809" s="509"/>
      <c r="I2809" s="1052" t="s">
        <v>405</v>
      </c>
      <c r="J2809" s="1053"/>
      <c r="K2809" s="1012" t="s">
        <v>292</v>
      </c>
      <c r="L2809" s="1013"/>
      <c r="M2809" s="173"/>
      <c r="N2809" s="68"/>
      <c r="P2809" s="171"/>
      <c r="Q2809" s="171"/>
      <c r="R2809" s="171"/>
      <c r="S2809" s="51"/>
      <c r="T2809" s="27"/>
      <c r="U2809" s="27"/>
      <c r="V2809" s="27"/>
      <c r="W2809" s="27"/>
      <c r="X2809" s="27"/>
    </row>
    <row r="2810" spans="1:25" ht="30" customHeight="1" x14ac:dyDescent="0.35">
      <c r="A2810" s="562" t="s">
        <v>293</v>
      </c>
      <c r="B2810" s="1057" t="s">
        <v>1346</v>
      </c>
      <c r="C2810" s="1057"/>
      <c r="D2810" s="1057"/>
      <c r="E2810" s="563">
        <v>79000</v>
      </c>
      <c r="F2810" s="444">
        <v>366</v>
      </c>
      <c r="G2810" s="442"/>
      <c r="H2810" s="17"/>
      <c r="I2810" s="1044" t="s">
        <v>2638</v>
      </c>
      <c r="J2810" s="1045"/>
      <c r="K2810" s="444">
        <f>+F2810</f>
        <v>366</v>
      </c>
      <c r="L2810" s="564" t="s">
        <v>8</v>
      </c>
      <c r="M2810" s="173"/>
      <c r="N2810" s="68"/>
      <c r="P2810" s="171"/>
      <c r="Q2810" s="171"/>
      <c r="R2810" s="171"/>
      <c r="S2810" s="51"/>
      <c r="T2810" s="208"/>
      <c r="U2810" s="208"/>
      <c r="V2810" s="208"/>
      <c r="W2810" s="208"/>
      <c r="X2810" s="208"/>
      <c r="Y2810" s="27"/>
    </row>
    <row r="2811" spans="1:25" ht="30" customHeight="1" x14ac:dyDescent="0.35">
      <c r="A2811" s="241"/>
      <c r="B2811" s="1059"/>
      <c r="C2811" s="1059"/>
      <c r="D2811" s="1059"/>
      <c r="E2811" s="565"/>
      <c r="F2811" s="566"/>
      <c r="G2811" s="566"/>
      <c r="H2811" s="567"/>
      <c r="I2811" s="458"/>
      <c r="J2811" s="510" t="s">
        <v>2356</v>
      </c>
      <c r="K2811" s="585">
        <f>+K2810</f>
        <v>366</v>
      </c>
      <c r="L2811" s="243" t="s">
        <v>8</v>
      </c>
      <c r="M2811" s="173"/>
      <c r="N2811" s="27"/>
      <c r="O2811" s="207"/>
      <c r="P2811" s="27"/>
      <c r="Q2811" s="27"/>
      <c r="R2811" s="27"/>
      <c r="S2811" s="27"/>
      <c r="Y2811" s="208"/>
    </row>
    <row r="2812" spans="1:25" ht="30" customHeight="1" thickBot="1" x14ac:dyDescent="0.4">
      <c r="A2812" s="1319"/>
      <c r="B2812" s="1157"/>
      <c r="C2812" s="1157"/>
      <c r="D2812" s="1157"/>
      <c r="E2812" s="1157"/>
      <c r="F2812" s="1157"/>
      <c r="G2812" s="1157"/>
      <c r="H2812" s="1157"/>
      <c r="I2812" s="1157"/>
      <c r="J2812" s="1157"/>
      <c r="K2812" s="1157"/>
      <c r="L2812" s="1320"/>
      <c r="M2812" s="173"/>
      <c r="N2812" s="68"/>
      <c r="P2812" s="208"/>
      <c r="Q2812" s="208"/>
      <c r="R2812" s="208"/>
      <c r="S2812" s="208"/>
      <c r="T2812" s="51"/>
      <c r="U2812" s="171"/>
    </row>
    <row r="2813" spans="1:25" s="27" customFormat="1" ht="30" customHeight="1" x14ac:dyDescent="0.35">
      <c r="A2813" s="465" t="s">
        <v>278</v>
      </c>
      <c r="B2813" s="539">
        <v>7213</v>
      </c>
      <c r="C2813" s="1135" t="s">
        <v>1348</v>
      </c>
      <c r="D2813" s="1316"/>
      <c r="E2813" s="541" t="s">
        <v>280</v>
      </c>
      <c r="F2813" s="542" t="s">
        <v>8</v>
      </c>
      <c r="G2813" s="543" t="s">
        <v>285</v>
      </c>
      <c r="H2813" s="558">
        <v>37271</v>
      </c>
      <c r="I2813" s="541" t="s">
        <v>281</v>
      </c>
      <c r="J2813" s="1185" t="s">
        <v>2637</v>
      </c>
      <c r="K2813" s="1185"/>
      <c r="L2813" s="1186"/>
      <c r="M2813" s="173"/>
      <c r="N2813" s="203"/>
      <c r="O2813" s="205"/>
      <c r="P2813" s="203"/>
      <c r="Q2813" s="203"/>
      <c r="R2813" s="203"/>
      <c r="S2813" s="203"/>
      <c r="T2813" s="51"/>
      <c r="U2813" s="171"/>
      <c r="V2813" s="203"/>
      <c r="W2813" s="203"/>
      <c r="X2813" s="203"/>
      <c r="Y2813" s="203"/>
    </row>
    <row r="2814" spans="1:25" s="208" customFormat="1" ht="30" customHeight="1" x14ac:dyDescent="0.35">
      <c r="A2814" s="545" t="s">
        <v>288</v>
      </c>
      <c r="B2814" s="1117" t="s">
        <v>282</v>
      </c>
      <c r="C2814" s="1317"/>
      <c r="D2814" s="1318"/>
      <c r="E2814" s="530" t="s">
        <v>289</v>
      </c>
      <c r="F2814" s="561" t="s">
        <v>290</v>
      </c>
      <c r="G2814" s="509"/>
      <c r="H2814" s="509"/>
      <c r="I2814" s="1052" t="s">
        <v>405</v>
      </c>
      <c r="J2814" s="1053"/>
      <c r="K2814" s="1012" t="s">
        <v>292</v>
      </c>
      <c r="L2814" s="1013"/>
      <c r="M2814" s="173"/>
      <c r="N2814" s="68"/>
      <c r="O2814" s="205"/>
      <c r="P2814" s="171"/>
      <c r="Q2814" s="171"/>
      <c r="R2814" s="171"/>
      <c r="S2814" s="51"/>
      <c r="T2814" s="27"/>
      <c r="U2814" s="27"/>
      <c r="V2814" s="27"/>
      <c r="W2814" s="27"/>
      <c r="X2814" s="27"/>
      <c r="Y2814" s="203"/>
    </row>
    <row r="2815" spans="1:25" ht="30" customHeight="1" x14ac:dyDescent="0.35">
      <c r="A2815" s="562" t="s">
        <v>293</v>
      </c>
      <c r="B2815" s="1116" t="s">
        <v>2660</v>
      </c>
      <c r="C2815" s="1042"/>
      <c r="D2815" s="1043"/>
      <c r="E2815" s="563">
        <v>84000</v>
      </c>
      <c r="F2815" s="444">
        <v>289</v>
      </c>
      <c r="G2815" s="442"/>
      <c r="H2815" s="17"/>
      <c r="I2815" s="1044" t="s">
        <v>2638</v>
      </c>
      <c r="J2815" s="1045"/>
      <c r="K2815" s="444">
        <f>+F2815</f>
        <v>289</v>
      </c>
      <c r="L2815" s="564" t="s">
        <v>8</v>
      </c>
      <c r="M2815" s="173"/>
      <c r="N2815" s="68"/>
      <c r="P2815" s="171"/>
      <c r="Q2815" s="171"/>
      <c r="R2815" s="171"/>
      <c r="S2815" s="51"/>
      <c r="T2815" s="27"/>
      <c r="U2815" s="27"/>
      <c r="V2815" s="27"/>
      <c r="W2815" s="27"/>
      <c r="X2815" s="27"/>
      <c r="Y2815" s="27"/>
    </row>
    <row r="2816" spans="1:25" ht="30" customHeight="1" thickBot="1" x14ac:dyDescent="0.4">
      <c r="A2816" s="241"/>
      <c r="B2816" s="1109"/>
      <c r="C2816" s="1110"/>
      <c r="D2816" s="1111"/>
      <c r="E2816" s="843"/>
      <c r="F2816" s="844"/>
      <c r="G2816" s="844"/>
      <c r="H2816" s="845"/>
      <c r="I2816" s="458"/>
      <c r="J2816" s="510" t="s">
        <v>2356</v>
      </c>
      <c r="K2816" s="585">
        <f>+K2815</f>
        <v>289</v>
      </c>
      <c r="L2816" s="243" t="s">
        <v>8</v>
      </c>
      <c r="M2816" s="173"/>
      <c r="N2816" s="68"/>
      <c r="O2816" s="207"/>
      <c r="P2816" s="27"/>
      <c r="Q2816" s="27"/>
      <c r="R2816" s="27"/>
      <c r="S2816" s="27"/>
      <c r="T2816" s="27"/>
      <c r="U2816" s="27"/>
      <c r="V2816" s="27"/>
      <c r="W2816" s="27"/>
      <c r="X2816" s="27"/>
      <c r="Y2816" s="27"/>
    </row>
    <row r="2817" spans="1:25" ht="30" customHeight="1" thickBot="1" x14ac:dyDescent="0.4">
      <c r="A2817" s="481"/>
      <c r="B2817" s="482"/>
      <c r="C2817" s="482"/>
      <c r="D2817" s="482"/>
      <c r="E2817" s="482"/>
      <c r="F2817" s="482"/>
      <c r="G2817" s="482"/>
      <c r="H2817" s="482"/>
      <c r="I2817" s="482"/>
      <c r="J2817" s="482"/>
      <c r="K2817" s="482"/>
      <c r="L2817" s="483"/>
      <c r="M2817" s="173"/>
      <c r="N2817" s="68"/>
      <c r="O2817" s="207"/>
      <c r="P2817" s="27"/>
      <c r="Q2817" s="27"/>
      <c r="R2817" s="27"/>
      <c r="S2817" s="27"/>
      <c r="T2817" s="208"/>
      <c r="U2817" s="208"/>
      <c r="V2817" s="208"/>
      <c r="W2817" s="208"/>
      <c r="X2817" s="208"/>
      <c r="Y2817" s="27"/>
    </row>
    <row r="2818" spans="1:25" s="27" customFormat="1" ht="30" customHeight="1" x14ac:dyDescent="0.35">
      <c r="A2818" s="465" t="s">
        <v>278</v>
      </c>
      <c r="B2818" s="539">
        <v>7214</v>
      </c>
      <c r="C2818" s="1060" t="s">
        <v>1350</v>
      </c>
      <c r="D2818" s="1061"/>
      <c r="E2818" s="541" t="s">
        <v>280</v>
      </c>
      <c r="F2818" s="542" t="s">
        <v>8</v>
      </c>
      <c r="G2818" s="543" t="s">
        <v>285</v>
      </c>
      <c r="H2818" s="558">
        <v>6941</v>
      </c>
      <c r="I2818" s="541" t="s">
        <v>281</v>
      </c>
      <c r="J2818" s="1019" t="s">
        <v>2637</v>
      </c>
      <c r="K2818" s="1019"/>
      <c r="L2818" s="1020"/>
      <c r="M2818" s="173"/>
      <c r="O2818" s="207"/>
      <c r="T2818" s="203"/>
      <c r="U2818" s="203"/>
      <c r="V2818" s="203"/>
      <c r="W2818" s="203"/>
      <c r="X2818" s="203"/>
      <c r="Y2818" s="208"/>
    </row>
    <row r="2819" spans="1:25" s="27" customFormat="1" ht="30" customHeight="1" x14ac:dyDescent="0.35">
      <c r="A2819" s="545" t="s">
        <v>288</v>
      </c>
      <c r="B2819" s="1051" t="s">
        <v>282</v>
      </c>
      <c r="C2819" s="1051"/>
      <c r="D2819" s="1051"/>
      <c r="E2819" s="530" t="s">
        <v>289</v>
      </c>
      <c r="F2819" s="561" t="s">
        <v>290</v>
      </c>
      <c r="G2819" s="509"/>
      <c r="H2819" s="509"/>
      <c r="I2819" s="1052" t="s">
        <v>405</v>
      </c>
      <c r="J2819" s="1053"/>
      <c r="K2819" s="1012" t="s">
        <v>292</v>
      </c>
      <c r="L2819" s="1013"/>
      <c r="M2819" s="173"/>
      <c r="N2819" s="208"/>
      <c r="O2819" s="205"/>
      <c r="P2819" s="208"/>
      <c r="Q2819" s="208"/>
      <c r="R2819" s="208"/>
      <c r="S2819" s="208"/>
      <c r="T2819" s="203"/>
      <c r="U2819" s="203"/>
      <c r="V2819" s="203"/>
      <c r="W2819" s="203"/>
      <c r="X2819" s="203"/>
      <c r="Y2819" s="203"/>
    </row>
    <row r="2820" spans="1:25" s="27" customFormat="1" ht="30" customHeight="1" x14ac:dyDescent="0.35">
      <c r="A2820" s="562" t="s">
        <v>293</v>
      </c>
      <c r="B2820" s="1057" t="s">
        <v>1349</v>
      </c>
      <c r="C2820" s="1057"/>
      <c r="D2820" s="1057"/>
      <c r="E2820" s="563">
        <v>84000</v>
      </c>
      <c r="F2820" s="444">
        <v>289</v>
      </c>
      <c r="G2820" s="442"/>
      <c r="H2820" s="17"/>
      <c r="I2820" s="1044" t="s">
        <v>2638</v>
      </c>
      <c r="J2820" s="1045"/>
      <c r="K2820" s="444">
        <f>+F2820</f>
        <v>289</v>
      </c>
      <c r="L2820" s="564" t="s">
        <v>8</v>
      </c>
      <c r="M2820" s="173"/>
      <c r="N2820" s="203"/>
      <c r="O2820" s="205"/>
      <c r="P2820" s="203"/>
      <c r="Q2820" s="203"/>
      <c r="R2820" s="203"/>
      <c r="S2820" s="203"/>
      <c r="T2820" s="203"/>
      <c r="U2820" s="203"/>
      <c r="V2820" s="203"/>
      <c r="W2820" s="203"/>
      <c r="X2820" s="203"/>
      <c r="Y2820" s="203"/>
    </row>
    <row r="2821" spans="1:25" s="208" customFormat="1" ht="30" customHeight="1" thickBot="1" x14ac:dyDescent="0.4">
      <c r="A2821" s="241"/>
      <c r="B2821" s="1059"/>
      <c r="C2821" s="1059"/>
      <c r="D2821" s="1059"/>
      <c r="E2821" s="565"/>
      <c r="F2821" s="566"/>
      <c r="G2821" s="566"/>
      <c r="H2821" s="567"/>
      <c r="I2821" s="458"/>
      <c r="J2821" s="510" t="s">
        <v>2356</v>
      </c>
      <c r="K2821" s="585">
        <f>+K2820</f>
        <v>289</v>
      </c>
      <c r="L2821" s="243" t="s">
        <v>8</v>
      </c>
      <c r="M2821" s="173"/>
      <c r="O2821" s="203"/>
      <c r="P2821" s="218"/>
      <c r="Q2821" s="68"/>
      <c r="R2821" s="217"/>
      <c r="S2821" s="203"/>
      <c r="T2821" s="203"/>
      <c r="U2821" s="203"/>
      <c r="V2821" s="203"/>
      <c r="W2821" s="203"/>
      <c r="X2821" s="203"/>
      <c r="Y2821" s="203"/>
    </row>
    <row r="2822" spans="1:25" ht="30" customHeight="1" thickBot="1" x14ac:dyDescent="0.4">
      <c r="A2822" s="481"/>
      <c r="B2822" s="482"/>
      <c r="C2822" s="482"/>
      <c r="D2822" s="482"/>
      <c r="E2822" s="482"/>
      <c r="F2822" s="482"/>
      <c r="G2822" s="482"/>
      <c r="H2822" s="482"/>
      <c r="I2822" s="482"/>
      <c r="J2822" s="482"/>
      <c r="K2822" s="482"/>
      <c r="L2822" s="483"/>
      <c r="M2822" s="173"/>
      <c r="N2822" s="214"/>
      <c r="O2822" s="203"/>
      <c r="P2822" s="218"/>
      <c r="Q2822" s="68"/>
      <c r="R2822" s="217"/>
      <c r="T2822" s="208"/>
      <c r="U2822" s="208"/>
      <c r="V2822" s="208"/>
      <c r="W2822" s="208"/>
      <c r="X2822" s="208"/>
    </row>
    <row r="2823" spans="1:25" ht="30" customHeight="1" x14ac:dyDescent="0.35">
      <c r="A2823" s="465" t="s">
        <v>278</v>
      </c>
      <c r="B2823" s="539">
        <v>7215</v>
      </c>
      <c r="C2823" s="1096" t="s">
        <v>1351</v>
      </c>
      <c r="D2823" s="1097"/>
      <c r="E2823" s="541" t="s">
        <v>280</v>
      </c>
      <c r="F2823" s="542" t="s">
        <v>8</v>
      </c>
      <c r="G2823" s="543" t="s">
        <v>285</v>
      </c>
      <c r="H2823" s="632">
        <v>63678</v>
      </c>
      <c r="I2823" s="541" t="s">
        <v>281</v>
      </c>
      <c r="J2823" s="1019" t="s">
        <v>2371</v>
      </c>
      <c r="K2823" s="1019"/>
      <c r="L2823" s="1020"/>
      <c r="M2823" s="173"/>
      <c r="O2823" s="203"/>
      <c r="P2823" s="218"/>
      <c r="Q2823" s="68"/>
      <c r="R2823" s="217"/>
      <c r="Y2823" s="208"/>
    </row>
    <row r="2824" spans="1:25" ht="30" customHeight="1" x14ac:dyDescent="0.35">
      <c r="A2824" s="588" t="s">
        <v>298</v>
      </c>
      <c r="B2824" s="1038" t="s">
        <v>321</v>
      </c>
      <c r="C2824" s="1039"/>
      <c r="D2824" s="1040"/>
      <c r="E2824" s="23" t="s">
        <v>290</v>
      </c>
      <c r="F2824" s="23" t="s">
        <v>322</v>
      </c>
      <c r="G2824" s="1034" t="s">
        <v>323</v>
      </c>
      <c r="H2824" s="1035"/>
      <c r="I2824" s="509" t="s">
        <v>299</v>
      </c>
      <c r="J2824" s="509"/>
      <c r="K2824" s="595" t="s">
        <v>292</v>
      </c>
      <c r="L2824" s="739"/>
      <c r="M2824" s="173"/>
      <c r="N2824" s="425"/>
      <c r="O2824" s="208"/>
      <c r="P2824" s="218"/>
      <c r="Q2824" s="68"/>
      <c r="R2824" s="217"/>
      <c r="S2824" s="208"/>
    </row>
    <row r="2825" spans="1:25" ht="30" customHeight="1" x14ac:dyDescent="0.35">
      <c r="A2825" s="241" t="s">
        <v>1352</v>
      </c>
      <c r="B2825" s="1082" t="s">
        <v>2406</v>
      </c>
      <c r="C2825" s="1083"/>
      <c r="D2825" s="1093"/>
      <c r="E2825" s="453">
        <v>220</v>
      </c>
      <c r="F2825" s="3" t="s">
        <v>8</v>
      </c>
      <c r="G2825" s="496"/>
      <c r="H2825" s="498"/>
      <c r="I2825" s="446">
        <v>1.03</v>
      </c>
      <c r="J2825" s="665"/>
      <c r="K2825" s="453">
        <f>+E2825*I2825</f>
        <v>226.6</v>
      </c>
      <c r="L2825" s="243" t="s">
        <v>8</v>
      </c>
      <c r="M2825" s="173"/>
      <c r="O2825" s="203"/>
      <c r="P2825" s="218"/>
      <c r="Q2825" s="68"/>
      <c r="R2825" s="217"/>
    </row>
    <row r="2826" spans="1:25" s="208" customFormat="1" ht="30" customHeight="1" x14ac:dyDescent="0.35">
      <c r="A2826" s="241" t="s">
        <v>397</v>
      </c>
      <c r="B2826" s="1031" t="s">
        <v>2242</v>
      </c>
      <c r="C2826" s="1032"/>
      <c r="D2826" s="1032"/>
      <c r="E2826" s="453">
        <v>2.88</v>
      </c>
      <c r="F2826" s="639" t="s">
        <v>8</v>
      </c>
      <c r="G2826" s="496"/>
      <c r="H2826" s="498"/>
      <c r="I2826" s="446">
        <v>1.03</v>
      </c>
      <c r="J2826" s="665"/>
      <c r="K2826" s="453">
        <f>+E2826*I2826</f>
        <v>2.9664000000000001</v>
      </c>
      <c r="L2826" s="243" t="s">
        <v>8</v>
      </c>
      <c r="M2826" s="173"/>
      <c r="N2826" s="203"/>
      <c r="O2826" s="203"/>
      <c r="P2826" s="218"/>
      <c r="Q2826" s="68"/>
      <c r="R2826" s="217"/>
      <c r="S2826" s="203"/>
      <c r="T2826" s="203"/>
      <c r="U2826" s="203"/>
      <c r="V2826" s="203"/>
      <c r="W2826" s="203"/>
      <c r="X2826" s="203"/>
      <c r="Y2826" s="203"/>
    </row>
    <row r="2827" spans="1:25" ht="30" customHeight="1" x14ac:dyDescent="0.35">
      <c r="A2827" s="241" t="s">
        <v>377</v>
      </c>
      <c r="B2827" s="1031" t="s">
        <v>2243</v>
      </c>
      <c r="C2827" s="1032"/>
      <c r="D2827" s="1033"/>
      <c r="E2827" s="453">
        <f>(20.3+31.5)/2</f>
        <v>25.9</v>
      </c>
      <c r="F2827" s="496" t="s">
        <v>8</v>
      </c>
      <c r="G2827" s="496">
        <v>162</v>
      </c>
      <c r="H2827" s="498" t="s">
        <v>8</v>
      </c>
      <c r="I2827" s="446">
        <v>1.03</v>
      </c>
      <c r="J2827" s="665"/>
      <c r="K2827" s="453">
        <f t="shared" ref="K2827:K2832" si="72">+E2827*G2827*I2827/$H$2823</f>
        <v>6.7867615188919247E-2</v>
      </c>
      <c r="L2827" s="243" t="s">
        <v>8</v>
      </c>
      <c r="M2827" s="173"/>
      <c r="O2827" s="203"/>
      <c r="P2827" s="218"/>
      <c r="Q2827" s="68"/>
      <c r="R2827" s="217"/>
    </row>
    <row r="2828" spans="1:25" ht="30" customHeight="1" x14ac:dyDescent="0.35">
      <c r="A2828" s="241" t="s">
        <v>377</v>
      </c>
      <c r="B2828" s="1031" t="s">
        <v>1353</v>
      </c>
      <c r="C2828" s="1032"/>
      <c r="D2828" s="1033"/>
      <c r="E2828" s="453">
        <f>(1710+2420)/2</f>
        <v>2065</v>
      </c>
      <c r="F2828" s="496" t="s">
        <v>10</v>
      </c>
      <c r="G2828" s="496">
        <v>2</v>
      </c>
      <c r="H2828" s="498" t="s">
        <v>10</v>
      </c>
      <c r="I2828" s="446">
        <v>1.03</v>
      </c>
      <c r="J2828" s="665"/>
      <c r="K2828" s="453">
        <f t="shared" si="72"/>
        <v>6.6803291560664599E-2</v>
      </c>
      <c r="L2828" s="243" t="s">
        <v>8</v>
      </c>
      <c r="M2828" s="173"/>
      <c r="O2828" s="171"/>
      <c r="P2828" s="216"/>
      <c r="Q2828" s="419"/>
      <c r="R2828" s="219"/>
    </row>
    <row r="2829" spans="1:25" ht="30" customHeight="1" x14ac:dyDescent="0.35">
      <c r="A2829" s="241" t="s">
        <v>380</v>
      </c>
      <c r="B2829" s="1031" t="s">
        <v>2407</v>
      </c>
      <c r="C2829" s="1032"/>
      <c r="D2829" s="1033"/>
      <c r="E2829" s="453">
        <f>(34.5+82)*10/2</f>
        <v>582.5</v>
      </c>
      <c r="F2829" s="496" t="s">
        <v>10</v>
      </c>
      <c r="G2829" s="496">
        <v>2</v>
      </c>
      <c r="H2829" s="498" t="s">
        <v>10</v>
      </c>
      <c r="I2829" s="446">
        <v>1.03</v>
      </c>
      <c r="J2829" s="665"/>
      <c r="K2829" s="453">
        <f t="shared" si="72"/>
        <v>1.8844027764691101E-2</v>
      </c>
      <c r="L2829" s="243" t="s">
        <v>8</v>
      </c>
      <c r="M2829" s="173"/>
      <c r="N2829" s="214"/>
      <c r="O2829" s="171"/>
      <c r="P2829" s="216"/>
      <c r="Q2829" s="419"/>
      <c r="R2829" s="219"/>
    </row>
    <row r="2830" spans="1:25" ht="30" customHeight="1" x14ac:dyDescent="0.35">
      <c r="A2830" s="241" t="s">
        <v>380</v>
      </c>
      <c r="B2830" s="1031" t="s">
        <v>1354</v>
      </c>
      <c r="C2830" s="1032"/>
      <c r="D2830" s="1033"/>
      <c r="E2830" s="453">
        <f>(6450+12300)/2</f>
        <v>9375</v>
      </c>
      <c r="F2830" s="496" t="s">
        <v>10</v>
      </c>
      <c r="G2830" s="496">
        <v>2</v>
      </c>
      <c r="H2830" s="498" t="s">
        <v>10</v>
      </c>
      <c r="I2830" s="446">
        <v>1.03</v>
      </c>
      <c r="J2830" s="665"/>
      <c r="K2830" s="453">
        <f t="shared" si="72"/>
        <v>0.30328370865919158</v>
      </c>
      <c r="L2830" s="243" t="s">
        <v>8</v>
      </c>
      <c r="M2830" s="173"/>
      <c r="O2830" s="203"/>
      <c r="P2830" s="218"/>
      <c r="Q2830" s="68"/>
      <c r="R2830" s="217"/>
    </row>
    <row r="2831" spans="1:25" ht="30" customHeight="1" x14ac:dyDescent="0.35">
      <c r="A2831" s="241" t="s">
        <v>380</v>
      </c>
      <c r="B2831" s="1031" t="s">
        <v>939</v>
      </c>
      <c r="C2831" s="1032"/>
      <c r="D2831" s="1033"/>
      <c r="E2831" s="453">
        <f>(660+1010)/2</f>
        <v>835</v>
      </c>
      <c r="F2831" s="496" t="s">
        <v>10</v>
      </c>
      <c r="G2831" s="496">
        <v>2</v>
      </c>
      <c r="H2831" s="498" t="s">
        <v>10</v>
      </c>
      <c r="I2831" s="446">
        <v>1.03</v>
      </c>
      <c r="J2831" s="665"/>
      <c r="K2831" s="453">
        <f t="shared" si="72"/>
        <v>2.7012468984578663E-2</v>
      </c>
      <c r="L2831" s="243" t="s">
        <v>8</v>
      </c>
      <c r="M2831" s="173"/>
      <c r="O2831" s="203"/>
      <c r="P2831" s="218"/>
      <c r="Q2831" s="68"/>
      <c r="R2831" s="217"/>
    </row>
    <row r="2832" spans="1:25" ht="30" customHeight="1" x14ac:dyDescent="0.35">
      <c r="A2832" s="241" t="s">
        <v>380</v>
      </c>
      <c r="B2832" s="1031" t="s">
        <v>385</v>
      </c>
      <c r="C2832" s="1032"/>
      <c r="D2832" s="1033"/>
      <c r="E2832" s="453">
        <f>(1160+3475)/2</f>
        <v>2317.5</v>
      </c>
      <c r="F2832" s="496" t="s">
        <v>10</v>
      </c>
      <c r="G2832" s="496">
        <v>2</v>
      </c>
      <c r="H2832" s="498" t="s">
        <v>10</v>
      </c>
      <c r="I2832" s="446">
        <v>1.03</v>
      </c>
      <c r="J2832" s="665"/>
      <c r="K2832" s="453">
        <f t="shared" si="72"/>
        <v>7.497173278055215E-2</v>
      </c>
      <c r="L2832" s="243" t="s">
        <v>8</v>
      </c>
      <c r="M2832" s="173"/>
      <c r="N2832" s="68"/>
      <c r="O2832" s="203"/>
      <c r="P2832" s="218"/>
      <c r="Q2832" s="68"/>
      <c r="R2832" s="217"/>
    </row>
    <row r="2833" spans="1:25" ht="30" customHeight="1" x14ac:dyDescent="0.35">
      <c r="A2833" s="832"/>
      <c r="B2833" s="1102"/>
      <c r="C2833" s="1102"/>
      <c r="D2833" s="1102"/>
      <c r="E2833" s="453"/>
      <c r="F2833" s="446"/>
      <c r="G2833" s="454"/>
      <c r="H2833" s="446"/>
      <c r="I2833" s="446"/>
      <c r="J2833" s="446" t="s">
        <v>335</v>
      </c>
      <c r="K2833" s="453">
        <f>SUM(K2825:K2832)</f>
        <v>230.12518284493856</v>
      </c>
      <c r="L2833" s="243" t="s">
        <v>8</v>
      </c>
      <c r="M2833" s="173"/>
      <c r="N2833" s="68"/>
      <c r="O2833" s="203"/>
      <c r="P2833" s="218"/>
      <c r="Q2833" s="68"/>
      <c r="R2833" s="217"/>
    </row>
    <row r="2834" spans="1:25" ht="30" customHeight="1" x14ac:dyDescent="0.35">
      <c r="A2834" s="241"/>
      <c r="B2834" s="506"/>
      <c r="C2834" s="506"/>
      <c r="D2834" s="506"/>
      <c r="E2834" s="453"/>
      <c r="F2834" s="1029" t="s">
        <v>302</v>
      </c>
      <c r="G2834" s="1058" t="s">
        <v>303</v>
      </c>
      <c r="H2834" s="1058"/>
      <c r="I2834" s="1058"/>
      <c r="J2834" s="1058"/>
      <c r="K2834" s="612">
        <v>1.1000000000000001</v>
      </c>
      <c r="L2834" s="243"/>
      <c r="M2834" s="173"/>
      <c r="N2834" s="68"/>
      <c r="O2834" s="203"/>
      <c r="P2834" s="218"/>
      <c r="Q2834" s="68"/>
      <c r="R2834" s="217"/>
    </row>
    <row r="2835" spans="1:25" ht="30" customHeight="1" x14ac:dyDescent="0.35">
      <c r="A2835" s="241"/>
      <c r="B2835" s="506"/>
      <c r="C2835" s="506"/>
      <c r="D2835" s="506"/>
      <c r="E2835" s="453"/>
      <c r="F2835" s="1030"/>
      <c r="G2835" s="1073" t="s">
        <v>2374</v>
      </c>
      <c r="H2835" s="1073"/>
      <c r="I2835" s="1073"/>
      <c r="J2835" s="1073"/>
      <c r="K2835" s="612">
        <v>1.08</v>
      </c>
      <c r="L2835" s="243"/>
      <c r="M2835" s="173"/>
      <c r="N2835" s="13"/>
      <c r="O2835" s="203"/>
      <c r="P2835" s="218"/>
      <c r="Q2835" s="68"/>
      <c r="R2835" s="217"/>
    </row>
    <row r="2836" spans="1:25" ht="30" customHeight="1" x14ac:dyDescent="0.35">
      <c r="A2836" s="241"/>
      <c r="B2836" s="446"/>
      <c r="C2836" s="458"/>
      <c r="D2836" s="458"/>
      <c r="E2836" s="458"/>
      <c r="F2836" s="458"/>
      <c r="G2836" s="458"/>
      <c r="H2836" s="458"/>
      <c r="I2836" s="458"/>
      <c r="J2836" s="458" t="s">
        <v>2356</v>
      </c>
      <c r="K2836" s="591">
        <f>+K2833*K2834/K2835</f>
        <v>234.38676030503001</v>
      </c>
      <c r="L2836" s="243" t="s">
        <v>8</v>
      </c>
      <c r="M2836" s="173"/>
      <c r="N2836" s="13"/>
      <c r="O2836" s="203"/>
      <c r="P2836" s="218"/>
      <c r="Q2836" s="68"/>
      <c r="R2836" s="217"/>
    </row>
    <row r="2837" spans="1:25" ht="30" customHeight="1" x14ac:dyDescent="0.35">
      <c r="A2837" s="241"/>
      <c r="B2837" s="446"/>
      <c r="C2837" s="458"/>
      <c r="D2837" s="458"/>
      <c r="E2837" s="458"/>
      <c r="F2837" s="458"/>
      <c r="G2837" s="171"/>
      <c r="H2837" s="458"/>
      <c r="I2837" s="568" t="s">
        <v>2359</v>
      </c>
      <c r="J2837" s="583">
        <f>VLOOKUP(B2823,'Mil Cost Premiums for PUCs'!$A$4:$R$272,18,FALSE)</f>
        <v>1.3319480854780448</v>
      </c>
      <c r="K2837" s="591">
        <f>+K2836*J2837</f>
        <v>312.1909966496861</v>
      </c>
      <c r="L2837" s="243" t="s">
        <v>8</v>
      </c>
      <c r="M2837" s="173"/>
      <c r="N2837" s="13"/>
      <c r="O2837" s="203"/>
      <c r="P2837" s="218"/>
      <c r="Q2837" s="68"/>
      <c r="R2837" s="217"/>
    </row>
    <row r="2838" spans="1:25" ht="60" customHeight="1" x14ac:dyDescent="0.35">
      <c r="A2838" s="1064" t="s">
        <v>305</v>
      </c>
      <c r="B2838" s="1065"/>
      <c r="C2838" s="1065"/>
      <c r="D2838" s="1065"/>
      <c r="E2838" s="1065"/>
      <c r="F2838" s="1065"/>
      <c r="G2838" s="1065"/>
      <c r="H2838" s="1065"/>
      <c r="I2838" s="1065"/>
      <c r="J2838" s="1065"/>
      <c r="K2838" s="1065"/>
      <c r="L2838" s="1066"/>
      <c r="M2838" s="173"/>
      <c r="N2838" s="13"/>
      <c r="O2838" s="203"/>
      <c r="P2838" s="218"/>
      <c r="Q2838" s="68"/>
      <c r="R2838" s="217"/>
    </row>
    <row r="2839" spans="1:25" ht="30" customHeight="1" x14ac:dyDescent="0.35">
      <c r="A2839" s="1077" t="s">
        <v>306</v>
      </c>
      <c r="B2839" s="1042"/>
      <c r="C2839" s="1043"/>
      <c r="D2839" s="1067" t="s">
        <v>1355</v>
      </c>
      <c r="E2839" s="1065"/>
      <c r="F2839" s="1065"/>
      <c r="G2839" s="1065"/>
      <c r="H2839" s="1065"/>
      <c r="I2839" s="1065"/>
      <c r="J2839" s="1065"/>
      <c r="K2839" s="1065"/>
      <c r="L2839" s="1066"/>
      <c r="M2839" s="173"/>
      <c r="N2839" s="68"/>
      <c r="O2839" s="203"/>
      <c r="P2839" s="218"/>
      <c r="Q2839" s="68"/>
      <c r="R2839" s="217"/>
    </row>
    <row r="2840" spans="1:25" ht="30" customHeight="1" x14ac:dyDescent="0.35">
      <c r="A2840" s="1077" t="s">
        <v>307</v>
      </c>
      <c r="B2840" s="1042"/>
      <c r="C2840" s="1043"/>
      <c r="D2840" s="1067" t="s">
        <v>1356</v>
      </c>
      <c r="E2840" s="1065"/>
      <c r="F2840" s="1065"/>
      <c r="G2840" s="1065"/>
      <c r="H2840" s="1065"/>
      <c r="I2840" s="1065"/>
      <c r="J2840" s="1065"/>
      <c r="K2840" s="1065"/>
      <c r="L2840" s="1066"/>
      <c r="M2840" s="173"/>
      <c r="N2840" s="68"/>
      <c r="O2840" s="203"/>
      <c r="P2840" s="218"/>
      <c r="Q2840" s="68"/>
      <c r="R2840" s="217"/>
    </row>
    <row r="2841" spans="1:25" ht="30" customHeight="1" x14ac:dyDescent="0.35">
      <c r="A2841" s="1077" t="s">
        <v>308</v>
      </c>
      <c r="B2841" s="1042"/>
      <c r="C2841" s="1043"/>
      <c r="D2841" s="1067" t="s">
        <v>3188</v>
      </c>
      <c r="E2841" s="1065"/>
      <c r="F2841" s="1065"/>
      <c r="G2841" s="1065"/>
      <c r="H2841" s="1065"/>
      <c r="I2841" s="1065"/>
      <c r="J2841" s="1065"/>
      <c r="K2841" s="1065"/>
      <c r="L2841" s="1066"/>
      <c r="M2841" s="173"/>
      <c r="N2841" s="68"/>
      <c r="O2841" s="203"/>
      <c r="P2841" s="218"/>
      <c r="Q2841" s="68"/>
      <c r="R2841" s="217"/>
    </row>
    <row r="2842" spans="1:25" ht="30" customHeight="1" x14ac:dyDescent="0.35">
      <c r="A2842" s="1077" t="s">
        <v>309</v>
      </c>
      <c r="B2842" s="1042"/>
      <c r="C2842" s="1043"/>
      <c r="D2842" s="1067" t="s">
        <v>1357</v>
      </c>
      <c r="E2842" s="1065"/>
      <c r="F2842" s="1065"/>
      <c r="G2842" s="1065"/>
      <c r="H2842" s="1065"/>
      <c r="I2842" s="1065"/>
      <c r="J2842" s="1065"/>
      <c r="K2842" s="1065"/>
      <c r="L2842" s="1066"/>
      <c r="M2842" s="173"/>
      <c r="N2842" s="68"/>
      <c r="O2842" s="203"/>
      <c r="P2842" s="218"/>
      <c r="Q2842" s="68"/>
      <c r="R2842" s="217"/>
      <c r="T2842" s="208"/>
      <c r="U2842" s="208"/>
      <c r="V2842" s="208"/>
      <c r="W2842" s="208"/>
      <c r="X2842" s="208"/>
    </row>
    <row r="2843" spans="1:25" ht="60" customHeight="1" x14ac:dyDescent="0.35">
      <c r="A2843" s="1077" t="s">
        <v>311</v>
      </c>
      <c r="B2843" s="1042"/>
      <c r="C2843" s="1043"/>
      <c r="D2843" s="1067" t="s">
        <v>3068</v>
      </c>
      <c r="E2843" s="1065"/>
      <c r="F2843" s="1065"/>
      <c r="G2843" s="1065"/>
      <c r="H2843" s="1065"/>
      <c r="I2843" s="1065"/>
      <c r="J2843" s="1065"/>
      <c r="K2843" s="1065"/>
      <c r="L2843" s="1066"/>
      <c r="M2843" s="173"/>
      <c r="N2843" s="68"/>
      <c r="O2843" s="203"/>
      <c r="P2843" s="218"/>
      <c r="Q2843" s="68"/>
      <c r="R2843" s="217"/>
      <c r="Y2843" s="208"/>
    </row>
    <row r="2844" spans="1:25" ht="30" customHeight="1" x14ac:dyDescent="0.35">
      <c r="A2844" s="1077" t="s">
        <v>313</v>
      </c>
      <c r="B2844" s="1042"/>
      <c r="C2844" s="1043"/>
      <c r="D2844" s="1067" t="s">
        <v>314</v>
      </c>
      <c r="E2844" s="1065"/>
      <c r="F2844" s="1065"/>
      <c r="G2844" s="1065"/>
      <c r="H2844" s="1065"/>
      <c r="I2844" s="1065"/>
      <c r="J2844" s="1065"/>
      <c r="K2844" s="1065"/>
      <c r="L2844" s="1066"/>
      <c r="M2844" s="173"/>
      <c r="N2844" s="68"/>
      <c r="O2844" s="208"/>
      <c r="P2844" s="218"/>
      <c r="Q2844" s="68"/>
      <c r="R2844" s="217"/>
      <c r="S2844" s="208"/>
    </row>
    <row r="2845" spans="1:25" ht="30" customHeight="1" x14ac:dyDescent="0.35">
      <c r="A2845" s="1077" t="s">
        <v>315</v>
      </c>
      <c r="B2845" s="1042"/>
      <c r="C2845" s="1043"/>
      <c r="D2845" s="1067" t="s">
        <v>1358</v>
      </c>
      <c r="E2845" s="1065"/>
      <c r="F2845" s="1065"/>
      <c r="G2845" s="1065"/>
      <c r="H2845" s="1065"/>
      <c r="I2845" s="1065"/>
      <c r="J2845" s="1065"/>
      <c r="K2845" s="1065"/>
      <c r="L2845" s="1066"/>
      <c r="M2845" s="173"/>
      <c r="O2845" s="203"/>
      <c r="P2845" s="218"/>
      <c r="Q2845" s="68"/>
      <c r="R2845" s="217"/>
    </row>
    <row r="2846" spans="1:25" s="208" customFormat="1" ht="75" customHeight="1" x14ac:dyDescent="0.35">
      <c r="A2846" s="1077" t="s">
        <v>316</v>
      </c>
      <c r="B2846" s="1042"/>
      <c r="C2846" s="1043"/>
      <c r="D2846" s="1067" t="s">
        <v>373</v>
      </c>
      <c r="E2846" s="1065"/>
      <c r="F2846" s="1065"/>
      <c r="G2846" s="1065"/>
      <c r="H2846" s="1065"/>
      <c r="I2846" s="1065"/>
      <c r="J2846" s="1065"/>
      <c r="K2846" s="1065"/>
      <c r="L2846" s="1066"/>
      <c r="M2846" s="173"/>
      <c r="N2846" s="203"/>
      <c r="O2846" s="203"/>
      <c r="P2846" s="218"/>
      <c r="Q2846" s="68"/>
      <c r="R2846" s="217"/>
      <c r="S2846" s="203"/>
      <c r="T2846" s="203"/>
      <c r="U2846" s="203"/>
      <c r="V2846" s="203"/>
      <c r="W2846" s="203"/>
      <c r="X2846" s="203"/>
      <c r="Y2846" s="203"/>
    </row>
    <row r="2847" spans="1:25" ht="75" customHeight="1" thickBot="1" x14ac:dyDescent="0.4">
      <c r="A2847" s="1077" t="s">
        <v>318</v>
      </c>
      <c r="B2847" s="1042"/>
      <c r="C2847" s="1043"/>
      <c r="D2847" s="1068" t="s">
        <v>3067</v>
      </c>
      <c r="E2847" s="1069"/>
      <c r="F2847" s="1069"/>
      <c r="G2847" s="1069"/>
      <c r="H2847" s="1069"/>
      <c r="I2847" s="1069"/>
      <c r="J2847" s="1069"/>
      <c r="K2847" s="1069"/>
      <c r="L2847" s="1070"/>
      <c r="M2847" s="173"/>
      <c r="N2847" s="68"/>
      <c r="O2847" s="203"/>
      <c r="P2847" s="218"/>
      <c r="Q2847" s="68"/>
      <c r="R2847" s="217"/>
    </row>
    <row r="2848" spans="1:25" ht="30" customHeight="1" thickBot="1" x14ac:dyDescent="0.4">
      <c r="A2848" s="481"/>
      <c r="B2848" s="482"/>
      <c r="C2848" s="482"/>
      <c r="D2848" s="482"/>
      <c r="E2848" s="482"/>
      <c r="F2848" s="482"/>
      <c r="G2848" s="482"/>
      <c r="H2848" s="482"/>
      <c r="I2848" s="482"/>
      <c r="J2848" s="482"/>
      <c r="K2848" s="482"/>
      <c r="L2848" s="483"/>
      <c r="M2848" s="173"/>
      <c r="N2848" s="68"/>
      <c r="O2848" s="171"/>
      <c r="P2848" s="216"/>
      <c r="Q2848" s="419"/>
      <c r="R2848" s="219"/>
    </row>
    <row r="2849" spans="1:25" ht="30" customHeight="1" x14ac:dyDescent="0.35">
      <c r="A2849" s="465" t="s">
        <v>278</v>
      </c>
      <c r="B2849" s="539">
        <v>7218</v>
      </c>
      <c r="C2849" s="1060" t="s">
        <v>1359</v>
      </c>
      <c r="D2849" s="1061"/>
      <c r="E2849" s="541" t="s">
        <v>280</v>
      </c>
      <c r="F2849" s="542" t="s">
        <v>8</v>
      </c>
      <c r="G2849" s="543" t="s">
        <v>285</v>
      </c>
      <c r="H2849" s="437">
        <v>61223</v>
      </c>
      <c r="I2849" s="541" t="s">
        <v>281</v>
      </c>
      <c r="J2849" s="1019" t="s">
        <v>2637</v>
      </c>
      <c r="K2849" s="1019"/>
      <c r="L2849" s="1020"/>
      <c r="M2849" s="173"/>
      <c r="N2849" s="68"/>
      <c r="O2849" s="171"/>
      <c r="P2849" s="216"/>
      <c r="Q2849" s="419"/>
      <c r="R2849" s="219"/>
    </row>
    <row r="2850" spans="1:25" ht="30" customHeight="1" x14ac:dyDescent="0.35">
      <c r="A2850" s="545" t="s">
        <v>288</v>
      </c>
      <c r="B2850" s="1051" t="s">
        <v>282</v>
      </c>
      <c r="C2850" s="1051"/>
      <c r="D2850" s="1051"/>
      <c r="E2850" s="530" t="s">
        <v>289</v>
      </c>
      <c r="F2850" s="561" t="s">
        <v>290</v>
      </c>
      <c r="G2850" s="509"/>
      <c r="H2850" s="509"/>
      <c r="I2850" s="1052" t="s">
        <v>405</v>
      </c>
      <c r="J2850" s="1053"/>
      <c r="K2850" s="1012" t="s">
        <v>292</v>
      </c>
      <c r="L2850" s="1013"/>
      <c r="M2850" s="173"/>
      <c r="N2850" s="68"/>
      <c r="O2850" s="203"/>
      <c r="P2850" s="218"/>
      <c r="Q2850" s="68"/>
      <c r="R2850" s="217"/>
    </row>
    <row r="2851" spans="1:25" ht="30" customHeight="1" x14ac:dyDescent="0.35">
      <c r="A2851" s="562" t="s">
        <v>293</v>
      </c>
      <c r="B2851" s="1057" t="s">
        <v>2666</v>
      </c>
      <c r="C2851" s="1057"/>
      <c r="D2851" s="1057"/>
      <c r="E2851" s="563">
        <v>84000</v>
      </c>
      <c r="F2851" s="444">
        <v>289</v>
      </c>
      <c r="G2851" s="442"/>
      <c r="H2851" s="17"/>
      <c r="I2851" s="1044" t="s">
        <v>2638</v>
      </c>
      <c r="J2851" s="1045"/>
      <c r="K2851" s="444">
        <f>+F2851</f>
        <v>289</v>
      </c>
      <c r="L2851" s="564" t="s">
        <v>8</v>
      </c>
      <c r="M2851" s="173"/>
      <c r="N2851" s="68"/>
      <c r="O2851" s="203"/>
      <c r="P2851" s="218"/>
      <c r="Q2851" s="68"/>
      <c r="R2851" s="217"/>
    </row>
    <row r="2852" spans="1:25" ht="30" customHeight="1" thickBot="1" x14ac:dyDescent="0.4">
      <c r="A2852" s="241"/>
      <c r="B2852" s="1059"/>
      <c r="C2852" s="1059"/>
      <c r="D2852" s="1059"/>
      <c r="E2852" s="565"/>
      <c r="F2852" s="566"/>
      <c r="G2852" s="566"/>
      <c r="H2852" s="567"/>
      <c r="I2852" s="458"/>
      <c r="J2852" s="510" t="s">
        <v>2356</v>
      </c>
      <c r="K2852" s="585">
        <f>+K2851</f>
        <v>289</v>
      </c>
      <c r="L2852" s="243" t="s">
        <v>8</v>
      </c>
      <c r="M2852" s="173"/>
      <c r="N2852" s="68"/>
      <c r="O2852" s="203"/>
      <c r="P2852" s="218"/>
      <c r="Q2852" s="68"/>
      <c r="R2852" s="217"/>
      <c r="T2852" s="208"/>
      <c r="U2852" s="208"/>
      <c r="V2852" s="208"/>
      <c r="W2852" s="208"/>
      <c r="X2852" s="208"/>
    </row>
    <row r="2853" spans="1:25" ht="30" customHeight="1" thickBot="1" x14ac:dyDescent="0.4">
      <c r="A2853" s="481"/>
      <c r="B2853" s="482"/>
      <c r="C2853" s="482"/>
      <c r="D2853" s="482"/>
      <c r="E2853" s="482"/>
      <c r="F2853" s="482"/>
      <c r="G2853" s="482"/>
      <c r="H2853" s="482"/>
      <c r="I2853" s="482"/>
      <c r="J2853" s="482"/>
      <c r="K2853" s="482"/>
      <c r="L2853" s="483"/>
      <c r="M2853" s="173"/>
      <c r="N2853" s="68"/>
      <c r="O2853" s="203"/>
      <c r="P2853" s="218"/>
      <c r="Q2853" s="68"/>
      <c r="R2853" s="217"/>
      <c r="Y2853" s="208"/>
    </row>
    <row r="2854" spans="1:25" ht="30" customHeight="1" x14ac:dyDescent="0.35">
      <c r="A2854" s="465" t="s">
        <v>278</v>
      </c>
      <c r="B2854" s="539">
        <v>7220</v>
      </c>
      <c r="C2854" s="1060" t="s">
        <v>1360</v>
      </c>
      <c r="D2854" s="1061"/>
      <c r="E2854" s="541" t="s">
        <v>280</v>
      </c>
      <c r="F2854" s="542" t="s">
        <v>8</v>
      </c>
      <c r="G2854" s="543" t="s">
        <v>285</v>
      </c>
      <c r="H2854" s="437">
        <v>10846</v>
      </c>
      <c r="I2854" s="541" t="s">
        <v>281</v>
      </c>
      <c r="J2854" s="1019" t="s">
        <v>2637</v>
      </c>
      <c r="K2854" s="1019"/>
      <c r="L2854" s="1020"/>
      <c r="M2854" s="173"/>
      <c r="N2854" s="68"/>
      <c r="O2854" s="208"/>
      <c r="P2854" s="218"/>
      <c r="Q2854" s="68"/>
      <c r="R2854" s="217"/>
      <c r="S2854" s="208"/>
    </row>
    <row r="2855" spans="1:25" ht="30" customHeight="1" x14ac:dyDescent="0.35">
      <c r="A2855" s="545" t="s">
        <v>288</v>
      </c>
      <c r="B2855" s="1051" t="s">
        <v>282</v>
      </c>
      <c r="C2855" s="1051"/>
      <c r="D2855" s="1051"/>
      <c r="E2855" s="530" t="s">
        <v>289</v>
      </c>
      <c r="F2855" s="561" t="s">
        <v>290</v>
      </c>
      <c r="G2855" s="509"/>
      <c r="H2855" s="509"/>
      <c r="I2855" s="1052" t="s">
        <v>405</v>
      </c>
      <c r="J2855" s="1053"/>
      <c r="K2855" s="1012" t="s">
        <v>292</v>
      </c>
      <c r="L2855" s="1013"/>
      <c r="M2855" s="173"/>
      <c r="N2855" s="68"/>
      <c r="O2855" s="203"/>
      <c r="P2855" s="218"/>
      <c r="Q2855" s="68"/>
      <c r="R2855" s="217"/>
    </row>
    <row r="2856" spans="1:25" s="208" customFormat="1" ht="30" customHeight="1" x14ac:dyDescent="0.35">
      <c r="A2856" s="562" t="s">
        <v>293</v>
      </c>
      <c r="B2856" s="1116" t="s">
        <v>2661</v>
      </c>
      <c r="C2856" s="1042"/>
      <c r="D2856" s="1043"/>
      <c r="E2856" s="563">
        <v>25000</v>
      </c>
      <c r="F2856" s="444">
        <v>651</v>
      </c>
      <c r="G2856" s="442"/>
      <c r="H2856" s="17"/>
      <c r="I2856" s="1044" t="s">
        <v>2638</v>
      </c>
      <c r="J2856" s="1045"/>
      <c r="K2856" s="444">
        <f>+F2856</f>
        <v>651</v>
      </c>
      <c r="L2856" s="564" t="s">
        <v>8</v>
      </c>
      <c r="M2856" s="173"/>
      <c r="N2856" s="68"/>
      <c r="O2856" s="203"/>
      <c r="P2856" s="218"/>
      <c r="Q2856" s="68"/>
      <c r="R2856" s="217"/>
      <c r="S2856" s="203"/>
      <c r="T2856" s="203"/>
      <c r="U2856" s="203"/>
      <c r="V2856" s="203"/>
      <c r="W2856" s="203"/>
      <c r="X2856" s="203"/>
      <c r="Y2856" s="203"/>
    </row>
    <row r="2857" spans="1:25" ht="30" customHeight="1" thickBot="1" x14ac:dyDescent="0.4">
      <c r="A2857" s="241"/>
      <c r="B2857" s="1109"/>
      <c r="C2857" s="1110"/>
      <c r="D2857" s="1111"/>
      <c r="E2857" s="843"/>
      <c r="F2857" s="844"/>
      <c r="G2857" s="844"/>
      <c r="H2857" s="845"/>
      <c r="I2857" s="458"/>
      <c r="J2857" s="510" t="s">
        <v>2356</v>
      </c>
      <c r="K2857" s="585">
        <f>+K2856</f>
        <v>651</v>
      </c>
      <c r="L2857" s="243" t="s">
        <v>8</v>
      </c>
      <c r="M2857" s="173"/>
      <c r="N2857" s="419"/>
      <c r="O2857" s="203"/>
      <c r="P2857" s="218"/>
      <c r="Q2857" s="68"/>
      <c r="R2857" s="217"/>
    </row>
    <row r="2858" spans="1:25" ht="30" customHeight="1" thickBot="1" x14ac:dyDescent="0.4">
      <c r="A2858" s="481"/>
      <c r="B2858" s="482"/>
      <c r="C2858" s="482"/>
      <c r="D2858" s="482"/>
      <c r="E2858" s="482"/>
      <c r="F2858" s="482"/>
      <c r="G2858" s="482"/>
      <c r="H2858" s="482"/>
      <c r="I2858" s="482"/>
      <c r="J2858" s="482"/>
      <c r="K2858" s="482"/>
      <c r="L2858" s="483"/>
      <c r="M2858" s="173"/>
      <c r="N2858" s="419"/>
      <c r="O2858" s="171"/>
      <c r="P2858" s="216"/>
      <c r="Q2858" s="419"/>
      <c r="R2858" s="219"/>
    </row>
    <row r="2859" spans="1:25" ht="30" customHeight="1" x14ac:dyDescent="0.35">
      <c r="A2859" s="465" t="s">
        <v>278</v>
      </c>
      <c r="B2859" s="539">
        <v>7231</v>
      </c>
      <c r="C2859" s="1096" t="s">
        <v>1361</v>
      </c>
      <c r="D2859" s="1097"/>
      <c r="E2859" s="541" t="s">
        <v>280</v>
      </c>
      <c r="F2859" s="542" t="s">
        <v>8</v>
      </c>
      <c r="G2859" s="543" t="s">
        <v>285</v>
      </c>
      <c r="H2859" s="555">
        <v>3329</v>
      </c>
      <c r="I2859" s="541" t="s">
        <v>281</v>
      </c>
      <c r="J2859" s="1019" t="s">
        <v>2371</v>
      </c>
      <c r="K2859" s="1019"/>
      <c r="L2859" s="1020"/>
      <c r="M2859" s="173"/>
      <c r="N2859" s="68"/>
      <c r="O2859" s="171"/>
      <c r="P2859" s="216"/>
      <c r="Q2859" s="419"/>
      <c r="R2859" s="219"/>
    </row>
    <row r="2860" spans="1:25" ht="30" customHeight="1" x14ac:dyDescent="0.35">
      <c r="A2860" s="588" t="s">
        <v>298</v>
      </c>
      <c r="B2860" s="1038" t="s">
        <v>321</v>
      </c>
      <c r="C2860" s="1039"/>
      <c r="D2860" s="1040"/>
      <c r="E2860" s="23" t="s">
        <v>290</v>
      </c>
      <c r="F2860" s="23" t="s">
        <v>322</v>
      </c>
      <c r="G2860" s="1034" t="s">
        <v>323</v>
      </c>
      <c r="H2860" s="1035"/>
      <c r="I2860" s="509" t="s">
        <v>299</v>
      </c>
      <c r="J2860" s="509"/>
      <c r="K2860" s="595" t="s">
        <v>292</v>
      </c>
      <c r="L2860" s="846"/>
      <c r="M2860" s="173"/>
      <c r="N2860" s="68"/>
      <c r="O2860" s="203"/>
      <c r="P2860" s="218"/>
      <c r="Q2860" s="68"/>
      <c r="R2860" s="217"/>
    </row>
    <row r="2861" spans="1:25" ht="30" customHeight="1" x14ac:dyDescent="0.35">
      <c r="A2861" s="241" t="s">
        <v>1362</v>
      </c>
      <c r="B2861" s="1031" t="s">
        <v>1363</v>
      </c>
      <c r="C2861" s="1032"/>
      <c r="D2861" s="1033"/>
      <c r="E2861" s="453">
        <v>89.5</v>
      </c>
      <c r="F2861" s="3" t="s">
        <v>8</v>
      </c>
      <c r="G2861" s="496"/>
      <c r="H2861" s="498"/>
      <c r="I2861" s="446">
        <v>1.04</v>
      </c>
      <c r="J2861" s="446"/>
      <c r="K2861" s="453">
        <f>+E2861*I2861</f>
        <v>93.08</v>
      </c>
      <c r="L2861" s="243" t="s">
        <v>8</v>
      </c>
      <c r="M2861" s="173"/>
      <c r="N2861" s="68"/>
      <c r="O2861" s="203"/>
      <c r="P2861" s="218"/>
      <c r="Q2861" s="68"/>
      <c r="R2861" s="217"/>
    </row>
    <row r="2862" spans="1:25" ht="30" customHeight="1" x14ac:dyDescent="0.35">
      <c r="A2862" s="847" t="s">
        <v>1364</v>
      </c>
      <c r="B2862" s="1082" t="s">
        <v>3069</v>
      </c>
      <c r="C2862" s="1083"/>
      <c r="D2862" s="1093"/>
      <c r="E2862" s="453">
        <f>118-4.56</f>
        <v>113.44</v>
      </c>
      <c r="F2862" s="3" t="s">
        <v>8</v>
      </c>
      <c r="G2862" s="496"/>
      <c r="H2862" s="498"/>
      <c r="I2862" s="665">
        <v>1.05</v>
      </c>
      <c r="J2862" s="446"/>
      <c r="K2862" s="453">
        <f>+E2862*I2862</f>
        <v>119.11200000000001</v>
      </c>
      <c r="L2862" s="243" t="s">
        <v>8</v>
      </c>
      <c r="M2862" s="173"/>
      <c r="N2862" s="68"/>
      <c r="O2862" s="203"/>
      <c r="P2862" s="218"/>
      <c r="Q2862" s="68"/>
      <c r="R2862" s="217"/>
      <c r="T2862" s="208"/>
      <c r="U2862" s="208"/>
      <c r="V2862" s="208"/>
      <c r="W2862" s="208"/>
      <c r="X2862" s="208"/>
    </row>
    <row r="2863" spans="1:25" ht="30" customHeight="1" x14ac:dyDescent="0.35">
      <c r="A2863" s="847"/>
      <c r="B2863" s="485"/>
      <c r="C2863" s="610"/>
      <c r="D2863" s="608"/>
      <c r="E2863" s="453"/>
      <c r="F2863" s="3"/>
      <c r="G2863" s="1104" t="s">
        <v>1365</v>
      </c>
      <c r="H2863" s="1105"/>
      <c r="I2863" s="1105"/>
      <c r="J2863" s="1106"/>
      <c r="K2863" s="453">
        <f>AVERAGE(K2861:K2862)</f>
        <v>106.096</v>
      </c>
      <c r="L2863" s="243" t="s">
        <v>8</v>
      </c>
      <c r="M2863" s="173"/>
      <c r="N2863" s="68"/>
      <c r="O2863" s="203"/>
      <c r="P2863" s="218"/>
      <c r="Q2863" s="68"/>
      <c r="R2863" s="217"/>
      <c r="Y2863" s="208"/>
    </row>
    <row r="2864" spans="1:25" ht="30" customHeight="1" x14ac:dyDescent="0.35">
      <c r="A2864" s="241" t="s">
        <v>1274</v>
      </c>
      <c r="B2864" s="1102" t="s">
        <v>1366</v>
      </c>
      <c r="C2864" s="1102"/>
      <c r="D2864" s="1102"/>
      <c r="E2864" s="453">
        <v>4.4400000000000004</v>
      </c>
      <c r="F2864" s="446" t="s">
        <v>8</v>
      </c>
      <c r="G2864" s="446"/>
      <c r="H2864" s="446"/>
      <c r="I2864" s="446">
        <v>1.04</v>
      </c>
      <c r="J2864" s="446"/>
      <c r="K2864" s="453">
        <f>+E2864*I2864</f>
        <v>4.6176000000000004</v>
      </c>
      <c r="L2864" s="243" t="s">
        <v>8</v>
      </c>
      <c r="M2864" s="173"/>
      <c r="N2864" s="68"/>
      <c r="O2864" s="208"/>
      <c r="P2864" s="218"/>
      <c r="Q2864" s="68"/>
      <c r="R2864" s="217"/>
      <c r="S2864" s="208"/>
    </row>
    <row r="2865" spans="1:25" ht="30" customHeight="1" x14ac:dyDescent="0.35">
      <c r="A2865" s="832"/>
      <c r="B2865" s="1102"/>
      <c r="C2865" s="1102"/>
      <c r="D2865" s="1102"/>
      <c r="E2865" s="453"/>
      <c r="F2865" s="446"/>
      <c r="G2865" s="454"/>
      <c r="H2865" s="446"/>
      <c r="I2865" s="446"/>
      <c r="J2865" s="446" t="s">
        <v>335</v>
      </c>
      <c r="K2865" s="453">
        <f>SUM(K2863:K2864)</f>
        <v>110.7136</v>
      </c>
      <c r="L2865" s="243" t="s">
        <v>8</v>
      </c>
      <c r="M2865" s="173"/>
      <c r="N2865" s="68"/>
      <c r="O2865" s="203"/>
      <c r="P2865" s="218"/>
      <c r="Q2865" s="68"/>
      <c r="R2865" s="217"/>
    </row>
    <row r="2866" spans="1:25" s="208" customFormat="1" ht="30" customHeight="1" x14ac:dyDescent="0.35">
      <c r="A2866" s="241"/>
      <c r="B2866" s="506"/>
      <c r="C2866" s="506"/>
      <c r="D2866" s="506"/>
      <c r="E2866" s="453"/>
      <c r="F2866" s="1029" t="s">
        <v>302</v>
      </c>
      <c r="G2866" s="1058" t="s">
        <v>303</v>
      </c>
      <c r="H2866" s="1058"/>
      <c r="I2866" s="1058"/>
      <c r="J2866" s="1058"/>
      <c r="K2866" s="612">
        <v>1.07</v>
      </c>
      <c r="L2866" s="243"/>
      <c r="M2866" s="173"/>
      <c r="N2866" s="68"/>
      <c r="O2866" s="203"/>
      <c r="P2866" s="218"/>
      <c r="Q2866" s="68"/>
      <c r="R2866" s="217"/>
      <c r="S2866" s="203"/>
      <c r="T2866" s="203"/>
      <c r="U2866" s="203"/>
      <c r="V2866" s="203"/>
      <c r="W2866" s="203"/>
      <c r="X2866" s="203"/>
      <c r="Y2866" s="203"/>
    </row>
    <row r="2867" spans="1:25" ht="30" customHeight="1" x14ac:dyDescent="0.35">
      <c r="A2867" s="241"/>
      <c r="B2867" s="506"/>
      <c r="C2867" s="506"/>
      <c r="D2867" s="506"/>
      <c r="E2867" s="453"/>
      <c r="F2867" s="1030"/>
      <c r="G2867" s="1073" t="s">
        <v>2374</v>
      </c>
      <c r="H2867" s="1073"/>
      <c r="I2867" s="1073"/>
      <c r="J2867" s="1073"/>
      <c r="K2867" s="612">
        <v>1.08</v>
      </c>
      <c r="L2867" s="243"/>
      <c r="M2867" s="173"/>
      <c r="N2867" s="419"/>
      <c r="O2867" s="203"/>
      <c r="P2867" s="218"/>
      <c r="Q2867" s="68"/>
      <c r="R2867" s="217"/>
    </row>
    <row r="2868" spans="1:25" ht="30" customHeight="1" x14ac:dyDescent="0.35">
      <c r="A2868" s="241"/>
      <c r="B2868" s="446"/>
      <c r="C2868" s="458"/>
      <c r="D2868" s="458"/>
      <c r="E2868" s="458"/>
      <c r="F2868" s="458"/>
      <c r="G2868" s="458"/>
      <c r="H2868" s="458"/>
      <c r="I2868" s="458"/>
      <c r="J2868" s="446" t="s">
        <v>2356</v>
      </c>
      <c r="K2868" s="591">
        <f>+K2865*K2866/K2867</f>
        <v>109.68847407407408</v>
      </c>
      <c r="L2868" s="243" t="s">
        <v>8</v>
      </c>
      <c r="M2868" s="173"/>
      <c r="N2868" s="419"/>
      <c r="O2868" s="171"/>
      <c r="P2868" s="216"/>
      <c r="Q2868" s="419"/>
      <c r="R2868" s="219"/>
    </row>
    <row r="2869" spans="1:25" ht="30" customHeight="1" x14ac:dyDescent="0.35">
      <c r="A2869" s="241"/>
      <c r="B2869" s="446"/>
      <c r="C2869" s="458"/>
      <c r="D2869" s="458"/>
      <c r="E2869" s="458"/>
      <c r="F2869" s="458"/>
      <c r="G2869" s="171"/>
      <c r="H2869" s="458"/>
      <c r="I2869" s="568" t="s">
        <v>2359</v>
      </c>
      <c r="J2869" s="583">
        <f>VLOOKUP(B2859,'Mil Cost Premiums for PUCs'!$A$4:$R$272,18,FALSE)</f>
        <v>1.1690733213045894</v>
      </c>
      <c r="K2869" s="591">
        <f>+K2868*J2869</f>
        <v>128.23386869461012</v>
      </c>
      <c r="L2869" s="243" t="s">
        <v>8</v>
      </c>
      <c r="M2869" s="173"/>
      <c r="N2869" s="68"/>
      <c r="O2869" s="171"/>
      <c r="P2869" s="216"/>
      <c r="Q2869" s="419"/>
      <c r="R2869" s="219"/>
    </row>
    <row r="2870" spans="1:25" ht="60" customHeight="1" x14ac:dyDescent="0.35">
      <c r="A2870" s="1064" t="s">
        <v>305</v>
      </c>
      <c r="B2870" s="1065"/>
      <c r="C2870" s="1065"/>
      <c r="D2870" s="1065"/>
      <c r="E2870" s="1065"/>
      <c r="F2870" s="1065"/>
      <c r="G2870" s="1065"/>
      <c r="H2870" s="1065"/>
      <c r="I2870" s="1065"/>
      <c r="J2870" s="1065"/>
      <c r="K2870" s="1065"/>
      <c r="L2870" s="1066"/>
      <c r="M2870" s="173"/>
      <c r="N2870" s="68"/>
      <c r="O2870" s="203"/>
      <c r="P2870" s="218"/>
      <c r="Q2870" s="68"/>
      <c r="R2870" s="217"/>
    </row>
    <row r="2871" spans="1:25" ht="30" customHeight="1" x14ac:dyDescent="0.35">
      <c r="A2871" s="1077" t="s">
        <v>306</v>
      </c>
      <c r="B2871" s="1042"/>
      <c r="C2871" s="1043"/>
      <c r="D2871" s="1067" t="s">
        <v>1367</v>
      </c>
      <c r="E2871" s="1065"/>
      <c r="F2871" s="1065"/>
      <c r="G2871" s="1065"/>
      <c r="H2871" s="1065"/>
      <c r="I2871" s="1065"/>
      <c r="J2871" s="1065"/>
      <c r="K2871" s="1065"/>
      <c r="L2871" s="1066"/>
      <c r="M2871" s="173"/>
      <c r="N2871" s="68"/>
      <c r="O2871" s="203"/>
      <c r="P2871" s="218"/>
      <c r="Q2871" s="68"/>
      <c r="R2871" s="217"/>
    </row>
    <row r="2872" spans="1:25" ht="30" customHeight="1" x14ac:dyDescent="0.35">
      <c r="A2872" s="1077" t="s">
        <v>307</v>
      </c>
      <c r="B2872" s="1042"/>
      <c r="C2872" s="1043"/>
      <c r="D2872" s="1067" t="s">
        <v>1368</v>
      </c>
      <c r="E2872" s="1065"/>
      <c r="F2872" s="1065"/>
      <c r="G2872" s="1065"/>
      <c r="H2872" s="1065"/>
      <c r="I2872" s="1065"/>
      <c r="J2872" s="1065"/>
      <c r="K2872" s="1065"/>
      <c r="L2872" s="1066"/>
      <c r="M2872" s="173"/>
      <c r="N2872" s="68"/>
      <c r="O2872" s="203"/>
      <c r="P2872" s="218"/>
      <c r="Q2872" s="68"/>
      <c r="R2872" s="217"/>
      <c r="T2872" s="208"/>
      <c r="U2872" s="208"/>
      <c r="V2872" s="208"/>
      <c r="W2872" s="208"/>
      <c r="X2872" s="208"/>
    </row>
    <row r="2873" spans="1:25" ht="30" customHeight="1" x14ac:dyDescent="0.35">
      <c r="A2873" s="1077" t="s">
        <v>308</v>
      </c>
      <c r="B2873" s="1042"/>
      <c r="C2873" s="1043"/>
      <c r="D2873" s="1067" t="s">
        <v>3070</v>
      </c>
      <c r="E2873" s="1065"/>
      <c r="F2873" s="1065"/>
      <c r="G2873" s="1065"/>
      <c r="H2873" s="1065"/>
      <c r="I2873" s="1065"/>
      <c r="J2873" s="1065"/>
      <c r="K2873" s="1065"/>
      <c r="L2873" s="1066"/>
      <c r="M2873" s="173"/>
      <c r="N2873" s="68"/>
      <c r="O2873" s="203"/>
      <c r="P2873" s="218"/>
      <c r="Q2873" s="68"/>
      <c r="R2873" s="217"/>
      <c r="Y2873" s="208"/>
    </row>
    <row r="2874" spans="1:25" ht="30" customHeight="1" x14ac:dyDescent="0.35">
      <c r="A2874" s="1077" t="s">
        <v>309</v>
      </c>
      <c r="B2874" s="1042"/>
      <c r="C2874" s="1043"/>
      <c r="D2874" s="1067" t="s">
        <v>1369</v>
      </c>
      <c r="E2874" s="1065"/>
      <c r="F2874" s="1065"/>
      <c r="G2874" s="1065"/>
      <c r="H2874" s="1065"/>
      <c r="I2874" s="1065"/>
      <c r="J2874" s="1065"/>
      <c r="K2874" s="1065"/>
      <c r="L2874" s="1066"/>
      <c r="M2874" s="173"/>
      <c r="N2874" s="68"/>
      <c r="O2874" s="208"/>
      <c r="P2874" s="218"/>
      <c r="Q2874" s="68"/>
      <c r="R2874" s="217"/>
      <c r="S2874" s="208"/>
    </row>
    <row r="2875" spans="1:25" ht="30" customHeight="1" x14ac:dyDescent="0.35">
      <c r="A2875" s="1077" t="s">
        <v>311</v>
      </c>
      <c r="B2875" s="1042"/>
      <c r="C2875" s="1043"/>
      <c r="D2875" s="1067" t="s">
        <v>1370</v>
      </c>
      <c r="E2875" s="1065"/>
      <c r="F2875" s="1065"/>
      <c r="G2875" s="1065"/>
      <c r="H2875" s="1065"/>
      <c r="I2875" s="1065"/>
      <c r="J2875" s="1065"/>
      <c r="K2875" s="1065"/>
      <c r="L2875" s="1066"/>
      <c r="M2875" s="173"/>
      <c r="N2875" s="68"/>
      <c r="O2875" s="203"/>
      <c r="P2875" s="218"/>
      <c r="Q2875" s="68"/>
      <c r="R2875" s="217"/>
    </row>
    <row r="2876" spans="1:25" s="208" customFormat="1" ht="30" customHeight="1" x14ac:dyDescent="0.35">
      <c r="A2876" s="1077" t="s">
        <v>313</v>
      </c>
      <c r="B2876" s="1042"/>
      <c r="C2876" s="1043"/>
      <c r="D2876" s="1067" t="s">
        <v>1371</v>
      </c>
      <c r="E2876" s="1065"/>
      <c r="F2876" s="1065"/>
      <c r="G2876" s="1065"/>
      <c r="H2876" s="1065"/>
      <c r="I2876" s="1065"/>
      <c r="J2876" s="1065"/>
      <c r="K2876" s="1065"/>
      <c r="L2876" s="1066"/>
      <c r="M2876" s="173"/>
      <c r="N2876" s="68"/>
      <c r="O2876" s="203"/>
      <c r="P2876" s="218"/>
      <c r="Q2876" s="68"/>
      <c r="R2876" s="217"/>
      <c r="S2876" s="203"/>
      <c r="T2876" s="203"/>
      <c r="U2876" s="203"/>
      <c r="V2876" s="203"/>
      <c r="W2876" s="203"/>
      <c r="X2876" s="203"/>
      <c r="Y2876" s="203"/>
    </row>
    <row r="2877" spans="1:25" ht="30" customHeight="1" x14ac:dyDescent="0.35">
      <c r="A2877" s="1077" t="s">
        <v>315</v>
      </c>
      <c r="B2877" s="1042"/>
      <c r="C2877" s="1043"/>
      <c r="D2877" s="1067" t="s">
        <v>1372</v>
      </c>
      <c r="E2877" s="1065"/>
      <c r="F2877" s="1065"/>
      <c r="G2877" s="1065"/>
      <c r="H2877" s="1065"/>
      <c r="I2877" s="1065"/>
      <c r="J2877" s="1065"/>
      <c r="K2877" s="1065"/>
      <c r="L2877" s="1066"/>
      <c r="M2877" s="173"/>
      <c r="N2877" s="419"/>
      <c r="O2877" s="171"/>
      <c r="P2877" s="216"/>
      <c r="Q2877" s="419"/>
      <c r="R2877" s="219"/>
    </row>
    <row r="2878" spans="1:25" ht="75" customHeight="1" x14ac:dyDescent="0.35">
      <c r="A2878" s="1077" t="s">
        <v>316</v>
      </c>
      <c r="B2878" s="1042"/>
      <c r="C2878" s="1043"/>
      <c r="D2878" s="1067" t="s">
        <v>373</v>
      </c>
      <c r="E2878" s="1065"/>
      <c r="F2878" s="1065"/>
      <c r="G2878" s="1065"/>
      <c r="H2878" s="1065"/>
      <c r="I2878" s="1065"/>
      <c r="J2878" s="1065"/>
      <c r="K2878" s="1065"/>
      <c r="L2878" s="1066"/>
      <c r="M2878" s="173"/>
      <c r="N2878" s="419"/>
      <c r="O2878" s="171"/>
      <c r="P2878" s="216"/>
      <c r="Q2878" s="419"/>
      <c r="R2878" s="219"/>
      <c r="T2878" s="51"/>
      <c r="U2878" s="171"/>
    </row>
    <row r="2879" spans="1:25" ht="30" customHeight="1" thickBot="1" x14ac:dyDescent="0.4">
      <c r="A2879" s="1077" t="s">
        <v>318</v>
      </c>
      <c r="B2879" s="1042"/>
      <c r="C2879" s="1043"/>
      <c r="D2879" s="1068" t="s">
        <v>1373</v>
      </c>
      <c r="E2879" s="1069"/>
      <c r="F2879" s="1069"/>
      <c r="G2879" s="1069"/>
      <c r="H2879" s="1069"/>
      <c r="I2879" s="1069"/>
      <c r="J2879" s="1069"/>
      <c r="K2879" s="1069"/>
      <c r="L2879" s="1070"/>
      <c r="M2879" s="173"/>
      <c r="O2879" s="203"/>
      <c r="P2879" s="218"/>
      <c r="Q2879" s="68"/>
      <c r="R2879" s="217"/>
      <c r="T2879" s="51"/>
      <c r="U2879" s="171"/>
    </row>
    <row r="2880" spans="1:25" ht="30" customHeight="1" thickBot="1" x14ac:dyDescent="0.4">
      <c r="A2880" s="1209"/>
      <c r="B2880" s="1323"/>
      <c r="C2880" s="1323"/>
      <c r="D2880" s="1323"/>
      <c r="E2880" s="1323"/>
      <c r="F2880" s="1323"/>
      <c r="G2880" s="1323"/>
      <c r="H2880" s="1323"/>
      <c r="I2880" s="1323"/>
      <c r="J2880" s="1323"/>
      <c r="K2880" s="1323"/>
      <c r="L2880" s="1324"/>
      <c r="M2880" s="173"/>
      <c r="N2880" s="207"/>
      <c r="P2880" s="171"/>
      <c r="Q2880" s="171"/>
      <c r="R2880" s="171"/>
      <c r="S2880" s="51"/>
      <c r="T2880" s="27"/>
      <c r="U2880" s="27"/>
      <c r="V2880" s="27"/>
      <c r="W2880" s="27"/>
      <c r="X2880" s="27"/>
    </row>
    <row r="2881" spans="1:25" ht="30" customHeight="1" x14ac:dyDescent="0.35">
      <c r="A2881" s="465" t="s">
        <v>278</v>
      </c>
      <c r="B2881" s="539">
        <v>7232</v>
      </c>
      <c r="C2881" s="1060" t="s">
        <v>1374</v>
      </c>
      <c r="D2881" s="1061"/>
      <c r="E2881" s="541" t="s">
        <v>280</v>
      </c>
      <c r="F2881" s="542" t="s">
        <v>8</v>
      </c>
      <c r="G2881" s="543" t="s">
        <v>285</v>
      </c>
      <c r="H2881" s="632">
        <v>3741</v>
      </c>
      <c r="I2881" s="541" t="s">
        <v>281</v>
      </c>
      <c r="J2881" s="1019" t="s">
        <v>2663</v>
      </c>
      <c r="K2881" s="1019"/>
      <c r="L2881" s="1020"/>
      <c r="M2881" s="173"/>
      <c r="N2881" s="68"/>
      <c r="P2881" s="171"/>
      <c r="Q2881" s="171"/>
      <c r="R2881" s="171"/>
      <c r="S2881" s="51"/>
      <c r="T2881" s="208"/>
      <c r="U2881" s="208"/>
      <c r="V2881" s="208"/>
      <c r="W2881" s="208"/>
      <c r="X2881" s="208"/>
      <c r="Y2881" s="27"/>
    </row>
    <row r="2882" spans="1:25" ht="30" customHeight="1" x14ac:dyDescent="0.35">
      <c r="A2882" s="545" t="s">
        <v>288</v>
      </c>
      <c r="B2882" s="1051" t="s">
        <v>282</v>
      </c>
      <c r="C2882" s="1051"/>
      <c r="D2882" s="1051"/>
      <c r="E2882" s="530" t="s">
        <v>289</v>
      </c>
      <c r="F2882" s="561" t="s">
        <v>290</v>
      </c>
      <c r="G2882" s="509"/>
      <c r="H2882" s="509"/>
      <c r="I2882" s="1052" t="s">
        <v>405</v>
      </c>
      <c r="J2882" s="1053"/>
      <c r="K2882" s="1012" t="s">
        <v>292</v>
      </c>
      <c r="L2882" s="1013"/>
      <c r="M2882" s="173"/>
      <c r="N2882" s="136"/>
      <c r="O2882" s="207"/>
      <c r="P2882" s="27"/>
      <c r="Q2882" s="27"/>
      <c r="R2882" s="27"/>
      <c r="S2882" s="27"/>
      <c r="Y2882" s="208"/>
    </row>
    <row r="2883" spans="1:25" ht="30" customHeight="1" x14ac:dyDescent="0.35">
      <c r="A2883" s="562" t="s">
        <v>293</v>
      </c>
      <c r="B2883" s="1116" t="s">
        <v>2664</v>
      </c>
      <c r="C2883" s="1042"/>
      <c r="D2883" s="1043"/>
      <c r="E2883" s="563">
        <v>180000</v>
      </c>
      <c r="F2883" s="444">
        <v>53</v>
      </c>
      <c r="G2883" s="442"/>
      <c r="H2883" s="17"/>
      <c r="I2883" s="1044" t="s">
        <v>2662</v>
      </c>
      <c r="J2883" s="1045"/>
      <c r="K2883" s="444">
        <f>+F2883</f>
        <v>53</v>
      </c>
      <c r="L2883" s="564" t="s">
        <v>8</v>
      </c>
      <c r="M2883" s="173"/>
      <c r="N2883" s="68"/>
      <c r="P2883" s="208"/>
      <c r="Q2883" s="208"/>
      <c r="R2883" s="208"/>
      <c r="S2883" s="208"/>
      <c r="T2883" s="51"/>
      <c r="U2883" s="171"/>
    </row>
    <row r="2884" spans="1:25" s="27" customFormat="1" ht="30" customHeight="1" thickBot="1" x14ac:dyDescent="0.4">
      <c r="A2884" s="241"/>
      <c r="B2884" s="1109"/>
      <c r="C2884" s="1110"/>
      <c r="D2884" s="1111"/>
      <c r="E2884" s="843"/>
      <c r="F2884" s="844"/>
      <c r="G2884" s="844"/>
      <c r="H2884" s="845"/>
      <c r="I2884" s="458"/>
      <c r="J2884" s="510" t="s">
        <v>2356</v>
      </c>
      <c r="K2884" s="585">
        <f>+K2883</f>
        <v>53</v>
      </c>
      <c r="L2884" s="243" t="s">
        <v>8</v>
      </c>
      <c r="M2884" s="173"/>
      <c r="N2884" s="426"/>
      <c r="O2884" s="205"/>
      <c r="P2884" s="203"/>
      <c r="Q2884" s="203"/>
      <c r="R2884" s="203"/>
      <c r="S2884" s="203"/>
      <c r="T2884" s="51"/>
      <c r="U2884" s="171"/>
      <c r="V2884" s="203"/>
      <c r="W2884" s="203"/>
      <c r="X2884" s="203"/>
      <c r="Y2884" s="203"/>
    </row>
    <row r="2885" spans="1:25" s="208" customFormat="1" ht="30" customHeight="1" thickBot="1" x14ac:dyDescent="0.4">
      <c r="A2885" s="1086"/>
      <c r="B2885" s="1087"/>
      <c r="C2885" s="1087"/>
      <c r="D2885" s="1087"/>
      <c r="E2885" s="1087"/>
      <c r="F2885" s="1087"/>
      <c r="G2885" s="1087"/>
      <c r="H2885" s="1087"/>
      <c r="I2885" s="1087"/>
      <c r="J2885" s="1087"/>
      <c r="K2885" s="1087"/>
      <c r="L2885" s="1088"/>
      <c r="M2885" s="173"/>
      <c r="N2885" s="68"/>
      <c r="O2885" s="205"/>
      <c r="P2885" s="171"/>
      <c r="Q2885" s="171"/>
      <c r="R2885" s="171"/>
      <c r="S2885" s="51"/>
      <c r="T2885" s="27"/>
      <c r="U2885" s="27"/>
      <c r="V2885" s="27"/>
      <c r="W2885" s="27"/>
      <c r="X2885" s="27"/>
      <c r="Y2885" s="203"/>
    </row>
    <row r="2886" spans="1:25" ht="30" customHeight="1" x14ac:dyDescent="0.35">
      <c r="A2886" s="465" t="s">
        <v>278</v>
      </c>
      <c r="B2886" s="539">
        <v>7233</v>
      </c>
      <c r="C2886" s="1017" t="s">
        <v>1375</v>
      </c>
      <c r="D2886" s="1018"/>
      <c r="E2886" s="541" t="s">
        <v>280</v>
      </c>
      <c r="F2886" s="542" t="s">
        <v>8</v>
      </c>
      <c r="G2886" s="543" t="s">
        <v>285</v>
      </c>
      <c r="H2886" s="632">
        <v>3680</v>
      </c>
      <c r="I2886" s="541" t="s">
        <v>281</v>
      </c>
      <c r="J2886" s="1019" t="s">
        <v>2371</v>
      </c>
      <c r="K2886" s="1019"/>
      <c r="L2886" s="1020"/>
      <c r="M2886" s="173"/>
      <c r="N2886" s="419"/>
      <c r="P2886" s="171"/>
      <c r="Q2886" s="171"/>
      <c r="R2886" s="171"/>
      <c r="S2886" s="51"/>
      <c r="T2886" s="208"/>
      <c r="U2886" s="208"/>
      <c r="V2886" s="208"/>
      <c r="W2886" s="208"/>
      <c r="X2886" s="208"/>
      <c r="Y2886" s="27"/>
    </row>
    <row r="2887" spans="1:25" ht="30" customHeight="1" x14ac:dyDescent="0.35">
      <c r="A2887" s="588" t="s">
        <v>298</v>
      </c>
      <c r="B2887" s="1038" t="s">
        <v>321</v>
      </c>
      <c r="C2887" s="1039"/>
      <c r="D2887" s="1040"/>
      <c r="E2887" s="23" t="s">
        <v>290</v>
      </c>
      <c r="F2887" s="23" t="s">
        <v>322</v>
      </c>
      <c r="G2887" s="1034" t="s">
        <v>323</v>
      </c>
      <c r="H2887" s="1035"/>
      <c r="I2887" s="509" t="s">
        <v>299</v>
      </c>
      <c r="J2887" s="509"/>
      <c r="K2887" s="595" t="s">
        <v>292</v>
      </c>
      <c r="L2887" s="846"/>
      <c r="M2887" s="173"/>
      <c r="N2887" s="419"/>
      <c r="O2887" s="207"/>
      <c r="P2887" s="27"/>
      <c r="Q2887" s="27"/>
      <c r="R2887" s="27"/>
      <c r="S2887" s="27"/>
      <c r="Y2887" s="208"/>
    </row>
    <row r="2888" spans="1:25" ht="30" customHeight="1" x14ac:dyDescent="0.35">
      <c r="A2888" s="241" t="s">
        <v>1376</v>
      </c>
      <c r="B2888" s="1031" t="s">
        <v>1377</v>
      </c>
      <c r="C2888" s="1032"/>
      <c r="D2888" s="1033"/>
      <c r="E2888" s="453">
        <v>124</v>
      </c>
      <c r="F2888" s="446" t="s">
        <v>8</v>
      </c>
      <c r="G2888" s="454"/>
      <c r="H2888" s="446"/>
      <c r="I2888" s="446">
        <v>1.04</v>
      </c>
      <c r="J2888" s="446"/>
      <c r="K2888" s="453">
        <f>+E2888*I2888</f>
        <v>128.96</v>
      </c>
      <c r="L2888" s="243" t="s">
        <v>8</v>
      </c>
      <c r="M2888" s="173"/>
      <c r="N2888" s="68"/>
      <c r="P2888" s="208"/>
      <c r="Q2888" s="208"/>
      <c r="R2888" s="208"/>
      <c r="S2888" s="208"/>
    </row>
    <row r="2889" spans="1:25" s="27" customFormat="1" ht="30" customHeight="1" x14ac:dyDescent="0.35">
      <c r="A2889" s="241" t="s">
        <v>1274</v>
      </c>
      <c r="B2889" s="1031" t="s">
        <v>1290</v>
      </c>
      <c r="C2889" s="1032"/>
      <c r="D2889" s="1032"/>
      <c r="E2889" s="453">
        <v>4.09</v>
      </c>
      <c r="F2889" s="446" t="s">
        <v>8</v>
      </c>
      <c r="G2889" s="519"/>
      <c r="H2889" s="508"/>
      <c r="I2889" s="446">
        <v>1.04</v>
      </c>
      <c r="J2889" s="446"/>
      <c r="K2889" s="453">
        <f>+E2889*I2889</f>
        <v>4.2535999999999996</v>
      </c>
      <c r="L2889" s="243" t="s">
        <v>8</v>
      </c>
      <c r="M2889" s="173"/>
      <c r="N2889" s="68"/>
      <c r="O2889" s="205"/>
      <c r="P2889" s="203"/>
      <c r="Q2889" s="203"/>
      <c r="R2889" s="203"/>
      <c r="S2889" s="203"/>
      <c r="T2889" s="203"/>
      <c r="U2889" s="203"/>
      <c r="V2889" s="203"/>
      <c r="W2889" s="203"/>
      <c r="X2889" s="203"/>
      <c r="Y2889" s="203"/>
    </row>
    <row r="2890" spans="1:25" s="208" customFormat="1" ht="30" customHeight="1" x14ac:dyDescent="0.35">
      <c r="A2890" s="241"/>
      <c r="B2890" s="1059"/>
      <c r="C2890" s="1059"/>
      <c r="D2890" s="1059"/>
      <c r="E2890" s="453"/>
      <c r="F2890" s="446"/>
      <c r="G2890" s="519"/>
      <c r="H2890" s="508"/>
      <c r="I2890" s="446"/>
      <c r="J2890" s="446" t="s">
        <v>335</v>
      </c>
      <c r="K2890" s="453">
        <f>SUM(K2888:K2889)</f>
        <v>133.21360000000001</v>
      </c>
      <c r="L2890" s="243" t="s">
        <v>8</v>
      </c>
      <c r="M2890" s="173"/>
      <c r="N2890" s="68"/>
      <c r="O2890" s="203"/>
      <c r="P2890" s="218"/>
      <c r="Q2890" s="68"/>
      <c r="R2890" s="217"/>
      <c r="S2890" s="203"/>
      <c r="T2890" s="203"/>
      <c r="U2890" s="203"/>
      <c r="V2890" s="203"/>
      <c r="W2890" s="203"/>
      <c r="X2890" s="203"/>
      <c r="Y2890" s="203"/>
    </row>
    <row r="2891" spans="1:25" ht="30" customHeight="1" x14ac:dyDescent="0.35">
      <c r="A2891" s="241"/>
      <c r="B2891" s="506"/>
      <c r="C2891" s="506"/>
      <c r="D2891" s="506"/>
      <c r="E2891" s="453"/>
      <c r="F2891" s="1029" t="s">
        <v>302</v>
      </c>
      <c r="G2891" s="1058" t="s">
        <v>303</v>
      </c>
      <c r="H2891" s="1058"/>
      <c r="I2891" s="1058"/>
      <c r="J2891" s="1058"/>
      <c r="K2891" s="612">
        <v>1.07</v>
      </c>
      <c r="L2891" s="243"/>
      <c r="M2891" s="173"/>
      <c r="O2891" s="203"/>
      <c r="P2891" s="218"/>
      <c r="Q2891" s="68"/>
      <c r="R2891" s="217"/>
      <c r="T2891" s="208"/>
      <c r="U2891" s="208"/>
      <c r="V2891" s="208"/>
      <c r="W2891" s="208"/>
      <c r="X2891" s="208"/>
    </row>
    <row r="2892" spans="1:25" ht="30" customHeight="1" x14ac:dyDescent="0.35">
      <c r="A2892" s="241"/>
      <c r="B2892" s="506"/>
      <c r="C2892" s="506"/>
      <c r="D2892" s="506"/>
      <c r="E2892" s="453"/>
      <c r="F2892" s="1030"/>
      <c r="G2892" s="1073" t="s">
        <v>2374</v>
      </c>
      <c r="H2892" s="1073"/>
      <c r="I2892" s="1073"/>
      <c r="J2892" s="1073"/>
      <c r="K2892" s="612">
        <v>1.08</v>
      </c>
      <c r="L2892" s="243"/>
      <c r="M2892" s="173"/>
      <c r="N2892" s="421"/>
      <c r="O2892" s="203"/>
      <c r="P2892" s="218"/>
      <c r="Q2892" s="68"/>
      <c r="R2892" s="217"/>
      <c r="Y2892" s="208"/>
    </row>
    <row r="2893" spans="1:25" ht="30" customHeight="1" x14ac:dyDescent="0.35">
      <c r="A2893" s="241"/>
      <c r="B2893" s="446"/>
      <c r="C2893" s="458"/>
      <c r="D2893" s="458"/>
      <c r="E2893" s="458"/>
      <c r="F2893" s="458"/>
      <c r="G2893" s="458"/>
      <c r="H2893" s="458"/>
      <c r="I2893" s="458"/>
      <c r="J2893" s="446" t="s">
        <v>2356</v>
      </c>
      <c r="K2893" s="591">
        <f>+K2890*K2891/K2892</f>
        <v>131.98014074074075</v>
      </c>
      <c r="L2893" s="243" t="s">
        <v>8</v>
      </c>
      <c r="M2893" s="173"/>
      <c r="N2893" s="214"/>
      <c r="O2893" s="208"/>
      <c r="P2893" s="218"/>
      <c r="Q2893" s="68"/>
      <c r="R2893" s="217"/>
      <c r="S2893" s="208"/>
    </row>
    <row r="2894" spans="1:25" ht="30" customHeight="1" thickBot="1" x14ac:dyDescent="0.4">
      <c r="A2894" s="241"/>
      <c r="B2894" s="446"/>
      <c r="C2894" s="458"/>
      <c r="D2894" s="458"/>
      <c r="E2894" s="458"/>
      <c r="F2894" s="458"/>
      <c r="G2894" s="592" t="s">
        <v>2358</v>
      </c>
      <c r="H2894" s="458"/>
      <c r="I2894" s="458"/>
      <c r="J2894" s="583">
        <f>VLOOKUP(B2886,'Mil Cost Premiums for PUCs'!$A$4:$R$272,18,FALSE)</f>
        <v>1.0569712645049996</v>
      </c>
      <c r="K2894" s="591">
        <f>+K2893*J2894</f>
        <v>139.49921624828855</v>
      </c>
      <c r="L2894" s="243" t="s">
        <v>8</v>
      </c>
      <c r="M2894" s="173"/>
      <c r="O2894" s="203"/>
      <c r="P2894" s="218"/>
      <c r="Q2894" s="68"/>
      <c r="R2894" s="217"/>
    </row>
    <row r="2895" spans="1:25" s="208" customFormat="1" ht="30" customHeight="1" thickBot="1" x14ac:dyDescent="0.4">
      <c r="A2895" s="481"/>
      <c r="B2895" s="482"/>
      <c r="C2895" s="482"/>
      <c r="D2895" s="482"/>
      <c r="E2895" s="482"/>
      <c r="F2895" s="482"/>
      <c r="G2895" s="482"/>
      <c r="H2895" s="482"/>
      <c r="I2895" s="482"/>
      <c r="J2895" s="482"/>
      <c r="K2895" s="482"/>
      <c r="L2895" s="483"/>
      <c r="M2895" s="173"/>
      <c r="N2895" s="203"/>
      <c r="O2895" s="203"/>
      <c r="P2895" s="218"/>
      <c r="Q2895" s="68"/>
      <c r="R2895" s="217"/>
      <c r="S2895" s="203"/>
      <c r="T2895" s="203"/>
      <c r="U2895" s="203"/>
      <c r="V2895" s="203"/>
      <c r="W2895" s="203"/>
      <c r="X2895" s="203"/>
      <c r="Y2895" s="203"/>
    </row>
    <row r="2896" spans="1:25" ht="30" customHeight="1" x14ac:dyDescent="0.35">
      <c r="A2896" s="465" t="s">
        <v>278</v>
      </c>
      <c r="B2896" s="539">
        <v>7234</v>
      </c>
      <c r="C2896" s="1017" t="s">
        <v>1378</v>
      </c>
      <c r="D2896" s="1018"/>
      <c r="E2896" s="541" t="s">
        <v>280</v>
      </c>
      <c r="F2896" s="542" t="s">
        <v>8</v>
      </c>
      <c r="G2896" s="543" t="s">
        <v>285</v>
      </c>
      <c r="H2896" s="587">
        <v>662</v>
      </c>
      <c r="I2896" s="541" t="s">
        <v>281</v>
      </c>
      <c r="J2896" s="1019" t="s">
        <v>2371</v>
      </c>
      <c r="K2896" s="1019"/>
      <c r="L2896" s="1020"/>
      <c r="M2896" s="173"/>
      <c r="O2896" s="203"/>
      <c r="P2896" s="218"/>
      <c r="Q2896" s="68"/>
      <c r="R2896" s="217"/>
    </row>
    <row r="2897" spans="1:25" ht="30" customHeight="1" x14ac:dyDescent="0.35">
      <c r="A2897" s="588" t="s">
        <v>298</v>
      </c>
      <c r="B2897" s="1038" t="s">
        <v>321</v>
      </c>
      <c r="C2897" s="1039"/>
      <c r="D2897" s="1040"/>
      <c r="E2897" s="23" t="s">
        <v>290</v>
      </c>
      <c r="F2897" s="23" t="s">
        <v>322</v>
      </c>
      <c r="G2897" s="1034" t="s">
        <v>323</v>
      </c>
      <c r="H2897" s="1035"/>
      <c r="I2897" s="509" t="s">
        <v>299</v>
      </c>
      <c r="J2897" s="509"/>
      <c r="K2897" s="595" t="s">
        <v>292</v>
      </c>
      <c r="L2897" s="739"/>
      <c r="M2897" s="173"/>
      <c r="N2897" s="208"/>
      <c r="O2897" s="171"/>
      <c r="P2897" s="216"/>
      <c r="Q2897" s="419"/>
      <c r="R2897" s="219"/>
    </row>
    <row r="2898" spans="1:25" ht="30" customHeight="1" x14ac:dyDescent="0.35">
      <c r="A2898" s="241" t="s">
        <v>518</v>
      </c>
      <c r="B2898" s="1031" t="s">
        <v>1379</v>
      </c>
      <c r="C2898" s="1032"/>
      <c r="D2898" s="1033"/>
      <c r="E2898" s="453">
        <v>143</v>
      </c>
      <c r="F2898" s="3" t="s">
        <v>8</v>
      </c>
      <c r="G2898" s="496"/>
      <c r="H2898" s="498"/>
      <c r="I2898" s="446">
        <v>1.04</v>
      </c>
      <c r="J2898" s="446"/>
      <c r="K2898" s="453">
        <f>+E2898*I2898</f>
        <v>148.72</v>
      </c>
      <c r="L2898" s="243" t="s">
        <v>8</v>
      </c>
      <c r="M2898" s="173"/>
      <c r="N2898" s="214"/>
      <c r="O2898" s="171"/>
      <c r="P2898" s="216"/>
      <c r="Q2898" s="419"/>
      <c r="R2898" s="219"/>
    </row>
    <row r="2899" spans="1:25" ht="30" customHeight="1" x14ac:dyDescent="0.35">
      <c r="A2899" s="241" t="s">
        <v>521</v>
      </c>
      <c r="B2899" s="1102" t="s">
        <v>1380</v>
      </c>
      <c r="C2899" s="1102"/>
      <c r="D2899" s="1102"/>
      <c r="E2899" s="453">
        <v>4.84</v>
      </c>
      <c r="F2899" s="446" t="s">
        <v>8</v>
      </c>
      <c r="G2899" s="446"/>
      <c r="H2899" s="446"/>
      <c r="I2899" s="446">
        <v>1.04</v>
      </c>
      <c r="J2899" s="446"/>
      <c r="K2899" s="453">
        <f>+E2899*I2899</f>
        <v>5.0335999999999999</v>
      </c>
      <c r="L2899" s="243" t="s">
        <v>8</v>
      </c>
      <c r="M2899" s="173"/>
      <c r="O2899" s="203"/>
      <c r="P2899" s="218"/>
      <c r="Q2899" s="68"/>
      <c r="R2899" s="217"/>
    </row>
    <row r="2900" spans="1:25" ht="30" customHeight="1" x14ac:dyDescent="0.35">
      <c r="A2900" s="832"/>
      <c r="B2900" s="1102"/>
      <c r="C2900" s="1102"/>
      <c r="D2900" s="1102"/>
      <c r="E2900" s="453"/>
      <c r="F2900" s="446"/>
      <c r="G2900" s="454"/>
      <c r="H2900" s="446"/>
      <c r="I2900" s="446"/>
      <c r="J2900" s="446" t="s">
        <v>335</v>
      </c>
      <c r="K2900" s="453">
        <f>SUM(K2898:K2899)</f>
        <v>153.75360000000001</v>
      </c>
      <c r="L2900" s="243" t="s">
        <v>8</v>
      </c>
      <c r="M2900" s="173"/>
      <c r="O2900" s="203"/>
      <c r="P2900" s="218"/>
      <c r="Q2900" s="68"/>
      <c r="R2900" s="217"/>
    </row>
    <row r="2901" spans="1:25" ht="30" customHeight="1" x14ac:dyDescent="0.35">
      <c r="A2901" s="241"/>
      <c r="B2901" s="506"/>
      <c r="C2901" s="506"/>
      <c r="D2901" s="506"/>
      <c r="E2901" s="453"/>
      <c r="F2901" s="1029" t="s">
        <v>302</v>
      </c>
      <c r="G2901" s="1058" t="s">
        <v>303</v>
      </c>
      <c r="H2901" s="1058"/>
      <c r="I2901" s="1058"/>
      <c r="J2901" s="1058"/>
      <c r="K2901" s="612">
        <v>1.07</v>
      </c>
      <c r="L2901" s="243"/>
      <c r="M2901" s="173"/>
      <c r="N2901" s="68"/>
      <c r="O2901" s="203"/>
      <c r="P2901" s="218"/>
      <c r="Q2901" s="68"/>
      <c r="R2901" s="217"/>
      <c r="T2901" s="208"/>
      <c r="U2901" s="208"/>
      <c r="V2901" s="208"/>
      <c r="W2901" s="208"/>
      <c r="X2901" s="208"/>
    </row>
    <row r="2902" spans="1:25" ht="30" customHeight="1" x14ac:dyDescent="0.35">
      <c r="A2902" s="241"/>
      <c r="B2902" s="506"/>
      <c r="C2902" s="506"/>
      <c r="D2902" s="506"/>
      <c r="E2902" s="453"/>
      <c r="F2902" s="1030"/>
      <c r="G2902" s="1073" t="s">
        <v>2171</v>
      </c>
      <c r="H2902" s="1073"/>
      <c r="I2902" s="1073"/>
      <c r="J2902" s="1073"/>
      <c r="K2902" s="612">
        <v>1.08</v>
      </c>
      <c r="L2902" s="243"/>
      <c r="M2902" s="173"/>
      <c r="N2902" s="69"/>
      <c r="O2902" s="203"/>
      <c r="P2902" s="218"/>
      <c r="Q2902" s="68"/>
      <c r="R2902" s="217"/>
      <c r="Y2902" s="208"/>
    </row>
    <row r="2903" spans="1:25" ht="30" customHeight="1" x14ac:dyDescent="0.35">
      <c r="A2903" s="241"/>
      <c r="B2903" s="446"/>
      <c r="C2903" s="458"/>
      <c r="D2903" s="458"/>
      <c r="E2903" s="458"/>
      <c r="F2903" s="458"/>
      <c r="G2903" s="458"/>
      <c r="H2903" s="458"/>
      <c r="I2903" s="458"/>
      <c r="J2903" s="458" t="s">
        <v>2356</v>
      </c>
      <c r="K2903" s="591">
        <f>+K2900*K2901/K2902</f>
        <v>152.32995555555556</v>
      </c>
      <c r="L2903" s="243" t="s">
        <v>8</v>
      </c>
      <c r="M2903" s="173"/>
      <c r="N2903" s="68"/>
      <c r="O2903" s="208"/>
      <c r="P2903" s="218"/>
      <c r="Q2903" s="68"/>
      <c r="R2903" s="217"/>
      <c r="S2903" s="208"/>
    </row>
    <row r="2904" spans="1:25" ht="30" customHeight="1" thickBot="1" x14ac:dyDescent="0.4">
      <c r="A2904" s="241"/>
      <c r="B2904" s="446"/>
      <c r="C2904" s="458"/>
      <c r="D2904" s="458"/>
      <c r="E2904" s="458"/>
      <c r="F2904" s="458"/>
      <c r="G2904" s="592" t="s">
        <v>2358</v>
      </c>
      <c r="H2904" s="458"/>
      <c r="I2904" s="458"/>
      <c r="J2904" s="583">
        <f>VLOOKUP(B2896,'Mil Cost Premiums for PUCs'!$A$4:$R$272,18,FALSE)</f>
        <v>1.1675459237447372</v>
      </c>
      <c r="K2904" s="591">
        <f>+K2903*J2904</f>
        <v>177.85221867310588</v>
      </c>
      <c r="L2904" s="243" t="s">
        <v>8</v>
      </c>
      <c r="M2904" s="173"/>
      <c r="N2904" s="68"/>
      <c r="O2904" s="203"/>
      <c r="P2904" s="218"/>
      <c r="Q2904" s="68"/>
      <c r="R2904" s="217"/>
    </row>
    <row r="2905" spans="1:25" s="208" customFormat="1" ht="30" customHeight="1" thickBot="1" x14ac:dyDescent="0.4">
      <c r="A2905" s="481"/>
      <c r="B2905" s="482"/>
      <c r="C2905" s="482"/>
      <c r="D2905" s="482"/>
      <c r="E2905" s="482"/>
      <c r="F2905" s="482"/>
      <c r="G2905" s="482"/>
      <c r="H2905" s="482"/>
      <c r="I2905" s="482"/>
      <c r="J2905" s="482"/>
      <c r="K2905" s="482"/>
      <c r="L2905" s="483"/>
      <c r="M2905" s="173"/>
      <c r="N2905" s="68"/>
      <c r="O2905" s="203"/>
      <c r="P2905" s="218"/>
      <c r="Q2905" s="68"/>
      <c r="R2905" s="217"/>
      <c r="S2905" s="203"/>
      <c r="T2905" s="203"/>
      <c r="U2905" s="203"/>
      <c r="V2905" s="203"/>
      <c r="W2905" s="203"/>
      <c r="X2905" s="203"/>
      <c r="Y2905" s="203"/>
    </row>
    <row r="2906" spans="1:25" ht="30" customHeight="1" x14ac:dyDescent="0.35">
      <c r="A2906" s="465" t="s">
        <v>278</v>
      </c>
      <c r="B2906" s="539">
        <v>7235</v>
      </c>
      <c r="C2906" s="1017" t="s">
        <v>1381</v>
      </c>
      <c r="D2906" s="1018"/>
      <c r="E2906" s="541" t="s">
        <v>280</v>
      </c>
      <c r="F2906" s="542" t="s">
        <v>10</v>
      </c>
      <c r="G2906" s="560" t="s">
        <v>279</v>
      </c>
      <c r="H2906" s="587">
        <v>1</v>
      </c>
      <c r="I2906" s="541" t="s">
        <v>281</v>
      </c>
      <c r="J2906" s="1019" t="s">
        <v>2371</v>
      </c>
      <c r="K2906" s="1019"/>
      <c r="L2906" s="1020"/>
      <c r="M2906" s="173"/>
      <c r="N2906" s="419"/>
      <c r="O2906" s="203"/>
      <c r="P2906" s="218"/>
      <c r="Q2906" s="68"/>
      <c r="R2906" s="217"/>
    </row>
    <row r="2907" spans="1:25" ht="30" customHeight="1" x14ac:dyDescent="0.35">
      <c r="A2907" s="588" t="s">
        <v>298</v>
      </c>
      <c r="B2907" s="1038" t="s">
        <v>321</v>
      </c>
      <c r="C2907" s="1039"/>
      <c r="D2907" s="1040"/>
      <c r="E2907" s="23" t="s">
        <v>290</v>
      </c>
      <c r="F2907" s="23" t="s">
        <v>322</v>
      </c>
      <c r="G2907" s="1034" t="s">
        <v>323</v>
      </c>
      <c r="H2907" s="1035"/>
      <c r="I2907" s="509" t="s">
        <v>299</v>
      </c>
      <c r="J2907" s="509"/>
      <c r="K2907" s="595" t="s">
        <v>292</v>
      </c>
      <c r="L2907" s="739"/>
      <c r="M2907" s="406"/>
      <c r="N2907" s="419"/>
      <c r="O2907" s="171"/>
      <c r="P2907" s="216"/>
      <c r="Q2907" s="419"/>
      <c r="R2907" s="219"/>
    </row>
    <row r="2908" spans="1:25" ht="30" customHeight="1" x14ac:dyDescent="0.35">
      <c r="A2908" s="241" t="s">
        <v>1382</v>
      </c>
      <c r="B2908" s="1102" t="s">
        <v>1383</v>
      </c>
      <c r="C2908" s="1102"/>
      <c r="D2908" s="1102"/>
      <c r="E2908" s="453">
        <v>43.25</v>
      </c>
      <c r="F2908" s="446" t="s">
        <v>8</v>
      </c>
      <c r="G2908" s="446">
        <v>800</v>
      </c>
      <c r="H2908" s="446" t="s">
        <v>325</v>
      </c>
      <c r="I2908" s="665">
        <v>1.05</v>
      </c>
      <c r="J2908" s="446"/>
      <c r="K2908" s="453">
        <f>+E2908*I2908*G2908</f>
        <v>36330</v>
      </c>
      <c r="L2908" s="243" t="s">
        <v>10</v>
      </c>
      <c r="M2908" s="173"/>
      <c r="N2908" s="68"/>
      <c r="O2908" s="171"/>
      <c r="P2908" s="216"/>
      <c r="Q2908" s="419"/>
      <c r="R2908" s="219"/>
      <c r="T2908" s="27"/>
      <c r="U2908" s="171"/>
    </row>
    <row r="2909" spans="1:25" ht="30" customHeight="1" x14ac:dyDescent="0.35">
      <c r="A2909" s="241"/>
      <c r="B2909" s="1102" t="s">
        <v>3071</v>
      </c>
      <c r="C2909" s="1102"/>
      <c r="D2909" s="1102"/>
      <c r="E2909" s="453"/>
      <c r="F2909" s="446"/>
      <c r="G2909" s="446"/>
      <c r="H2909" s="446"/>
      <c r="I2909" s="446"/>
      <c r="J2909" s="446"/>
      <c r="K2909" s="453"/>
      <c r="L2909" s="243"/>
      <c r="M2909" s="173"/>
      <c r="N2909" s="68"/>
      <c r="O2909" s="203"/>
      <c r="P2909" s="218"/>
      <c r="Q2909" s="68"/>
      <c r="R2909" s="217"/>
      <c r="T2909" s="27"/>
      <c r="U2909" s="171"/>
    </row>
    <row r="2910" spans="1:25" ht="30" customHeight="1" x14ac:dyDescent="0.35">
      <c r="A2910" s="241"/>
      <c r="B2910" s="506"/>
      <c r="C2910" s="506"/>
      <c r="D2910" s="506"/>
      <c r="E2910" s="453"/>
      <c r="F2910" s="1029" t="s">
        <v>302</v>
      </c>
      <c r="G2910" s="1058" t="s">
        <v>303</v>
      </c>
      <c r="H2910" s="1058"/>
      <c r="I2910" s="1058"/>
      <c r="J2910" s="1058"/>
      <c r="K2910" s="612">
        <v>1.07</v>
      </c>
      <c r="L2910" s="243"/>
      <c r="M2910" s="173"/>
      <c r="N2910" s="68"/>
      <c r="O2910" s="207"/>
      <c r="P2910" s="27"/>
      <c r="Q2910" s="27"/>
      <c r="R2910" s="27"/>
      <c r="S2910" s="27"/>
      <c r="T2910" s="27"/>
      <c r="U2910" s="27"/>
      <c r="V2910" s="27"/>
      <c r="W2910" s="27"/>
      <c r="X2910" s="27"/>
    </row>
    <row r="2911" spans="1:25" ht="30" customHeight="1" x14ac:dyDescent="0.35">
      <c r="A2911" s="241"/>
      <c r="B2911" s="506"/>
      <c r="C2911" s="506"/>
      <c r="D2911" s="506"/>
      <c r="E2911" s="453"/>
      <c r="F2911" s="1030"/>
      <c r="G2911" s="1073" t="s">
        <v>2374</v>
      </c>
      <c r="H2911" s="1073"/>
      <c r="I2911" s="1073"/>
      <c r="J2911" s="1073"/>
      <c r="K2911" s="612">
        <v>1.08</v>
      </c>
      <c r="L2911" s="243"/>
      <c r="M2911" s="173"/>
      <c r="N2911" s="68"/>
      <c r="O2911" s="207"/>
      <c r="P2911" s="27"/>
      <c r="Q2911" s="27"/>
      <c r="R2911" s="27"/>
      <c r="S2911" s="27"/>
      <c r="T2911" s="208"/>
      <c r="U2911" s="208"/>
      <c r="V2911" s="208"/>
      <c r="W2911" s="208"/>
      <c r="X2911" s="208"/>
      <c r="Y2911" s="27"/>
    </row>
    <row r="2912" spans="1:25" ht="30" customHeight="1" x14ac:dyDescent="0.35">
      <c r="A2912" s="241"/>
      <c r="B2912" s="446"/>
      <c r="C2912" s="458"/>
      <c r="D2912" s="458"/>
      <c r="E2912" s="458"/>
      <c r="F2912" s="458"/>
      <c r="G2912" s="458"/>
      <c r="H2912" s="458"/>
      <c r="I2912" s="458"/>
      <c r="J2912" s="458" t="s">
        <v>2356</v>
      </c>
      <c r="K2912" s="591">
        <f>+K2908*K2910/K2911</f>
        <v>35993.611111111117</v>
      </c>
      <c r="L2912" s="243" t="s">
        <v>10</v>
      </c>
      <c r="M2912" s="173"/>
      <c r="N2912" s="68"/>
      <c r="O2912" s="207"/>
      <c r="P2912" s="27"/>
      <c r="Q2912" s="27"/>
      <c r="R2912" s="27"/>
      <c r="S2912" s="27"/>
      <c r="U2912" s="27"/>
      <c r="V2912" s="27"/>
      <c r="W2912" s="27"/>
      <c r="X2912" s="27"/>
      <c r="Y2912" s="208"/>
    </row>
    <row r="2913" spans="1:25" ht="30" customHeight="1" thickBot="1" x14ac:dyDescent="0.4">
      <c r="A2913" s="241"/>
      <c r="B2913" s="446"/>
      <c r="C2913" s="458"/>
      <c r="D2913" s="458"/>
      <c r="E2913" s="458"/>
      <c r="F2913" s="458"/>
      <c r="G2913" s="592" t="s">
        <v>2358</v>
      </c>
      <c r="H2913" s="458"/>
      <c r="I2913" s="458"/>
      <c r="J2913" s="583">
        <f>VLOOKUP(B2906,'Mil Cost Premiums for PUCs'!$A$4:$R$272,18,FALSE)</f>
        <v>1.0209999999999999</v>
      </c>
      <c r="K2913" s="591">
        <f>+K2912*J2913</f>
        <v>36749.476944444446</v>
      </c>
      <c r="L2913" s="243" t="s">
        <v>10</v>
      </c>
      <c r="M2913" s="173"/>
      <c r="N2913" s="68"/>
      <c r="P2913" s="208"/>
      <c r="Q2913" s="208"/>
      <c r="R2913" s="208"/>
      <c r="S2913" s="208"/>
      <c r="U2913" s="27"/>
      <c r="V2913" s="27"/>
      <c r="W2913" s="27"/>
      <c r="X2913" s="27"/>
      <c r="Y2913" s="27"/>
    </row>
    <row r="2914" spans="1:25" s="27" customFormat="1" ht="30" customHeight="1" thickBot="1" x14ac:dyDescent="0.4">
      <c r="A2914" s="481"/>
      <c r="B2914" s="482"/>
      <c r="C2914" s="482"/>
      <c r="D2914" s="482"/>
      <c r="E2914" s="482"/>
      <c r="F2914" s="482"/>
      <c r="G2914" s="482"/>
      <c r="H2914" s="482"/>
      <c r="I2914" s="482"/>
      <c r="J2914" s="482"/>
      <c r="K2914" s="482"/>
      <c r="L2914" s="483"/>
      <c r="M2914" s="173"/>
      <c r="N2914" s="68"/>
      <c r="O2914" s="205"/>
      <c r="P2914" s="203"/>
      <c r="Q2914" s="203"/>
      <c r="R2914" s="203"/>
      <c r="S2914" s="203"/>
      <c r="T2914" s="51"/>
      <c r="U2914" s="203"/>
      <c r="V2914" s="203"/>
      <c r="W2914" s="203"/>
      <c r="X2914" s="203"/>
    </row>
    <row r="2915" spans="1:25" s="208" customFormat="1" ht="30" customHeight="1" x14ac:dyDescent="0.35">
      <c r="A2915" s="465" t="s">
        <v>278</v>
      </c>
      <c r="B2915" s="539">
        <v>7240</v>
      </c>
      <c r="C2915" s="1060" t="s">
        <v>1384</v>
      </c>
      <c r="D2915" s="1061"/>
      <c r="E2915" s="541" t="s">
        <v>280</v>
      </c>
      <c r="F2915" s="542" t="s">
        <v>8</v>
      </c>
      <c r="G2915" s="543" t="s">
        <v>285</v>
      </c>
      <c r="H2915" s="437">
        <v>14985</v>
      </c>
      <c r="I2915" s="541" t="s">
        <v>281</v>
      </c>
      <c r="J2915" s="1019" t="s">
        <v>1269</v>
      </c>
      <c r="K2915" s="1019"/>
      <c r="L2915" s="1020"/>
      <c r="M2915" s="363"/>
      <c r="N2915" s="68"/>
      <c r="O2915" s="205"/>
      <c r="P2915" s="203"/>
      <c r="Q2915" s="203"/>
      <c r="R2915" s="203"/>
      <c r="S2915" s="203"/>
      <c r="T2915" s="51"/>
      <c r="U2915" s="203"/>
      <c r="V2915" s="203"/>
      <c r="W2915" s="203"/>
      <c r="X2915" s="203"/>
      <c r="Y2915" s="203"/>
    </row>
    <row r="2916" spans="1:25" s="27" customFormat="1" ht="30" customHeight="1" x14ac:dyDescent="0.35">
      <c r="A2916" s="545" t="s">
        <v>288</v>
      </c>
      <c r="B2916" s="1051" t="s">
        <v>282</v>
      </c>
      <c r="C2916" s="1051"/>
      <c r="D2916" s="1051"/>
      <c r="E2916" s="530" t="s">
        <v>289</v>
      </c>
      <c r="F2916" s="561" t="s">
        <v>290</v>
      </c>
      <c r="G2916" s="509"/>
      <c r="H2916" s="509"/>
      <c r="I2916" s="1052" t="s">
        <v>419</v>
      </c>
      <c r="J2916" s="1053"/>
      <c r="K2916" s="1012" t="s">
        <v>292</v>
      </c>
      <c r="L2916" s="1013"/>
      <c r="M2916" s="173"/>
      <c r="N2916" s="419"/>
      <c r="O2916" s="205"/>
      <c r="P2916" s="171"/>
      <c r="Q2916" s="171"/>
      <c r="R2916" s="171"/>
      <c r="S2916" s="51"/>
      <c r="U2916" s="171"/>
      <c r="V2916" s="203"/>
      <c r="W2916" s="203"/>
      <c r="X2916" s="203"/>
      <c r="Y2916" s="203"/>
    </row>
    <row r="2917" spans="1:25" s="27" customFormat="1" ht="30" customHeight="1" x14ac:dyDescent="0.35">
      <c r="A2917" s="562" t="s">
        <v>293</v>
      </c>
      <c r="B2917" s="1057" t="s">
        <v>2665</v>
      </c>
      <c r="C2917" s="1057"/>
      <c r="D2917" s="1057"/>
      <c r="E2917" s="563">
        <v>97000</v>
      </c>
      <c r="F2917" s="444">
        <v>258</v>
      </c>
      <c r="G2917" s="442"/>
      <c r="H2917" s="17"/>
      <c r="I2917" s="1044">
        <f>+'2021 MILCON Inflation Table'!F13</f>
        <v>1.1643998639918394</v>
      </c>
      <c r="J2917" s="1045"/>
      <c r="K2917" s="444">
        <f>+F2917*I2917</f>
        <v>300.41516490989454</v>
      </c>
      <c r="L2917" s="564" t="s">
        <v>8</v>
      </c>
      <c r="M2917" s="173"/>
      <c r="N2917" s="419"/>
      <c r="O2917" s="205"/>
      <c r="P2917" s="171"/>
      <c r="Q2917" s="171"/>
      <c r="R2917" s="171"/>
      <c r="S2917" s="51"/>
      <c r="T2917" s="203"/>
      <c r="U2917" s="171"/>
      <c r="V2917" s="203"/>
      <c r="W2917" s="203"/>
      <c r="X2917" s="203"/>
      <c r="Y2917" s="203"/>
    </row>
    <row r="2918" spans="1:25" ht="30" customHeight="1" thickBot="1" x14ac:dyDescent="0.4">
      <c r="A2918" s="241"/>
      <c r="B2918" s="1109"/>
      <c r="C2918" s="1110"/>
      <c r="D2918" s="1111"/>
      <c r="E2918" s="565"/>
      <c r="F2918" s="566"/>
      <c r="G2918" s="566"/>
      <c r="H2918" s="567"/>
      <c r="I2918" s="458"/>
      <c r="J2918" s="510" t="s">
        <v>2356</v>
      </c>
      <c r="K2918" s="585">
        <f>+K2917</f>
        <v>300.41516490989454</v>
      </c>
      <c r="L2918" s="243" t="s">
        <v>8</v>
      </c>
      <c r="M2918" s="173"/>
      <c r="N2918" s="68"/>
      <c r="O2918" s="207"/>
      <c r="P2918" s="27"/>
      <c r="Q2918" s="27"/>
      <c r="R2918" s="27"/>
      <c r="S2918" s="27"/>
      <c r="U2918" s="27"/>
      <c r="V2918" s="27"/>
      <c r="W2918" s="27"/>
      <c r="X2918" s="27"/>
    </row>
    <row r="2919" spans="1:25" ht="30" customHeight="1" thickBot="1" x14ac:dyDescent="0.4">
      <c r="A2919" s="1209"/>
      <c r="B2919" s="1323"/>
      <c r="C2919" s="1323"/>
      <c r="D2919" s="1323"/>
      <c r="E2919" s="1323"/>
      <c r="F2919" s="1323"/>
      <c r="G2919" s="1323"/>
      <c r="H2919" s="1323"/>
      <c r="I2919" s="1323"/>
      <c r="J2919" s="1323"/>
      <c r="K2919" s="1323"/>
      <c r="L2919" s="1324"/>
      <c r="M2919" s="173"/>
      <c r="N2919" s="68"/>
      <c r="T2919" s="213"/>
      <c r="U2919" s="208"/>
      <c r="V2919" s="208"/>
      <c r="W2919" s="208"/>
      <c r="X2919" s="208"/>
      <c r="Y2919" s="27"/>
    </row>
    <row r="2920" spans="1:25" ht="30" customHeight="1" x14ac:dyDescent="0.35">
      <c r="A2920" s="467" t="s">
        <v>278</v>
      </c>
      <c r="B2920" s="502">
        <v>7241</v>
      </c>
      <c r="C2920" s="1107" t="s">
        <v>1385</v>
      </c>
      <c r="D2920" s="1108"/>
      <c r="E2920" s="396" t="s">
        <v>280</v>
      </c>
      <c r="F2920" s="67" t="s">
        <v>8</v>
      </c>
      <c r="G2920" s="397" t="s">
        <v>285</v>
      </c>
      <c r="H2920" s="415">
        <v>11459</v>
      </c>
      <c r="I2920" s="396" t="s">
        <v>281</v>
      </c>
      <c r="J2920" s="1321" t="s">
        <v>1269</v>
      </c>
      <c r="K2920" s="1321"/>
      <c r="L2920" s="1322"/>
      <c r="M2920" s="173"/>
      <c r="N2920" s="68"/>
      <c r="T2920" s="51"/>
      <c r="Y2920" s="208"/>
    </row>
    <row r="2921" spans="1:25" ht="30" customHeight="1" x14ac:dyDescent="0.35">
      <c r="A2921" s="545" t="s">
        <v>288</v>
      </c>
      <c r="B2921" s="1051" t="s">
        <v>282</v>
      </c>
      <c r="C2921" s="1051"/>
      <c r="D2921" s="1051"/>
      <c r="E2921" s="530" t="s">
        <v>289</v>
      </c>
      <c r="F2921" s="561" t="s">
        <v>290</v>
      </c>
      <c r="G2921" s="509"/>
      <c r="H2921" s="509"/>
      <c r="I2921" s="1052" t="s">
        <v>419</v>
      </c>
      <c r="J2921" s="1053"/>
      <c r="K2921" s="1034" t="s">
        <v>292</v>
      </c>
      <c r="L2921" s="1406"/>
      <c r="M2921" s="173"/>
      <c r="N2921" s="214"/>
      <c r="P2921" s="75"/>
      <c r="Q2921" s="75"/>
      <c r="R2921" s="75"/>
      <c r="S2921" s="213"/>
    </row>
    <row r="2922" spans="1:25" s="27" customFormat="1" ht="30" customHeight="1" x14ac:dyDescent="0.35">
      <c r="A2922" s="562" t="s">
        <v>293</v>
      </c>
      <c r="B2922" s="1057" t="s">
        <v>2665</v>
      </c>
      <c r="C2922" s="1057"/>
      <c r="D2922" s="1057"/>
      <c r="E2922" s="563">
        <v>97000</v>
      </c>
      <c r="F2922" s="444">
        <v>258</v>
      </c>
      <c r="G2922" s="442"/>
      <c r="H2922" s="17"/>
      <c r="I2922" s="1044">
        <f>+'2021 MILCON Inflation Table'!F13</f>
        <v>1.1643998639918394</v>
      </c>
      <c r="J2922" s="1045"/>
      <c r="K2922" s="444">
        <f>+F2922*I2922</f>
        <v>300.41516490989454</v>
      </c>
      <c r="L2922" s="564" t="s">
        <v>8</v>
      </c>
      <c r="M2922" s="173"/>
      <c r="N2922" s="421"/>
      <c r="O2922" s="205"/>
      <c r="P2922" s="171"/>
      <c r="Q2922" s="171"/>
      <c r="R2922" s="171"/>
      <c r="S2922" s="51"/>
      <c r="T2922" s="203"/>
      <c r="U2922" s="203"/>
      <c r="V2922" s="203"/>
      <c r="W2922" s="203"/>
      <c r="X2922" s="203"/>
      <c r="Y2922" s="203"/>
    </row>
    <row r="2923" spans="1:25" s="208" customFormat="1" ht="30" customHeight="1" thickBot="1" x14ac:dyDescent="0.4">
      <c r="A2923" s="241"/>
      <c r="B2923" s="1059"/>
      <c r="C2923" s="1059"/>
      <c r="D2923" s="1059"/>
      <c r="E2923" s="565"/>
      <c r="F2923" s="566"/>
      <c r="G2923" s="566"/>
      <c r="H2923" s="567"/>
      <c r="I2923" s="458"/>
      <c r="J2923" s="510" t="s">
        <v>2356</v>
      </c>
      <c r="K2923" s="585">
        <f>+K2922</f>
        <v>300.41516490989454</v>
      </c>
      <c r="L2923" s="243" t="s">
        <v>8</v>
      </c>
      <c r="M2923" s="173"/>
      <c r="N2923" s="214"/>
      <c r="O2923" s="203"/>
      <c r="P2923" s="218"/>
      <c r="Q2923" s="68"/>
      <c r="R2923" s="217"/>
      <c r="S2923" s="136"/>
      <c r="T2923" s="203"/>
      <c r="U2923" s="203"/>
      <c r="V2923" s="203"/>
      <c r="W2923" s="203"/>
      <c r="X2923" s="203"/>
      <c r="Y2923" s="203"/>
    </row>
    <row r="2924" spans="1:25" ht="30" customHeight="1" thickBot="1" x14ac:dyDescent="0.4">
      <c r="A2924" s="1209"/>
      <c r="B2924" s="1323"/>
      <c r="C2924" s="1323"/>
      <c r="D2924" s="1323"/>
      <c r="E2924" s="1323"/>
      <c r="F2924" s="1323"/>
      <c r="G2924" s="1323"/>
      <c r="H2924" s="1323"/>
      <c r="I2924" s="1323"/>
      <c r="J2924" s="1323"/>
      <c r="K2924" s="1323"/>
      <c r="L2924" s="1324"/>
      <c r="M2924" s="173"/>
      <c r="N2924" s="214"/>
      <c r="O2924" s="203"/>
      <c r="P2924" s="218"/>
      <c r="Q2924" s="68"/>
      <c r="R2924" s="217"/>
      <c r="T2924" s="208"/>
      <c r="U2924" s="208"/>
      <c r="V2924" s="208"/>
      <c r="W2924" s="208"/>
      <c r="X2924" s="208"/>
    </row>
    <row r="2925" spans="1:25" ht="30" customHeight="1" x14ac:dyDescent="0.35">
      <c r="A2925" s="467" t="s">
        <v>278</v>
      </c>
      <c r="B2925" s="502">
        <v>7242</v>
      </c>
      <c r="C2925" s="1107" t="s">
        <v>1386</v>
      </c>
      <c r="D2925" s="1108"/>
      <c r="E2925" s="396" t="s">
        <v>280</v>
      </c>
      <c r="F2925" s="67" t="s">
        <v>8</v>
      </c>
      <c r="G2925" s="397" t="s">
        <v>285</v>
      </c>
      <c r="H2925" s="372">
        <v>64243</v>
      </c>
      <c r="I2925" s="396" t="s">
        <v>281</v>
      </c>
      <c r="J2925" s="1019" t="s">
        <v>2371</v>
      </c>
      <c r="K2925" s="1019"/>
      <c r="L2925" s="1020"/>
      <c r="M2925" s="173"/>
      <c r="N2925" s="21"/>
      <c r="O2925" s="203"/>
      <c r="P2925" s="218"/>
      <c r="Q2925" s="68"/>
      <c r="R2925" s="217"/>
      <c r="Y2925" s="208"/>
    </row>
    <row r="2926" spans="1:25" ht="30" customHeight="1" x14ac:dyDescent="0.35">
      <c r="A2926" s="588" t="s">
        <v>298</v>
      </c>
      <c r="B2926" s="1038" t="s">
        <v>321</v>
      </c>
      <c r="C2926" s="1039"/>
      <c r="D2926" s="1040"/>
      <c r="E2926" s="23" t="s">
        <v>290</v>
      </c>
      <c r="F2926" s="23" t="s">
        <v>322</v>
      </c>
      <c r="G2926" s="1034" t="s">
        <v>323</v>
      </c>
      <c r="H2926" s="1035"/>
      <c r="I2926" s="509" t="s">
        <v>299</v>
      </c>
      <c r="J2926" s="509"/>
      <c r="K2926" s="1012" t="s">
        <v>292</v>
      </c>
      <c r="L2926" s="1013"/>
      <c r="M2926" s="173"/>
      <c r="N2926" s="293"/>
      <c r="O2926" s="208"/>
      <c r="P2926" s="218"/>
      <c r="Q2926" s="68"/>
      <c r="R2926" s="217"/>
      <c r="S2926" s="208"/>
    </row>
    <row r="2927" spans="1:25" ht="30" customHeight="1" x14ac:dyDescent="0.35">
      <c r="A2927" s="848" t="s">
        <v>1364</v>
      </c>
      <c r="B2927" s="1102" t="s">
        <v>1387</v>
      </c>
      <c r="C2927" s="1102"/>
      <c r="D2927" s="1102"/>
      <c r="E2927" s="453">
        <v>158</v>
      </c>
      <c r="F2927" s="446" t="s">
        <v>8</v>
      </c>
      <c r="G2927" s="454"/>
      <c r="H2927" s="446"/>
      <c r="I2927" s="665">
        <v>1.05</v>
      </c>
      <c r="J2927" s="665"/>
      <c r="K2927" s="453">
        <f>+E2927*I2927</f>
        <v>165.9</v>
      </c>
      <c r="L2927" s="243" t="s">
        <v>8</v>
      </c>
      <c r="M2927" s="173"/>
      <c r="N2927" s="293"/>
      <c r="O2927" s="203"/>
      <c r="P2927" s="218"/>
      <c r="Q2927" s="68"/>
      <c r="R2927" s="217"/>
    </row>
    <row r="2928" spans="1:25" s="208" customFormat="1" ht="30" customHeight="1" x14ac:dyDescent="0.35">
      <c r="A2928" s="832" t="s">
        <v>1289</v>
      </c>
      <c r="B2928" s="1031" t="s">
        <v>1388</v>
      </c>
      <c r="C2928" s="1032"/>
      <c r="D2928" s="1032"/>
      <c r="E2928" s="453">
        <v>3.06</v>
      </c>
      <c r="F2928" s="446" t="s">
        <v>8</v>
      </c>
      <c r="G2928" s="519"/>
      <c r="H2928" s="508"/>
      <c r="I2928" s="665">
        <v>1.05</v>
      </c>
      <c r="J2928" s="665"/>
      <c r="K2928" s="453">
        <f>+E2928*I2928</f>
        <v>3.2130000000000001</v>
      </c>
      <c r="L2928" s="243" t="s">
        <v>8</v>
      </c>
      <c r="M2928" s="293"/>
      <c r="N2928" s="293"/>
      <c r="O2928" s="203"/>
      <c r="P2928" s="218"/>
      <c r="Q2928" s="68"/>
      <c r="R2928" s="217"/>
      <c r="S2928" s="203"/>
      <c r="T2928" s="203"/>
      <c r="U2928" s="203"/>
      <c r="V2928" s="203"/>
      <c r="W2928" s="203"/>
      <c r="X2928" s="203"/>
      <c r="Y2928" s="203"/>
    </row>
    <row r="2929" spans="1:18" ht="30" customHeight="1" x14ac:dyDescent="0.35">
      <c r="A2929" s="241"/>
      <c r="B2929" s="1059"/>
      <c r="C2929" s="1059"/>
      <c r="D2929" s="1059"/>
      <c r="E2929" s="453"/>
      <c r="F2929" s="446"/>
      <c r="G2929" s="519"/>
      <c r="H2929" s="508"/>
      <c r="I2929" s="446"/>
      <c r="J2929" s="446" t="s">
        <v>335</v>
      </c>
      <c r="K2929" s="453">
        <f>SUM(K2927:K2928)</f>
        <v>169.113</v>
      </c>
      <c r="L2929" s="243" t="s">
        <v>8</v>
      </c>
      <c r="M2929" s="293"/>
      <c r="N2929" s="293"/>
      <c r="O2929" s="203"/>
      <c r="P2929" s="218"/>
      <c r="Q2929" s="68"/>
      <c r="R2929" s="217"/>
    </row>
    <row r="2930" spans="1:18" ht="30" customHeight="1" x14ac:dyDescent="0.35">
      <c r="A2930" s="241"/>
      <c r="B2930" s="506"/>
      <c r="C2930" s="506"/>
      <c r="D2930" s="506"/>
      <c r="E2930" s="453"/>
      <c r="F2930" s="1029" t="s">
        <v>302</v>
      </c>
      <c r="G2930" s="1058" t="s">
        <v>303</v>
      </c>
      <c r="H2930" s="1058"/>
      <c r="I2930" s="1058"/>
      <c r="J2930" s="1058"/>
      <c r="K2930" s="612">
        <v>1.07</v>
      </c>
      <c r="L2930" s="243"/>
      <c r="M2930" s="293"/>
      <c r="N2930" s="208"/>
      <c r="O2930" s="203"/>
      <c r="P2930" s="218"/>
      <c r="Q2930" s="68"/>
      <c r="R2930" s="217"/>
    </row>
    <row r="2931" spans="1:18" ht="30" customHeight="1" x14ac:dyDescent="0.35">
      <c r="A2931" s="241"/>
      <c r="B2931" s="506"/>
      <c r="C2931" s="506"/>
      <c r="D2931" s="506"/>
      <c r="E2931" s="453"/>
      <c r="F2931" s="1030"/>
      <c r="G2931" s="1073" t="s">
        <v>2374</v>
      </c>
      <c r="H2931" s="1073"/>
      <c r="I2931" s="1073"/>
      <c r="J2931" s="1073"/>
      <c r="K2931" s="612">
        <v>1.08</v>
      </c>
      <c r="L2931" s="243"/>
      <c r="M2931" s="293"/>
      <c r="O2931" s="203"/>
      <c r="P2931" s="218"/>
      <c r="Q2931" s="68"/>
      <c r="R2931" s="217"/>
    </row>
    <row r="2932" spans="1:18" ht="30" customHeight="1" x14ac:dyDescent="0.35">
      <c r="A2932" s="241"/>
      <c r="B2932" s="446"/>
      <c r="C2932" s="458"/>
      <c r="D2932" s="458"/>
      <c r="E2932" s="458"/>
      <c r="F2932" s="458"/>
      <c r="G2932" s="458"/>
      <c r="H2932" s="458"/>
      <c r="I2932" s="458"/>
      <c r="J2932" s="458" t="s">
        <v>2356</v>
      </c>
      <c r="K2932" s="591">
        <f>+K2929*K2930/K2931</f>
        <v>167.5471388888889</v>
      </c>
      <c r="L2932" s="243" t="s">
        <v>8</v>
      </c>
      <c r="M2932" s="173"/>
      <c r="O2932" s="203"/>
      <c r="P2932" s="218"/>
      <c r="Q2932" s="68"/>
      <c r="R2932" s="217"/>
    </row>
    <row r="2933" spans="1:18" ht="30" customHeight="1" thickBot="1" x14ac:dyDescent="0.4">
      <c r="A2933" s="241"/>
      <c r="B2933" s="446"/>
      <c r="C2933" s="458"/>
      <c r="D2933" s="458"/>
      <c r="E2933" s="458"/>
      <c r="F2933" s="458"/>
      <c r="G2933" s="592" t="s">
        <v>2358</v>
      </c>
      <c r="H2933" s="458"/>
      <c r="I2933" s="458"/>
      <c r="J2933" s="583">
        <f>VLOOKUP(B2925,'Mil Cost Premiums for PUCs'!$A$4:$R$272,18,FALSE)</f>
        <v>1.3319480854780448</v>
      </c>
      <c r="K2933" s="591">
        <f>+K2932*J2933</f>
        <v>223.16409087037962</v>
      </c>
      <c r="L2933" s="243" t="s">
        <v>8</v>
      </c>
      <c r="M2933" s="173"/>
      <c r="O2933" s="203"/>
      <c r="P2933" s="218"/>
      <c r="Q2933" s="68"/>
      <c r="R2933" s="217"/>
    </row>
    <row r="2934" spans="1:18" ht="30" customHeight="1" thickBot="1" x14ac:dyDescent="0.4">
      <c r="A2934" s="481"/>
      <c r="B2934" s="1087"/>
      <c r="C2934" s="1087"/>
      <c r="D2934" s="1087"/>
      <c r="E2934" s="1087"/>
      <c r="F2934" s="1087"/>
      <c r="G2934" s="1087"/>
      <c r="H2934" s="1087"/>
      <c r="I2934" s="1087"/>
      <c r="J2934" s="1087"/>
      <c r="K2934" s="1087"/>
      <c r="L2934" s="1088"/>
      <c r="M2934" s="173"/>
      <c r="O2934" s="203"/>
      <c r="P2934" s="218"/>
      <c r="Q2934" s="68"/>
      <c r="R2934" s="217"/>
    </row>
    <row r="2935" spans="1:18" ht="30" customHeight="1" x14ac:dyDescent="0.35">
      <c r="A2935" s="465" t="s">
        <v>278</v>
      </c>
      <c r="B2935" s="539">
        <v>7250</v>
      </c>
      <c r="C2935" s="1060" t="s">
        <v>1389</v>
      </c>
      <c r="D2935" s="1061"/>
      <c r="E2935" s="541" t="s">
        <v>280</v>
      </c>
      <c r="F2935" s="542" t="s">
        <v>8</v>
      </c>
      <c r="G2935" s="543" t="s">
        <v>285</v>
      </c>
      <c r="H2935" s="632">
        <v>2383</v>
      </c>
      <c r="I2935" s="541" t="s">
        <v>281</v>
      </c>
      <c r="J2935" s="1019" t="s">
        <v>2371</v>
      </c>
      <c r="K2935" s="1019"/>
      <c r="L2935" s="1020"/>
      <c r="M2935" s="173"/>
      <c r="N2935" s="68"/>
      <c r="O2935" s="203"/>
      <c r="P2935" s="218"/>
      <c r="Q2935" s="68"/>
      <c r="R2935" s="217"/>
    </row>
    <row r="2936" spans="1:18" ht="30" customHeight="1" x14ac:dyDescent="0.35">
      <c r="A2936" s="588" t="s">
        <v>298</v>
      </c>
      <c r="B2936" s="1038" t="s">
        <v>321</v>
      </c>
      <c r="C2936" s="1039"/>
      <c r="D2936" s="1040"/>
      <c r="E2936" s="23" t="s">
        <v>290</v>
      </c>
      <c r="F2936" s="23" t="s">
        <v>322</v>
      </c>
      <c r="G2936" s="1034" t="s">
        <v>323</v>
      </c>
      <c r="H2936" s="1035"/>
      <c r="I2936" s="509" t="s">
        <v>299</v>
      </c>
      <c r="J2936" s="509"/>
      <c r="K2936" s="1012" t="s">
        <v>292</v>
      </c>
      <c r="L2936" s="1013"/>
      <c r="M2936" s="173"/>
      <c r="N2936" s="68"/>
      <c r="O2936" s="203"/>
      <c r="P2936" s="218"/>
      <c r="Q2936" s="68"/>
      <c r="R2936" s="217"/>
    </row>
    <row r="2937" spans="1:18" ht="30" customHeight="1" x14ac:dyDescent="0.35">
      <c r="A2937" s="717" t="s">
        <v>1390</v>
      </c>
      <c r="B2937" s="1031" t="s">
        <v>1391</v>
      </c>
      <c r="C2937" s="1032"/>
      <c r="D2937" s="1033"/>
      <c r="E2937" s="453">
        <v>82</v>
      </c>
      <c r="F2937" s="3" t="s">
        <v>8</v>
      </c>
      <c r="G2937" s="496"/>
      <c r="H2937" s="498"/>
      <c r="I2937" s="446">
        <v>1.02</v>
      </c>
      <c r="J2937" s="446"/>
      <c r="K2937" s="453">
        <f>+E2937*I2937</f>
        <v>83.64</v>
      </c>
      <c r="L2937" s="243" t="s">
        <v>8</v>
      </c>
      <c r="M2937" s="173"/>
      <c r="N2937" s="68"/>
      <c r="O2937" s="171"/>
      <c r="P2937" s="216"/>
      <c r="Q2937" s="419"/>
      <c r="R2937" s="219"/>
    </row>
    <row r="2938" spans="1:18" ht="30" customHeight="1" x14ac:dyDescent="0.35">
      <c r="A2938" s="848" t="s">
        <v>1392</v>
      </c>
      <c r="B2938" s="1031" t="s">
        <v>1393</v>
      </c>
      <c r="C2938" s="1032"/>
      <c r="D2938" s="1032"/>
      <c r="E2938" s="453">
        <v>4.38</v>
      </c>
      <c r="F2938" s="3" t="s">
        <v>8</v>
      </c>
      <c r="G2938" s="496"/>
      <c r="H2938" s="498"/>
      <c r="I2938" s="446">
        <v>1.02</v>
      </c>
      <c r="J2938" s="446"/>
      <c r="K2938" s="453">
        <f>+E2938*I2938</f>
        <v>4.4676</v>
      </c>
      <c r="L2938" s="243" t="s">
        <v>8</v>
      </c>
      <c r="M2938" s="173"/>
      <c r="N2938" s="68"/>
      <c r="O2938" s="171"/>
      <c r="P2938" s="216"/>
      <c r="Q2938" s="419"/>
      <c r="R2938" s="219"/>
    </row>
    <row r="2939" spans="1:18" ht="30" customHeight="1" x14ac:dyDescent="0.35">
      <c r="A2939" s="832"/>
      <c r="B2939" s="1102"/>
      <c r="C2939" s="1102"/>
      <c r="D2939" s="1102"/>
      <c r="E2939" s="453"/>
      <c r="F2939" s="446"/>
      <c r="G2939" s="454"/>
      <c r="H2939" s="446"/>
      <c r="I2939" s="446"/>
      <c r="J2939" s="446" t="s">
        <v>335</v>
      </c>
      <c r="K2939" s="453">
        <f>SUM(K2937:K2938)</f>
        <v>88.107600000000005</v>
      </c>
      <c r="L2939" s="243" t="s">
        <v>8</v>
      </c>
      <c r="M2939" s="173"/>
      <c r="N2939" s="68"/>
      <c r="O2939" s="203"/>
      <c r="P2939" s="218"/>
      <c r="Q2939" s="68"/>
      <c r="R2939" s="217"/>
    </row>
    <row r="2940" spans="1:18" ht="30" customHeight="1" x14ac:dyDescent="0.35">
      <c r="A2940" s="241"/>
      <c r="B2940" s="506"/>
      <c r="C2940" s="506"/>
      <c r="D2940" s="506"/>
      <c r="E2940" s="453"/>
      <c r="F2940" s="1029" t="s">
        <v>302</v>
      </c>
      <c r="G2940" s="1058" t="s">
        <v>303</v>
      </c>
      <c r="H2940" s="1058"/>
      <c r="I2940" s="1058"/>
      <c r="J2940" s="1058"/>
      <c r="K2940" s="612">
        <v>1.07</v>
      </c>
      <c r="L2940" s="243"/>
      <c r="M2940" s="173"/>
      <c r="N2940" s="68"/>
      <c r="O2940" s="203"/>
      <c r="P2940" s="218"/>
      <c r="Q2940" s="68"/>
      <c r="R2940" s="217"/>
    </row>
    <row r="2941" spans="1:18" ht="30" customHeight="1" x14ac:dyDescent="0.35">
      <c r="A2941" s="241"/>
      <c r="B2941" s="506"/>
      <c r="C2941" s="506"/>
      <c r="D2941" s="506"/>
      <c r="E2941" s="453"/>
      <c r="F2941" s="1030"/>
      <c r="G2941" s="1073" t="s">
        <v>2374</v>
      </c>
      <c r="H2941" s="1073"/>
      <c r="I2941" s="1073"/>
      <c r="J2941" s="1073"/>
      <c r="K2941" s="612">
        <v>1.08</v>
      </c>
      <c r="L2941" s="243"/>
      <c r="M2941" s="173"/>
      <c r="N2941" s="68"/>
      <c r="O2941" s="203"/>
      <c r="P2941" s="218"/>
      <c r="Q2941" s="68"/>
      <c r="R2941" s="217"/>
    </row>
    <row r="2942" spans="1:18" ht="30" customHeight="1" x14ac:dyDescent="0.35">
      <c r="A2942" s="241"/>
      <c r="B2942" s="446"/>
      <c r="C2942" s="458"/>
      <c r="D2942" s="458"/>
      <c r="E2942" s="458"/>
      <c r="F2942" s="458"/>
      <c r="G2942" s="458"/>
      <c r="H2942" s="458"/>
      <c r="I2942" s="458"/>
      <c r="J2942" s="458" t="s">
        <v>2356</v>
      </c>
      <c r="K2942" s="591">
        <f>+K2939*K2940/K2941</f>
        <v>87.291788888888902</v>
      </c>
      <c r="L2942" s="243" t="s">
        <v>8</v>
      </c>
      <c r="M2942" s="173"/>
      <c r="N2942" s="68"/>
      <c r="O2942" s="203"/>
      <c r="P2942" s="218"/>
      <c r="Q2942" s="68"/>
      <c r="R2942" s="217"/>
    </row>
    <row r="2943" spans="1:18" ht="30" customHeight="1" thickBot="1" x14ac:dyDescent="0.4">
      <c r="A2943" s="241"/>
      <c r="B2943" s="446"/>
      <c r="C2943" s="458"/>
      <c r="D2943" s="458"/>
      <c r="E2943" s="458"/>
      <c r="F2943" s="458"/>
      <c r="G2943" s="592" t="s">
        <v>2358</v>
      </c>
      <c r="H2943" s="458"/>
      <c r="I2943" s="458"/>
      <c r="J2943" s="583">
        <f>VLOOKUP(B2935,'Mil Cost Premiums for PUCs'!$A$4:$R$272,18,FALSE)</f>
        <v>1.3319480854780448</v>
      </c>
      <c r="K2943" s="591">
        <f>+K2942*J2943</f>
        <v>116.26813108850924</v>
      </c>
      <c r="L2943" s="243" t="s">
        <v>8</v>
      </c>
      <c r="M2943" s="173"/>
      <c r="N2943" s="422"/>
      <c r="O2943" s="203"/>
      <c r="P2943" s="218"/>
      <c r="Q2943" s="68"/>
      <c r="R2943" s="217"/>
    </row>
    <row r="2944" spans="1:18" ht="30" customHeight="1" thickBot="1" x14ac:dyDescent="0.4">
      <c r="A2944" s="1086"/>
      <c r="B2944" s="1087"/>
      <c r="C2944" s="1087"/>
      <c r="D2944" s="1087"/>
      <c r="E2944" s="1087"/>
      <c r="F2944" s="1087"/>
      <c r="G2944" s="1087"/>
      <c r="H2944" s="1087"/>
      <c r="I2944" s="1087"/>
      <c r="J2944" s="1087"/>
      <c r="K2944" s="1087"/>
      <c r="L2944" s="1088"/>
      <c r="M2944" s="173"/>
      <c r="N2944" s="422"/>
      <c r="O2944" s="203"/>
      <c r="P2944" s="218"/>
      <c r="Q2944" s="68"/>
      <c r="R2944" s="217"/>
    </row>
    <row r="2945" spans="1:25" ht="30" customHeight="1" x14ac:dyDescent="0.35">
      <c r="A2945" s="465" t="s">
        <v>278</v>
      </c>
      <c r="B2945" s="539">
        <v>7251</v>
      </c>
      <c r="C2945" s="1060" t="s">
        <v>2667</v>
      </c>
      <c r="D2945" s="1061"/>
      <c r="E2945" s="541" t="s">
        <v>280</v>
      </c>
      <c r="F2945" s="542" t="s">
        <v>8</v>
      </c>
      <c r="G2945" s="543" t="s">
        <v>285</v>
      </c>
      <c r="H2945" s="569">
        <v>1719</v>
      </c>
      <c r="I2945" s="541" t="s">
        <v>281</v>
      </c>
      <c r="J2945" s="1019" t="s">
        <v>2749</v>
      </c>
      <c r="K2945" s="1019"/>
      <c r="L2945" s="1020"/>
      <c r="M2945" s="173"/>
      <c r="N2945" s="68"/>
      <c r="O2945" s="203"/>
      <c r="P2945" s="218"/>
      <c r="Q2945" s="68"/>
      <c r="R2945" s="217"/>
    </row>
    <row r="2946" spans="1:25" ht="30" customHeight="1" x14ac:dyDescent="0.35">
      <c r="A2946" s="545" t="s">
        <v>288</v>
      </c>
      <c r="B2946" s="1051" t="s">
        <v>282</v>
      </c>
      <c r="C2946" s="1051"/>
      <c r="D2946" s="1051"/>
      <c r="E2946" s="561" t="s">
        <v>290</v>
      </c>
      <c r="F2946" s="509" t="s">
        <v>2</v>
      </c>
      <c r="G2946" s="1094" t="s">
        <v>323</v>
      </c>
      <c r="H2946" s="1095"/>
      <c r="I2946" s="1052" t="s">
        <v>2244</v>
      </c>
      <c r="J2946" s="1053"/>
      <c r="K2946" s="1012" t="s">
        <v>292</v>
      </c>
      <c r="L2946" s="1013"/>
      <c r="M2946" s="173"/>
      <c r="N2946" s="419"/>
      <c r="O2946" s="203"/>
      <c r="P2946" s="218"/>
      <c r="Q2946" s="68"/>
      <c r="R2946" s="217"/>
    </row>
    <row r="2947" spans="1:25" ht="30" customHeight="1" x14ac:dyDescent="0.35">
      <c r="A2947" s="241">
        <v>93210</v>
      </c>
      <c r="B2947" s="1082" t="s">
        <v>1394</v>
      </c>
      <c r="C2947" s="1083"/>
      <c r="D2947" s="1093"/>
      <c r="E2947" s="453">
        <v>2.9</v>
      </c>
      <c r="F2947" s="694" t="s">
        <v>3</v>
      </c>
      <c r="G2947" s="726">
        <v>9</v>
      </c>
      <c r="H2947" s="462" t="s">
        <v>1395</v>
      </c>
      <c r="I2947" s="1091">
        <f>+'2021 MILCON Inflation Table'!$F$20</f>
        <v>0.9432470865927236</v>
      </c>
      <c r="J2947" s="1092"/>
      <c r="K2947" s="463">
        <f>+E2947/G2947*I2947</f>
        <v>0.30393517234654421</v>
      </c>
      <c r="L2947" s="564" t="s">
        <v>8</v>
      </c>
      <c r="M2947" s="173"/>
      <c r="N2947" s="419"/>
      <c r="O2947" s="203"/>
      <c r="P2947" s="218"/>
      <c r="Q2947" s="68"/>
      <c r="R2947" s="217"/>
    </row>
    <row r="2948" spans="1:25" ht="30" customHeight="1" x14ac:dyDescent="0.35">
      <c r="A2948" s="241">
        <v>93210</v>
      </c>
      <c r="B2948" s="1059" t="s">
        <v>1396</v>
      </c>
      <c r="C2948" s="1059"/>
      <c r="D2948" s="1059"/>
      <c r="E2948" s="453">
        <v>2.4</v>
      </c>
      <c r="F2948" s="694" t="s">
        <v>3</v>
      </c>
      <c r="G2948" s="726">
        <v>9</v>
      </c>
      <c r="H2948" s="462" t="s">
        <v>1395</v>
      </c>
      <c r="I2948" s="1091">
        <f>+'2021 MILCON Inflation Table'!$F$20</f>
        <v>0.9432470865927236</v>
      </c>
      <c r="J2948" s="1092"/>
      <c r="K2948" s="463">
        <f>+E2948/G2948*I2948</f>
        <v>0.25153255642472627</v>
      </c>
      <c r="L2948" s="564" t="s">
        <v>8</v>
      </c>
      <c r="M2948" s="173"/>
      <c r="N2948" s="68"/>
      <c r="O2948" s="203"/>
      <c r="P2948" s="218"/>
      <c r="Q2948" s="68"/>
      <c r="R2948" s="217"/>
    </row>
    <row r="2949" spans="1:25" ht="30" customHeight="1" x14ac:dyDescent="0.35">
      <c r="A2949" s="241">
        <v>85110</v>
      </c>
      <c r="B2949" s="1031" t="s">
        <v>1397</v>
      </c>
      <c r="C2949" s="1032"/>
      <c r="D2949" s="1033"/>
      <c r="E2949" s="453">
        <v>10.1</v>
      </c>
      <c r="F2949" s="694" t="s">
        <v>3</v>
      </c>
      <c r="G2949" s="726">
        <v>9</v>
      </c>
      <c r="H2949" s="462" t="s">
        <v>1395</v>
      </c>
      <c r="I2949" s="1091">
        <f>+'2021 MILCON Inflation Table'!$F$20</f>
        <v>0.9432470865927236</v>
      </c>
      <c r="J2949" s="1092"/>
      <c r="K2949" s="463">
        <f>+E2949/G2949*I2949</f>
        <v>1.0585328416207231</v>
      </c>
      <c r="L2949" s="564" t="s">
        <v>8</v>
      </c>
      <c r="M2949" s="173"/>
      <c r="N2949" s="68"/>
      <c r="O2949" s="203"/>
      <c r="P2949" s="218"/>
      <c r="Q2949" s="68"/>
      <c r="R2949" s="217"/>
    </row>
    <row r="2950" spans="1:25" ht="30" customHeight="1" x14ac:dyDescent="0.35">
      <c r="A2950" s="241">
        <v>85110</v>
      </c>
      <c r="B2950" s="1031" t="s">
        <v>1398</v>
      </c>
      <c r="C2950" s="1032"/>
      <c r="D2950" s="1033"/>
      <c r="E2950" s="453">
        <v>44.8</v>
      </c>
      <c r="F2950" s="694" t="s">
        <v>3</v>
      </c>
      <c r="G2950" s="726">
        <v>9</v>
      </c>
      <c r="H2950" s="462" t="s">
        <v>1395</v>
      </c>
      <c r="I2950" s="1091">
        <f>+'2021 MILCON Inflation Table'!$F$20</f>
        <v>0.9432470865927236</v>
      </c>
      <c r="J2950" s="1092"/>
      <c r="K2950" s="463">
        <f>+E2950/G2950*I2950</f>
        <v>4.6952743865948907</v>
      </c>
      <c r="L2950" s="564" t="s">
        <v>8</v>
      </c>
      <c r="M2950" s="173"/>
      <c r="N2950" s="68"/>
      <c r="O2950" s="203"/>
      <c r="P2950" s="218"/>
      <c r="Q2950" s="68"/>
      <c r="R2950" s="217"/>
    </row>
    <row r="2951" spans="1:25" ht="30" customHeight="1" thickBot="1" x14ac:dyDescent="0.4">
      <c r="A2951" s="241"/>
      <c r="B2951" s="1031"/>
      <c r="C2951" s="1032"/>
      <c r="D2951" s="1033"/>
      <c r="E2951" s="553"/>
      <c r="F2951" s="706"/>
      <c r="G2951" s="553"/>
      <c r="H2951" s="707" t="s">
        <v>335</v>
      </c>
      <c r="I2951" s="458"/>
      <c r="J2951" s="510" t="s">
        <v>2356</v>
      </c>
      <c r="K2951" s="459">
        <f>SUM(K2947:K2950)</f>
        <v>6.3092749569868847</v>
      </c>
      <c r="L2951" s="564" t="s">
        <v>8</v>
      </c>
      <c r="M2951" s="173"/>
      <c r="N2951" s="68"/>
      <c r="O2951" s="203"/>
      <c r="P2951" s="218"/>
      <c r="Q2951" s="68"/>
      <c r="R2951" s="217"/>
      <c r="T2951" s="208"/>
      <c r="U2951" s="208"/>
      <c r="V2951" s="208"/>
      <c r="W2951" s="208"/>
      <c r="X2951" s="208"/>
    </row>
    <row r="2952" spans="1:25" ht="30" customHeight="1" thickBot="1" x14ac:dyDescent="0.4">
      <c r="A2952" s="481"/>
      <c r="B2952" s="482"/>
      <c r="C2952" s="482"/>
      <c r="D2952" s="482"/>
      <c r="E2952" s="482"/>
      <c r="F2952" s="482"/>
      <c r="G2952" s="482"/>
      <c r="H2952" s="482"/>
      <c r="I2952" s="482"/>
      <c r="J2952" s="482"/>
      <c r="K2952" s="482"/>
      <c r="L2952" s="483"/>
      <c r="M2952" s="173"/>
      <c r="N2952" s="421"/>
      <c r="O2952" s="280"/>
      <c r="P2952" s="63"/>
      <c r="Q2952" s="63"/>
      <c r="R2952" s="281"/>
      <c r="Y2952" s="208"/>
    </row>
    <row r="2953" spans="1:25" ht="30" customHeight="1" x14ac:dyDescent="0.35">
      <c r="A2953" s="465" t="s">
        <v>278</v>
      </c>
      <c r="B2953" s="539">
        <v>7311</v>
      </c>
      <c r="C2953" s="1017" t="s">
        <v>1399</v>
      </c>
      <c r="D2953" s="1018"/>
      <c r="E2953" s="541" t="s">
        <v>280</v>
      </c>
      <c r="F2953" s="542" t="s">
        <v>8</v>
      </c>
      <c r="G2953" s="543" t="s">
        <v>285</v>
      </c>
      <c r="H2953" s="569">
        <v>7933</v>
      </c>
      <c r="I2953" s="541" t="s">
        <v>281</v>
      </c>
      <c r="J2953" s="1019" t="s">
        <v>2749</v>
      </c>
      <c r="K2953" s="1019"/>
      <c r="L2953" s="1020"/>
      <c r="M2953" s="173"/>
      <c r="N2953" s="68"/>
      <c r="O2953" s="208"/>
      <c r="P2953" s="218"/>
      <c r="Q2953" s="68"/>
      <c r="R2953" s="217"/>
      <c r="S2953" s="208"/>
    </row>
    <row r="2954" spans="1:25" ht="30" customHeight="1" x14ac:dyDescent="0.35">
      <c r="A2954" s="545" t="s">
        <v>288</v>
      </c>
      <c r="B2954" s="1051" t="s">
        <v>282</v>
      </c>
      <c r="C2954" s="1051"/>
      <c r="D2954" s="1051"/>
      <c r="E2954" s="561" t="s">
        <v>290</v>
      </c>
      <c r="F2954" s="509" t="s">
        <v>289</v>
      </c>
      <c r="G2954" s="1094" t="s">
        <v>323</v>
      </c>
      <c r="H2954" s="1095"/>
      <c r="I2954" s="1052" t="s">
        <v>405</v>
      </c>
      <c r="J2954" s="1053"/>
      <c r="K2954" s="1012" t="s">
        <v>292</v>
      </c>
      <c r="L2954" s="1013"/>
      <c r="M2954" s="173"/>
      <c r="N2954" s="68"/>
      <c r="O2954" s="203"/>
      <c r="P2954" s="218"/>
      <c r="Q2954" s="68"/>
      <c r="R2954" s="217"/>
    </row>
    <row r="2955" spans="1:25" s="208" customFormat="1" ht="30" customHeight="1" x14ac:dyDescent="0.35">
      <c r="A2955" s="241">
        <v>73010</v>
      </c>
      <c r="B2955" s="1031" t="s">
        <v>1400</v>
      </c>
      <c r="C2955" s="1032"/>
      <c r="D2955" s="1033"/>
      <c r="E2955" s="453">
        <v>368</v>
      </c>
      <c r="F2955" s="694">
        <v>17284</v>
      </c>
      <c r="G2955" s="726"/>
      <c r="H2955" s="462"/>
      <c r="I2955" s="1091">
        <f>+'2021 MILCON Inflation Table'!F20</f>
        <v>0.9432470865927236</v>
      </c>
      <c r="J2955" s="1092"/>
      <c r="K2955" s="463">
        <f>+E2955*I2955</f>
        <v>347.11492786612229</v>
      </c>
      <c r="L2955" s="564" t="s">
        <v>8</v>
      </c>
      <c r="M2955" s="173"/>
      <c r="N2955" s="68"/>
      <c r="O2955" s="203"/>
      <c r="P2955" s="218"/>
      <c r="Q2955" s="68"/>
      <c r="R2955" s="217"/>
      <c r="S2955" s="203"/>
      <c r="T2955" s="203"/>
      <c r="U2955" s="203"/>
      <c r="V2955" s="203"/>
      <c r="W2955" s="203"/>
      <c r="X2955" s="203"/>
      <c r="Y2955" s="203"/>
    </row>
    <row r="2956" spans="1:25" ht="30" customHeight="1" thickBot="1" x14ac:dyDescent="0.4">
      <c r="A2956" s="241"/>
      <c r="B2956" s="1031"/>
      <c r="C2956" s="1032"/>
      <c r="D2956" s="1033"/>
      <c r="E2956" s="553"/>
      <c r="F2956" s="706"/>
      <c r="G2956" s="553"/>
      <c r="H2956" s="707"/>
      <c r="I2956" s="458"/>
      <c r="J2956" s="510" t="s">
        <v>2356</v>
      </c>
      <c r="K2956" s="459">
        <f>SUM(K2955:K2955)</f>
        <v>347.11492786612229</v>
      </c>
      <c r="L2956" s="564" t="s">
        <v>8</v>
      </c>
      <c r="M2956" s="363"/>
      <c r="N2956" s="68"/>
      <c r="O2956" s="203"/>
      <c r="P2956" s="218"/>
      <c r="Q2956" s="68"/>
      <c r="R2956" s="217"/>
    </row>
    <row r="2957" spans="1:25" ht="30" customHeight="1" thickBot="1" x14ac:dyDescent="0.4">
      <c r="A2957" s="481"/>
      <c r="B2957" s="482"/>
      <c r="C2957" s="482"/>
      <c r="D2957" s="482"/>
      <c r="E2957" s="482"/>
      <c r="F2957" s="482"/>
      <c r="G2957" s="482"/>
      <c r="H2957" s="482"/>
      <c r="I2957" s="482"/>
      <c r="J2957" s="482"/>
      <c r="K2957" s="482"/>
      <c r="L2957" s="483"/>
      <c r="M2957" s="173"/>
      <c r="N2957" s="68"/>
      <c r="O2957" s="171"/>
      <c r="P2957" s="216"/>
      <c r="Q2957" s="419"/>
      <c r="R2957" s="219"/>
    </row>
    <row r="2958" spans="1:25" ht="30" customHeight="1" x14ac:dyDescent="0.35">
      <c r="A2958" s="465" t="s">
        <v>278</v>
      </c>
      <c r="B2958" s="539">
        <v>7312</v>
      </c>
      <c r="C2958" s="1096" t="s">
        <v>1401</v>
      </c>
      <c r="D2958" s="1097"/>
      <c r="E2958" s="541" t="s">
        <v>280</v>
      </c>
      <c r="F2958" s="542" t="s">
        <v>8</v>
      </c>
      <c r="G2958" s="543" t="s">
        <v>285</v>
      </c>
      <c r="H2958" s="555">
        <v>15884</v>
      </c>
      <c r="I2958" s="541" t="s">
        <v>281</v>
      </c>
      <c r="J2958" s="1019" t="s">
        <v>2371</v>
      </c>
      <c r="K2958" s="1019"/>
      <c r="L2958" s="1020"/>
      <c r="M2958" s="173"/>
      <c r="N2958" s="68"/>
      <c r="O2958" s="171"/>
      <c r="P2958" s="216"/>
      <c r="Q2958" s="419"/>
      <c r="R2958" s="219"/>
    </row>
    <row r="2959" spans="1:25" ht="30" customHeight="1" x14ac:dyDescent="0.35">
      <c r="A2959" s="588" t="s">
        <v>298</v>
      </c>
      <c r="B2959" s="1038" t="s">
        <v>321</v>
      </c>
      <c r="C2959" s="1039"/>
      <c r="D2959" s="1040"/>
      <c r="E2959" s="23" t="s">
        <v>290</v>
      </c>
      <c r="F2959" s="23" t="s">
        <v>322</v>
      </c>
      <c r="G2959" s="1034" t="s">
        <v>323</v>
      </c>
      <c r="H2959" s="1035"/>
      <c r="I2959" s="509" t="s">
        <v>299</v>
      </c>
      <c r="J2959" s="509"/>
      <c r="K2959" s="1012" t="s">
        <v>292</v>
      </c>
      <c r="L2959" s="1013"/>
      <c r="M2959" s="173"/>
      <c r="N2959" s="68"/>
      <c r="O2959" s="203"/>
      <c r="P2959" s="218"/>
      <c r="Q2959" s="68"/>
      <c r="R2959" s="217"/>
    </row>
    <row r="2960" spans="1:25" ht="30" customHeight="1" x14ac:dyDescent="0.35">
      <c r="A2960" s="717" t="s">
        <v>394</v>
      </c>
      <c r="B2960" s="1082" t="s">
        <v>1402</v>
      </c>
      <c r="C2960" s="1083"/>
      <c r="D2960" s="1093"/>
      <c r="E2960" s="453">
        <v>206</v>
      </c>
      <c r="F2960" s="3" t="s">
        <v>8</v>
      </c>
      <c r="G2960" s="496"/>
      <c r="H2960" s="498"/>
      <c r="I2960" s="446">
        <v>1.05</v>
      </c>
      <c r="J2960" s="446"/>
      <c r="K2960" s="453">
        <f>+E2960*I2960</f>
        <v>216.3</v>
      </c>
      <c r="L2960" s="243" t="s">
        <v>8</v>
      </c>
      <c r="M2960" s="173"/>
      <c r="N2960" s="68"/>
      <c r="O2960" s="203"/>
      <c r="P2960" s="218"/>
      <c r="Q2960" s="68"/>
      <c r="R2960" s="217"/>
    </row>
    <row r="2961" spans="1:25" ht="30" customHeight="1" x14ac:dyDescent="0.35">
      <c r="A2961" s="848" t="s">
        <v>397</v>
      </c>
      <c r="B2961" s="1031" t="s">
        <v>398</v>
      </c>
      <c r="C2961" s="1032"/>
      <c r="D2961" s="1032"/>
      <c r="E2961" s="453">
        <v>3.73</v>
      </c>
      <c r="F2961" s="3" t="s">
        <v>8</v>
      </c>
      <c r="G2961" s="496"/>
      <c r="H2961" s="498"/>
      <c r="I2961" s="446">
        <v>1.05</v>
      </c>
      <c r="J2961" s="446"/>
      <c r="K2961" s="453">
        <f>+E2961*I2961</f>
        <v>3.9165000000000001</v>
      </c>
      <c r="L2961" s="243" t="s">
        <v>8</v>
      </c>
      <c r="M2961" s="173"/>
      <c r="N2961" s="68"/>
      <c r="O2961" s="203"/>
      <c r="P2961" s="218"/>
      <c r="Q2961" s="68"/>
      <c r="R2961" s="217"/>
    </row>
    <row r="2962" spans="1:25" ht="30" customHeight="1" x14ac:dyDescent="0.35">
      <c r="A2962" s="848" t="s">
        <v>377</v>
      </c>
      <c r="B2962" s="1031" t="s">
        <v>2245</v>
      </c>
      <c r="C2962" s="1032"/>
      <c r="D2962" s="1033"/>
      <c r="E2962" s="453">
        <f>(20.3+31.5)/2</f>
        <v>25.9</v>
      </c>
      <c r="F2962" s="3" t="s">
        <v>944</v>
      </c>
      <c r="G2962" s="496">
        <f>81*E2962/H2958</f>
        <v>0.13207630319818686</v>
      </c>
      <c r="H2962" s="498" t="s">
        <v>1403</v>
      </c>
      <c r="I2962" s="446">
        <v>1.03</v>
      </c>
      <c r="J2962" s="446"/>
      <c r="K2962" s="453">
        <f t="shared" ref="K2962:K2967" si="73">+G2962*I2962</f>
        <v>0.13603859229413248</v>
      </c>
      <c r="L2962" s="243" t="s">
        <v>8</v>
      </c>
      <c r="M2962" s="173"/>
      <c r="N2962" s="68"/>
      <c r="O2962" s="203"/>
      <c r="P2962" s="218"/>
      <c r="Q2962" s="68"/>
      <c r="R2962" s="217"/>
    </row>
    <row r="2963" spans="1:25" ht="30" customHeight="1" x14ac:dyDescent="0.35">
      <c r="A2963" s="848" t="s">
        <v>377</v>
      </c>
      <c r="B2963" s="1031" t="s">
        <v>1404</v>
      </c>
      <c r="C2963" s="1032"/>
      <c r="D2963" s="1033"/>
      <c r="E2963" s="453">
        <f>(1710+2420)/2</f>
        <v>2065</v>
      </c>
      <c r="F2963" s="3" t="s">
        <v>10</v>
      </c>
      <c r="G2963" s="279">
        <f>+E2963/H2958</f>
        <v>0.1300050365147318</v>
      </c>
      <c r="H2963" s="498" t="s">
        <v>1403</v>
      </c>
      <c r="I2963" s="446">
        <v>1.03</v>
      </c>
      <c r="J2963" s="446"/>
      <c r="K2963" s="453">
        <f t="shared" si="73"/>
        <v>0.13390518761017375</v>
      </c>
      <c r="L2963" s="243" t="s">
        <v>8</v>
      </c>
      <c r="M2963" s="173"/>
      <c r="N2963" s="280"/>
      <c r="O2963" s="203"/>
      <c r="P2963" s="218"/>
      <c r="Q2963" s="68"/>
      <c r="R2963" s="217"/>
    </row>
    <row r="2964" spans="1:25" ht="30" customHeight="1" x14ac:dyDescent="0.35">
      <c r="A2964" s="848" t="s">
        <v>380</v>
      </c>
      <c r="B2964" s="1031" t="s">
        <v>1405</v>
      </c>
      <c r="C2964" s="1032"/>
      <c r="D2964" s="1033"/>
      <c r="E2964" s="453">
        <f>(34.5+82)/2</f>
        <v>58.25</v>
      </c>
      <c r="F2964" s="3" t="s">
        <v>1406</v>
      </c>
      <c r="G2964" s="496">
        <f>10*E2964/H2958</f>
        <v>3.6672122890959453E-2</v>
      </c>
      <c r="H2964" s="498" t="s">
        <v>1403</v>
      </c>
      <c r="I2964" s="446">
        <v>1.03</v>
      </c>
      <c r="J2964" s="446"/>
      <c r="K2964" s="453">
        <f t="shared" si="73"/>
        <v>3.777228657768824E-2</v>
      </c>
      <c r="L2964" s="243" t="s">
        <v>8</v>
      </c>
      <c r="M2964" s="363"/>
      <c r="N2964" s="68"/>
      <c r="O2964" s="203"/>
      <c r="P2964" s="218"/>
      <c r="Q2964" s="68"/>
      <c r="R2964" s="217"/>
    </row>
    <row r="2965" spans="1:25" ht="30" customHeight="1" x14ac:dyDescent="0.35">
      <c r="A2965" s="848" t="s">
        <v>380</v>
      </c>
      <c r="B2965" s="1031" t="s">
        <v>1407</v>
      </c>
      <c r="C2965" s="1032"/>
      <c r="D2965" s="1033"/>
      <c r="E2965" s="453">
        <f>(64.5+12300)/2</f>
        <v>6182.25</v>
      </c>
      <c r="F2965" s="3" t="s">
        <v>10</v>
      </c>
      <c r="G2965" s="279">
        <f>+E2965/H2958</f>
        <v>0.38921241500881393</v>
      </c>
      <c r="H2965" s="498" t="s">
        <v>1403</v>
      </c>
      <c r="I2965" s="446">
        <v>1.03</v>
      </c>
      <c r="J2965" s="446"/>
      <c r="K2965" s="453">
        <f t="shared" si="73"/>
        <v>0.40088878745907836</v>
      </c>
      <c r="L2965" s="243" t="s">
        <v>8</v>
      </c>
      <c r="M2965" s="173"/>
      <c r="N2965" s="68"/>
      <c r="O2965" s="203"/>
      <c r="P2965" s="218"/>
      <c r="Q2965" s="68"/>
      <c r="R2965" s="217"/>
    </row>
    <row r="2966" spans="1:25" ht="30" customHeight="1" x14ac:dyDescent="0.35">
      <c r="A2966" s="848" t="s">
        <v>380</v>
      </c>
      <c r="B2966" s="1031" t="s">
        <v>939</v>
      </c>
      <c r="C2966" s="1032"/>
      <c r="D2966" s="1033"/>
      <c r="E2966" s="453">
        <f>(660+1010)/2</f>
        <v>835</v>
      </c>
      <c r="F2966" s="3" t="s">
        <v>10</v>
      </c>
      <c r="G2966" s="279">
        <f>+E2966/H2958</f>
        <v>5.256862251322085E-2</v>
      </c>
      <c r="H2966" s="498" t="s">
        <v>1403</v>
      </c>
      <c r="I2966" s="446">
        <v>1.03</v>
      </c>
      <c r="J2966" s="446"/>
      <c r="K2966" s="453">
        <f t="shared" si="73"/>
        <v>5.4145681188617477E-2</v>
      </c>
      <c r="L2966" s="243" t="s">
        <v>8</v>
      </c>
      <c r="M2966" s="173"/>
      <c r="N2966" s="419"/>
      <c r="O2966" s="203"/>
      <c r="P2966" s="218"/>
      <c r="Q2966" s="68"/>
      <c r="R2966" s="217"/>
    </row>
    <row r="2967" spans="1:25" ht="30" customHeight="1" x14ac:dyDescent="0.35">
      <c r="A2967" s="848" t="s">
        <v>380</v>
      </c>
      <c r="B2967" s="1031" t="s">
        <v>385</v>
      </c>
      <c r="C2967" s="1032"/>
      <c r="D2967" s="1033"/>
      <c r="E2967" s="453">
        <f>(1160+3475)/2</f>
        <v>2317.5</v>
      </c>
      <c r="F2967" s="3" t="s">
        <v>10</v>
      </c>
      <c r="G2967" s="279">
        <f>+E2967/H2958</f>
        <v>0.14590153613699319</v>
      </c>
      <c r="H2967" s="498" t="s">
        <v>1403</v>
      </c>
      <c r="I2967" s="446">
        <v>1.03</v>
      </c>
      <c r="J2967" s="446"/>
      <c r="K2967" s="453">
        <f t="shared" si="73"/>
        <v>0.15027858222110299</v>
      </c>
      <c r="L2967" s="243" t="s">
        <v>8</v>
      </c>
      <c r="M2967" s="173"/>
      <c r="N2967" s="419"/>
      <c r="O2967" s="203"/>
      <c r="P2967" s="218"/>
      <c r="Q2967" s="68"/>
      <c r="R2967" s="217"/>
    </row>
    <row r="2968" spans="1:25" ht="30" customHeight="1" x14ac:dyDescent="0.35">
      <c r="A2968" s="832"/>
      <c r="B2968" s="1102"/>
      <c r="C2968" s="1102"/>
      <c r="D2968" s="1102"/>
      <c r="E2968" s="453"/>
      <c r="F2968" s="446"/>
      <c r="G2968" s="454"/>
      <c r="H2968" s="446"/>
      <c r="I2968" s="446"/>
      <c r="J2968" s="446" t="s">
        <v>335</v>
      </c>
      <c r="K2968" s="453">
        <f>SUM(K2960:K2967)</f>
        <v>221.12952911735081</v>
      </c>
      <c r="L2968" s="243" t="s">
        <v>8</v>
      </c>
      <c r="M2968" s="173"/>
      <c r="N2968" s="68"/>
      <c r="O2968" s="203"/>
      <c r="P2968" s="218"/>
      <c r="Q2968" s="68"/>
      <c r="R2968" s="217"/>
    </row>
    <row r="2969" spans="1:25" ht="30" customHeight="1" x14ac:dyDescent="0.35">
      <c r="A2969" s="241"/>
      <c r="B2969" s="506"/>
      <c r="C2969" s="506"/>
      <c r="D2969" s="506"/>
      <c r="E2969" s="453"/>
      <c r="F2969" s="1029" t="s">
        <v>302</v>
      </c>
      <c r="G2969" s="1058" t="s">
        <v>303</v>
      </c>
      <c r="H2969" s="1058"/>
      <c r="I2969" s="1058"/>
      <c r="J2969" s="1058"/>
      <c r="K2969" s="612">
        <v>1.07</v>
      </c>
      <c r="L2969" s="243"/>
      <c r="M2969" s="173"/>
      <c r="N2969" s="68"/>
      <c r="O2969" s="203"/>
      <c r="P2969" s="218"/>
      <c r="Q2969" s="68"/>
      <c r="R2969" s="217"/>
    </row>
    <row r="2970" spans="1:25" ht="30" customHeight="1" x14ac:dyDescent="0.35">
      <c r="A2970" s="241"/>
      <c r="B2970" s="506"/>
      <c r="C2970" s="506"/>
      <c r="D2970" s="506"/>
      <c r="E2970" s="453"/>
      <c r="F2970" s="1030"/>
      <c r="G2970" s="1073" t="s">
        <v>2374</v>
      </c>
      <c r="H2970" s="1073"/>
      <c r="I2970" s="1073"/>
      <c r="J2970" s="1073"/>
      <c r="K2970" s="612">
        <v>1.08</v>
      </c>
      <c r="L2970" s="243"/>
      <c r="M2970" s="173"/>
      <c r="N2970" s="68"/>
      <c r="O2970" s="203"/>
      <c r="P2970" s="218"/>
      <c r="Q2970" s="68"/>
      <c r="R2970" s="217"/>
    </row>
    <row r="2971" spans="1:25" ht="30" customHeight="1" x14ac:dyDescent="0.35">
      <c r="A2971" s="241"/>
      <c r="B2971" s="446"/>
      <c r="C2971" s="458"/>
      <c r="D2971" s="458"/>
      <c r="E2971" s="458"/>
      <c r="F2971" s="458"/>
      <c r="G2971" s="458"/>
      <c r="H2971" s="458"/>
      <c r="I2971" s="458"/>
      <c r="J2971" s="458" t="s">
        <v>2356</v>
      </c>
      <c r="K2971" s="591">
        <f>+K2968*K2969/K2970</f>
        <v>219.08203347737535</v>
      </c>
      <c r="L2971" s="243" t="s">
        <v>8</v>
      </c>
      <c r="M2971" s="173"/>
      <c r="N2971" s="68"/>
      <c r="O2971" s="203"/>
      <c r="P2971" s="218"/>
      <c r="Q2971" s="68"/>
      <c r="R2971" s="217"/>
      <c r="T2971" s="208"/>
      <c r="U2971" s="208"/>
      <c r="V2971" s="208"/>
      <c r="W2971" s="208"/>
      <c r="X2971" s="208"/>
    </row>
    <row r="2972" spans="1:25" ht="30" customHeight="1" x14ac:dyDescent="0.35">
      <c r="A2972" s="241"/>
      <c r="B2972" s="446"/>
      <c r="C2972" s="458"/>
      <c r="D2972" s="458"/>
      <c r="E2972" s="458"/>
      <c r="F2972" s="458"/>
      <c r="G2972" s="458"/>
      <c r="H2972" s="171"/>
      <c r="I2972" s="568" t="s">
        <v>2359</v>
      </c>
      <c r="J2972" s="583">
        <f>VLOOKUP(B2958,'Mil Cost Premiums for PUCs'!$A$4:$R$272,18,FALSE)</f>
        <v>1.3319480854780448</v>
      </c>
      <c r="K2972" s="591">
        <f>+K2971*J2972</f>
        <v>291.805895052827</v>
      </c>
      <c r="L2972" s="243" t="s">
        <v>8</v>
      </c>
      <c r="M2972" s="173"/>
      <c r="N2972" s="68"/>
      <c r="O2972" s="203"/>
      <c r="P2972" s="218"/>
      <c r="Q2972" s="68"/>
      <c r="R2972" s="217"/>
      <c r="Y2972" s="208"/>
    </row>
    <row r="2973" spans="1:25" ht="60" customHeight="1" x14ac:dyDescent="0.35">
      <c r="A2973" s="1064" t="s">
        <v>305</v>
      </c>
      <c r="B2973" s="1065"/>
      <c r="C2973" s="1065"/>
      <c r="D2973" s="1065"/>
      <c r="E2973" s="1065"/>
      <c r="F2973" s="1065"/>
      <c r="G2973" s="1065"/>
      <c r="H2973" s="1065"/>
      <c r="I2973" s="1065"/>
      <c r="J2973" s="1065"/>
      <c r="K2973" s="1065"/>
      <c r="L2973" s="1066"/>
      <c r="M2973" s="173"/>
      <c r="N2973" s="68"/>
      <c r="O2973" s="208"/>
      <c r="P2973" s="218"/>
      <c r="Q2973" s="68"/>
      <c r="R2973" s="217"/>
      <c r="S2973" s="208"/>
    </row>
    <row r="2974" spans="1:25" ht="45" customHeight="1" x14ac:dyDescent="0.35">
      <c r="A2974" s="1077" t="s">
        <v>306</v>
      </c>
      <c r="B2974" s="1042"/>
      <c r="C2974" s="1043"/>
      <c r="D2974" s="1067" t="s">
        <v>1408</v>
      </c>
      <c r="E2974" s="1065"/>
      <c r="F2974" s="1065"/>
      <c r="G2974" s="1065"/>
      <c r="H2974" s="1065"/>
      <c r="I2974" s="1065"/>
      <c r="J2974" s="1065"/>
      <c r="K2974" s="1065"/>
      <c r="L2974" s="1066"/>
      <c r="M2974" s="173"/>
      <c r="N2974" s="68"/>
      <c r="O2974" s="203"/>
      <c r="P2974" s="218"/>
      <c r="Q2974" s="68"/>
      <c r="R2974" s="217"/>
    </row>
    <row r="2975" spans="1:25" s="208" customFormat="1" ht="30" customHeight="1" x14ac:dyDescent="0.35">
      <c r="A2975" s="1077" t="s">
        <v>307</v>
      </c>
      <c r="B2975" s="1042"/>
      <c r="C2975" s="1043"/>
      <c r="D2975" s="1067" t="s">
        <v>1409</v>
      </c>
      <c r="E2975" s="1065"/>
      <c r="F2975" s="1065"/>
      <c r="G2975" s="1065"/>
      <c r="H2975" s="1065"/>
      <c r="I2975" s="1065"/>
      <c r="J2975" s="1065"/>
      <c r="K2975" s="1065"/>
      <c r="L2975" s="1066"/>
      <c r="M2975" s="173"/>
      <c r="N2975" s="68"/>
      <c r="O2975" s="203"/>
      <c r="P2975" s="218"/>
      <c r="Q2975" s="68"/>
      <c r="R2975" s="217"/>
      <c r="S2975" s="203"/>
      <c r="T2975" s="203"/>
      <c r="U2975" s="203"/>
      <c r="V2975" s="203"/>
      <c r="W2975" s="203"/>
      <c r="X2975" s="203"/>
      <c r="Y2975" s="203"/>
    </row>
    <row r="2976" spans="1:25" ht="30" customHeight="1" x14ac:dyDescent="0.35">
      <c r="A2976" s="1077" t="s">
        <v>308</v>
      </c>
      <c r="B2976" s="1042"/>
      <c r="C2976" s="1043"/>
      <c r="D2976" s="1067" t="s">
        <v>3072</v>
      </c>
      <c r="E2976" s="1065"/>
      <c r="F2976" s="1065"/>
      <c r="G2976" s="1065"/>
      <c r="H2976" s="1065"/>
      <c r="I2976" s="1065"/>
      <c r="J2976" s="1065"/>
      <c r="K2976" s="1065"/>
      <c r="L2976" s="1066"/>
      <c r="M2976" s="173"/>
      <c r="N2976" s="68"/>
      <c r="O2976" s="203"/>
      <c r="P2976" s="218"/>
      <c r="Q2976" s="68"/>
      <c r="R2976" s="217"/>
    </row>
    <row r="2977" spans="1:25" ht="45" customHeight="1" x14ac:dyDescent="0.35">
      <c r="A2977" s="1077" t="s">
        <v>309</v>
      </c>
      <c r="B2977" s="1042"/>
      <c r="C2977" s="1043"/>
      <c r="D2977" s="1067" t="s">
        <v>1410</v>
      </c>
      <c r="E2977" s="1065"/>
      <c r="F2977" s="1065"/>
      <c r="G2977" s="1065"/>
      <c r="H2977" s="1065"/>
      <c r="I2977" s="1065"/>
      <c r="J2977" s="1065"/>
      <c r="K2977" s="1065"/>
      <c r="L2977" s="1066"/>
      <c r="M2977" s="173"/>
      <c r="N2977" s="68"/>
      <c r="O2977" s="171"/>
      <c r="P2977" s="216"/>
      <c r="Q2977" s="419"/>
      <c r="R2977" s="219"/>
    </row>
    <row r="2978" spans="1:25" ht="30" customHeight="1" x14ac:dyDescent="0.35">
      <c r="A2978" s="1077" t="s">
        <v>311</v>
      </c>
      <c r="B2978" s="1042"/>
      <c r="C2978" s="1043"/>
      <c r="D2978" s="1067" t="s">
        <v>2246</v>
      </c>
      <c r="E2978" s="1065"/>
      <c r="F2978" s="1065"/>
      <c r="G2978" s="1065"/>
      <c r="H2978" s="1065"/>
      <c r="I2978" s="1065"/>
      <c r="J2978" s="1065"/>
      <c r="K2978" s="1065"/>
      <c r="L2978" s="1066"/>
      <c r="M2978" s="173"/>
      <c r="N2978" s="68"/>
      <c r="O2978" s="171"/>
      <c r="P2978" s="216"/>
      <c r="Q2978" s="419"/>
      <c r="R2978" s="219"/>
    </row>
    <row r="2979" spans="1:25" ht="30" customHeight="1" x14ac:dyDescent="0.35">
      <c r="A2979" s="1077" t="s">
        <v>313</v>
      </c>
      <c r="B2979" s="1042"/>
      <c r="C2979" s="1043"/>
      <c r="D2979" s="1067" t="s">
        <v>314</v>
      </c>
      <c r="E2979" s="1065"/>
      <c r="F2979" s="1065"/>
      <c r="G2979" s="1065"/>
      <c r="H2979" s="1065"/>
      <c r="I2979" s="1065"/>
      <c r="J2979" s="1065"/>
      <c r="K2979" s="1065"/>
      <c r="L2979" s="1066"/>
      <c r="M2979" s="173"/>
      <c r="N2979" s="68"/>
      <c r="O2979" s="203"/>
      <c r="P2979" s="218"/>
      <c r="Q2979" s="68"/>
      <c r="R2979" s="217"/>
    </row>
    <row r="2980" spans="1:25" ht="30" customHeight="1" x14ac:dyDescent="0.35">
      <c r="A2980" s="1077" t="s">
        <v>315</v>
      </c>
      <c r="B2980" s="1042"/>
      <c r="C2980" s="1043"/>
      <c r="D2980" s="1067" t="s">
        <v>1411</v>
      </c>
      <c r="E2980" s="1065"/>
      <c r="F2980" s="1065"/>
      <c r="G2980" s="1065"/>
      <c r="H2980" s="1065"/>
      <c r="I2980" s="1065"/>
      <c r="J2980" s="1065"/>
      <c r="K2980" s="1065"/>
      <c r="L2980" s="1066"/>
      <c r="M2980" s="173"/>
      <c r="N2980" s="68"/>
      <c r="O2980" s="203"/>
      <c r="P2980" s="218"/>
      <c r="Q2980" s="68"/>
      <c r="R2980" s="217"/>
    </row>
    <row r="2981" spans="1:25" ht="75" customHeight="1" x14ac:dyDescent="0.35">
      <c r="A2981" s="1077" t="s">
        <v>316</v>
      </c>
      <c r="B2981" s="1042"/>
      <c r="C2981" s="1043"/>
      <c r="D2981" s="1067" t="s">
        <v>373</v>
      </c>
      <c r="E2981" s="1065"/>
      <c r="F2981" s="1065"/>
      <c r="G2981" s="1065"/>
      <c r="H2981" s="1065"/>
      <c r="I2981" s="1065"/>
      <c r="J2981" s="1065"/>
      <c r="K2981" s="1065"/>
      <c r="L2981" s="1066"/>
      <c r="M2981" s="173"/>
      <c r="N2981" s="68"/>
      <c r="O2981" s="203"/>
      <c r="P2981" s="218"/>
      <c r="Q2981" s="68"/>
      <c r="R2981" s="217"/>
      <c r="T2981" s="208"/>
      <c r="U2981" s="208"/>
      <c r="V2981" s="208"/>
      <c r="W2981" s="208"/>
      <c r="X2981" s="208"/>
    </row>
    <row r="2982" spans="1:25" ht="90" customHeight="1" thickBot="1" x14ac:dyDescent="0.4">
      <c r="A2982" s="1077" t="s">
        <v>318</v>
      </c>
      <c r="B2982" s="1042"/>
      <c r="C2982" s="1043"/>
      <c r="D2982" s="1068" t="s">
        <v>3073</v>
      </c>
      <c r="E2982" s="1069"/>
      <c r="F2982" s="1069"/>
      <c r="G2982" s="1069"/>
      <c r="H2982" s="1069"/>
      <c r="I2982" s="1069"/>
      <c r="J2982" s="1069"/>
      <c r="K2982" s="1069"/>
      <c r="L2982" s="1070"/>
      <c r="M2982" s="173"/>
      <c r="N2982" s="68"/>
      <c r="O2982" s="203"/>
      <c r="P2982" s="218"/>
      <c r="Q2982" s="68"/>
      <c r="R2982" s="217"/>
      <c r="Y2982" s="208"/>
    </row>
    <row r="2983" spans="1:25" ht="30" customHeight="1" thickBot="1" x14ac:dyDescent="0.4">
      <c r="A2983" s="481"/>
      <c r="B2983" s="482"/>
      <c r="C2983" s="482"/>
      <c r="D2983" s="482"/>
      <c r="E2983" s="482"/>
      <c r="F2983" s="482"/>
      <c r="G2983" s="482"/>
      <c r="H2983" s="482"/>
      <c r="I2983" s="482"/>
      <c r="J2983" s="482"/>
      <c r="K2983" s="482"/>
      <c r="L2983" s="483"/>
      <c r="M2983" s="173"/>
      <c r="N2983" s="68"/>
      <c r="O2983" s="208"/>
      <c r="P2983" s="218"/>
      <c r="Q2983" s="68"/>
      <c r="R2983" s="217"/>
      <c r="S2983" s="208"/>
    </row>
    <row r="2984" spans="1:25" ht="30" customHeight="1" x14ac:dyDescent="0.35">
      <c r="A2984" s="465" t="s">
        <v>278</v>
      </c>
      <c r="B2984" s="539">
        <v>7313</v>
      </c>
      <c r="C2984" s="1096" t="s">
        <v>1412</v>
      </c>
      <c r="D2984" s="1097"/>
      <c r="E2984" s="541" t="s">
        <v>280</v>
      </c>
      <c r="F2984" s="542" t="s">
        <v>8</v>
      </c>
      <c r="G2984" s="543" t="s">
        <v>285</v>
      </c>
      <c r="H2984" s="632">
        <v>6220</v>
      </c>
      <c r="I2984" s="541" t="s">
        <v>281</v>
      </c>
      <c r="J2984" s="1019" t="s">
        <v>2371</v>
      </c>
      <c r="K2984" s="1019"/>
      <c r="L2984" s="1020"/>
      <c r="M2984" s="173"/>
      <c r="N2984" s="68"/>
      <c r="O2984" s="203"/>
      <c r="P2984" s="218"/>
      <c r="Q2984" s="68"/>
      <c r="R2984" s="217"/>
    </row>
    <row r="2985" spans="1:25" s="208" customFormat="1" ht="30" customHeight="1" x14ac:dyDescent="0.35">
      <c r="A2985" s="588" t="s">
        <v>298</v>
      </c>
      <c r="B2985" s="1038" t="s">
        <v>321</v>
      </c>
      <c r="C2985" s="1039"/>
      <c r="D2985" s="1040"/>
      <c r="E2985" s="23" t="s">
        <v>290</v>
      </c>
      <c r="F2985" s="23" t="s">
        <v>322</v>
      </c>
      <c r="G2985" s="1034" t="s">
        <v>323</v>
      </c>
      <c r="H2985" s="1035"/>
      <c r="I2985" s="509" t="s">
        <v>299</v>
      </c>
      <c r="J2985" s="509"/>
      <c r="K2985" s="1012" t="s">
        <v>292</v>
      </c>
      <c r="L2985" s="1013"/>
      <c r="M2985" s="173"/>
      <c r="N2985" s="68"/>
      <c r="O2985" s="203"/>
      <c r="P2985" s="218"/>
      <c r="Q2985" s="68"/>
      <c r="R2985" s="217"/>
      <c r="S2985" s="203"/>
      <c r="T2985" s="203"/>
      <c r="U2985" s="203"/>
      <c r="V2985" s="203"/>
      <c r="W2985" s="203"/>
      <c r="X2985" s="203"/>
      <c r="Y2985" s="203"/>
    </row>
    <row r="2986" spans="1:25" ht="30" customHeight="1" x14ac:dyDescent="0.35">
      <c r="A2986" s="717" t="s">
        <v>394</v>
      </c>
      <c r="B2986" s="1031" t="s">
        <v>1413</v>
      </c>
      <c r="C2986" s="1032"/>
      <c r="D2986" s="1033"/>
      <c r="E2986" s="453">
        <v>147</v>
      </c>
      <c r="F2986" s="3" t="s">
        <v>8</v>
      </c>
      <c r="G2986" s="496"/>
      <c r="H2986" s="498"/>
      <c r="I2986" s="446">
        <v>1.05</v>
      </c>
      <c r="J2986" s="446"/>
      <c r="K2986" s="453">
        <f>+E2986*I2986</f>
        <v>154.35</v>
      </c>
      <c r="L2986" s="243" t="s">
        <v>8</v>
      </c>
      <c r="M2986" s="173"/>
      <c r="N2986" s="419"/>
      <c r="O2986" s="203"/>
      <c r="P2986" s="218"/>
      <c r="Q2986" s="68"/>
      <c r="R2986" s="217"/>
    </row>
    <row r="2987" spans="1:25" ht="30" customHeight="1" x14ac:dyDescent="0.35">
      <c r="A2987" s="848" t="s">
        <v>397</v>
      </c>
      <c r="B2987" s="1102" t="s">
        <v>1022</v>
      </c>
      <c r="C2987" s="1102"/>
      <c r="D2987" s="1102"/>
      <c r="E2987" s="453">
        <v>4.49</v>
      </c>
      <c r="F2987" s="446" t="s">
        <v>8</v>
      </c>
      <c r="G2987" s="446"/>
      <c r="H2987" s="446"/>
      <c r="I2987" s="446">
        <v>1.05</v>
      </c>
      <c r="J2987" s="446"/>
      <c r="K2987" s="453">
        <f>+E2987*I2987</f>
        <v>4.7145000000000001</v>
      </c>
      <c r="L2987" s="243" t="s">
        <v>8</v>
      </c>
      <c r="M2987" s="173"/>
      <c r="N2987" s="419"/>
      <c r="O2987" s="171"/>
      <c r="P2987" s="216"/>
      <c r="Q2987" s="419"/>
      <c r="R2987" s="219"/>
    </row>
    <row r="2988" spans="1:25" ht="30" customHeight="1" x14ac:dyDescent="0.35">
      <c r="A2988" s="832"/>
      <c r="B2988" s="1102"/>
      <c r="C2988" s="1102"/>
      <c r="D2988" s="1102"/>
      <c r="E2988" s="453"/>
      <c r="F2988" s="446"/>
      <c r="G2988" s="454"/>
      <c r="H2988" s="446"/>
      <c r="I2988" s="446"/>
      <c r="J2988" s="446" t="s">
        <v>335</v>
      </c>
      <c r="K2988" s="453">
        <f>SUM(K2986:K2987)</f>
        <v>159.06449999999998</v>
      </c>
      <c r="L2988" s="243" t="s">
        <v>8</v>
      </c>
      <c r="M2988" s="173"/>
      <c r="N2988" s="68"/>
      <c r="O2988" s="171"/>
      <c r="P2988" s="216"/>
      <c r="Q2988" s="419"/>
      <c r="R2988" s="219"/>
    </row>
    <row r="2989" spans="1:25" ht="30" customHeight="1" x14ac:dyDescent="0.35">
      <c r="A2989" s="241"/>
      <c r="B2989" s="506"/>
      <c r="C2989" s="506"/>
      <c r="D2989" s="506"/>
      <c r="E2989" s="453"/>
      <c r="F2989" s="1029" t="s">
        <v>302</v>
      </c>
      <c r="G2989" s="1058" t="s">
        <v>303</v>
      </c>
      <c r="H2989" s="1058"/>
      <c r="I2989" s="1058"/>
      <c r="J2989" s="1058"/>
      <c r="K2989" s="612">
        <v>1.07</v>
      </c>
      <c r="L2989" s="243"/>
      <c r="M2989" s="173"/>
      <c r="N2989" s="164"/>
      <c r="O2989" s="203"/>
      <c r="P2989" s="218"/>
      <c r="Q2989" s="68"/>
      <c r="R2989" s="217"/>
    </row>
    <row r="2990" spans="1:25" ht="30" customHeight="1" x14ac:dyDescent="0.35">
      <c r="A2990" s="241"/>
      <c r="B2990" s="506"/>
      <c r="C2990" s="506"/>
      <c r="D2990" s="506"/>
      <c r="E2990" s="453"/>
      <c r="F2990" s="1030"/>
      <c r="G2990" s="1073" t="s">
        <v>2374</v>
      </c>
      <c r="H2990" s="1073"/>
      <c r="I2990" s="1073"/>
      <c r="J2990" s="1073"/>
      <c r="K2990" s="612">
        <v>1.08</v>
      </c>
      <c r="L2990" s="243"/>
      <c r="M2990" s="173"/>
      <c r="N2990" s="164"/>
      <c r="O2990" s="203"/>
      <c r="P2990" s="218"/>
      <c r="Q2990" s="68"/>
      <c r="R2990" s="217"/>
    </row>
    <row r="2991" spans="1:25" ht="30" customHeight="1" x14ac:dyDescent="0.35">
      <c r="A2991" s="241"/>
      <c r="B2991" s="446"/>
      <c r="C2991" s="458"/>
      <c r="D2991" s="458"/>
      <c r="E2991" s="458"/>
      <c r="F2991" s="458"/>
      <c r="G2991" s="458"/>
      <c r="H2991" s="458"/>
      <c r="I2991" s="458"/>
      <c r="J2991" s="458" t="s">
        <v>2356</v>
      </c>
      <c r="K2991" s="591">
        <f>+K2988*K2989/K2990</f>
        <v>157.59168055555554</v>
      </c>
      <c r="L2991" s="243" t="s">
        <v>8</v>
      </c>
      <c r="M2991" s="173"/>
      <c r="O2991" s="203"/>
      <c r="P2991" s="218"/>
      <c r="Q2991" s="68"/>
      <c r="R2991" s="217"/>
      <c r="T2991" s="208"/>
      <c r="U2991" s="208"/>
      <c r="V2991" s="208"/>
      <c r="W2991" s="208"/>
      <c r="X2991" s="208"/>
    </row>
    <row r="2992" spans="1:25" ht="30" customHeight="1" x14ac:dyDescent="0.35">
      <c r="A2992" s="241"/>
      <c r="B2992" s="446"/>
      <c r="C2992" s="458"/>
      <c r="D2992" s="458"/>
      <c r="E2992" s="458"/>
      <c r="F2992" s="458"/>
      <c r="G2992" s="171"/>
      <c r="H2992" s="458"/>
      <c r="I2992" s="568" t="s">
        <v>2359</v>
      </c>
      <c r="J2992" s="583">
        <f>VLOOKUP(B2984,'Mil Cost Premiums for PUCs'!$A$4:$R$272,18,FALSE)</f>
        <v>1.3319480854780448</v>
      </c>
      <c r="K2992" s="591">
        <f>+K2991*J2992</f>
        <v>209.90393720323982</v>
      </c>
      <c r="L2992" s="243" t="s">
        <v>8</v>
      </c>
      <c r="M2992" s="173"/>
      <c r="N2992" s="208"/>
      <c r="O2992" s="203"/>
      <c r="P2992" s="218"/>
      <c r="Q2992" s="68"/>
      <c r="R2992" s="217"/>
      <c r="T2992" s="208"/>
      <c r="U2992" s="208"/>
      <c r="V2992" s="208"/>
      <c r="W2992" s="208"/>
      <c r="X2992" s="208"/>
      <c r="Y2992" s="208"/>
    </row>
    <row r="2993" spans="1:25" ht="60" customHeight="1" x14ac:dyDescent="0.35">
      <c r="A2993" s="1064" t="s">
        <v>305</v>
      </c>
      <c r="B2993" s="1065"/>
      <c r="C2993" s="1065"/>
      <c r="D2993" s="1065"/>
      <c r="E2993" s="1065"/>
      <c r="F2993" s="1065"/>
      <c r="G2993" s="1065"/>
      <c r="H2993" s="1065"/>
      <c r="I2993" s="1065"/>
      <c r="J2993" s="1065"/>
      <c r="K2993" s="1065"/>
      <c r="L2993" s="1066"/>
      <c r="M2993" s="173"/>
      <c r="N2993" s="68"/>
      <c r="O2993" s="208"/>
      <c r="P2993" s="218"/>
      <c r="Q2993" s="68"/>
      <c r="R2993" s="217"/>
      <c r="S2993" s="208"/>
      <c r="T2993" s="208"/>
      <c r="U2993" s="208"/>
      <c r="V2993" s="208"/>
      <c r="W2993" s="208"/>
      <c r="X2993" s="208"/>
      <c r="Y2993" s="208"/>
    </row>
    <row r="2994" spans="1:25" ht="30" customHeight="1" x14ac:dyDescent="0.35">
      <c r="A2994" s="1077" t="s">
        <v>306</v>
      </c>
      <c r="B2994" s="1042"/>
      <c r="C2994" s="1043"/>
      <c r="D2994" s="1067" t="s">
        <v>399</v>
      </c>
      <c r="E2994" s="1065"/>
      <c r="F2994" s="1065"/>
      <c r="G2994" s="1065"/>
      <c r="H2994" s="1065"/>
      <c r="I2994" s="1065"/>
      <c r="J2994" s="1065"/>
      <c r="K2994" s="1065"/>
      <c r="L2994" s="1066"/>
      <c r="M2994" s="173"/>
      <c r="N2994" s="68"/>
      <c r="O2994" s="208"/>
      <c r="P2994" s="218"/>
      <c r="Q2994" s="68"/>
      <c r="R2994" s="217"/>
      <c r="S2994" s="208"/>
      <c r="Y2994" s="208"/>
    </row>
    <row r="2995" spans="1:25" s="208" customFormat="1" ht="30" customHeight="1" x14ac:dyDescent="0.35">
      <c r="A2995" s="1077" t="s">
        <v>307</v>
      </c>
      <c r="B2995" s="1042"/>
      <c r="C2995" s="1043"/>
      <c r="D2995" s="1067" t="s">
        <v>3075</v>
      </c>
      <c r="E2995" s="1065"/>
      <c r="F2995" s="1065"/>
      <c r="G2995" s="1065"/>
      <c r="H2995" s="1065"/>
      <c r="I2995" s="1065"/>
      <c r="J2995" s="1065"/>
      <c r="K2995" s="1065"/>
      <c r="L2995" s="1066"/>
      <c r="M2995" s="173"/>
      <c r="N2995" s="68"/>
      <c r="P2995" s="218"/>
      <c r="Q2995" s="68"/>
      <c r="R2995" s="217"/>
      <c r="T2995" s="203"/>
      <c r="U2995" s="203"/>
      <c r="V2995" s="203"/>
      <c r="W2995" s="203"/>
      <c r="X2995" s="203"/>
      <c r="Y2995" s="203"/>
    </row>
    <row r="2996" spans="1:25" s="208" customFormat="1" ht="30" customHeight="1" x14ac:dyDescent="0.35">
      <c r="A2996" s="1077" t="s">
        <v>308</v>
      </c>
      <c r="B2996" s="1042"/>
      <c r="C2996" s="1043"/>
      <c r="D2996" s="1067" t="s">
        <v>3074</v>
      </c>
      <c r="E2996" s="1065"/>
      <c r="F2996" s="1065"/>
      <c r="G2996" s="1065"/>
      <c r="H2996" s="1065"/>
      <c r="I2996" s="1065"/>
      <c r="J2996" s="1065"/>
      <c r="K2996" s="1065"/>
      <c r="L2996" s="1066"/>
      <c r="M2996" s="173"/>
      <c r="N2996" s="419"/>
      <c r="O2996" s="203"/>
      <c r="P2996" s="218"/>
      <c r="Q2996" s="68"/>
      <c r="R2996" s="217"/>
      <c r="S2996" s="203"/>
      <c r="T2996" s="203"/>
      <c r="U2996" s="203"/>
      <c r="V2996" s="203"/>
      <c r="W2996" s="203"/>
      <c r="X2996" s="203"/>
      <c r="Y2996" s="203"/>
    </row>
    <row r="2997" spans="1:25" s="208" customFormat="1" ht="30" customHeight="1" x14ac:dyDescent="0.35">
      <c r="A2997" s="1077" t="s">
        <v>309</v>
      </c>
      <c r="B2997" s="1042"/>
      <c r="C2997" s="1043"/>
      <c r="D2997" s="1067" t="s">
        <v>1414</v>
      </c>
      <c r="E2997" s="1065"/>
      <c r="F2997" s="1065"/>
      <c r="G2997" s="1065"/>
      <c r="H2997" s="1065"/>
      <c r="I2997" s="1065"/>
      <c r="J2997" s="1065"/>
      <c r="K2997" s="1065"/>
      <c r="L2997" s="1066"/>
      <c r="M2997" s="173"/>
      <c r="N2997" s="419"/>
      <c r="O2997" s="203"/>
      <c r="P2997" s="218"/>
      <c r="Q2997" s="68"/>
      <c r="R2997" s="217"/>
      <c r="S2997" s="203"/>
      <c r="T2997" s="203"/>
      <c r="U2997" s="203"/>
      <c r="V2997" s="203"/>
      <c r="W2997" s="203"/>
      <c r="X2997" s="203"/>
      <c r="Y2997" s="203"/>
    </row>
    <row r="2998" spans="1:25" ht="30" customHeight="1" x14ac:dyDescent="0.35">
      <c r="A2998" s="1077" t="s">
        <v>311</v>
      </c>
      <c r="B2998" s="1042"/>
      <c r="C2998" s="1043"/>
      <c r="D2998" s="1067" t="s">
        <v>2247</v>
      </c>
      <c r="E2998" s="1065"/>
      <c r="F2998" s="1065"/>
      <c r="G2998" s="1065"/>
      <c r="H2998" s="1065"/>
      <c r="I2998" s="1065"/>
      <c r="J2998" s="1065"/>
      <c r="K2998" s="1065"/>
      <c r="L2998" s="1066"/>
      <c r="M2998" s="173"/>
      <c r="N2998" s="422"/>
      <c r="O2998" s="203"/>
      <c r="P2998" s="218"/>
      <c r="Q2998" s="68"/>
      <c r="R2998" s="217"/>
    </row>
    <row r="2999" spans="1:25" ht="30" customHeight="1" x14ac:dyDescent="0.35">
      <c r="A2999" s="1077" t="s">
        <v>313</v>
      </c>
      <c r="B2999" s="1042"/>
      <c r="C2999" s="1043"/>
      <c r="D2999" s="1067" t="s">
        <v>1415</v>
      </c>
      <c r="E2999" s="1065"/>
      <c r="F2999" s="1065"/>
      <c r="G2999" s="1065"/>
      <c r="H2999" s="1065"/>
      <c r="I2999" s="1065"/>
      <c r="J2999" s="1065"/>
      <c r="K2999" s="1065"/>
      <c r="L2999" s="1066"/>
      <c r="M2999" s="173"/>
      <c r="N2999" s="422"/>
      <c r="O2999" s="203"/>
      <c r="P2999" s="218"/>
      <c r="Q2999" s="68"/>
      <c r="R2999" s="217"/>
    </row>
    <row r="3000" spans="1:25" ht="30" customHeight="1" x14ac:dyDescent="0.35">
      <c r="A3000" s="1077" t="s">
        <v>315</v>
      </c>
      <c r="B3000" s="1042"/>
      <c r="C3000" s="1043"/>
      <c r="D3000" s="1067" t="s">
        <v>1154</v>
      </c>
      <c r="E3000" s="1065"/>
      <c r="F3000" s="1065"/>
      <c r="G3000" s="1065"/>
      <c r="H3000" s="1065"/>
      <c r="I3000" s="1065"/>
      <c r="J3000" s="1065"/>
      <c r="K3000" s="1065"/>
      <c r="L3000" s="1066"/>
      <c r="M3000" s="173"/>
      <c r="N3000" s="68"/>
      <c r="O3000" s="171"/>
      <c r="P3000" s="216"/>
      <c r="Q3000" s="419"/>
      <c r="R3000" s="219"/>
    </row>
    <row r="3001" spans="1:25" ht="30" customHeight="1" x14ac:dyDescent="0.35">
      <c r="A3001" s="1077" t="s">
        <v>316</v>
      </c>
      <c r="B3001" s="1042"/>
      <c r="C3001" s="1043"/>
      <c r="D3001" s="1067" t="s">
        <v>373</v>
      </c>
      <c r="E3001" s="1065"/>
      <c r="F3001" s="1065"/>
      <c r="G3001" s="1065"/>
      <c r="H3001" s="1065"/>
      <c r="I3001" s="1065"/>
      <c r="J3001" s="1065"/>
      <c r="K3001" s="1065"/>
      <c r="L3001" s="1066"/>
      <c r="M3001" s="173"/>
      <c r="N3001" s="68"/>
      <c r="O3001" s="171"/>
      <c r="P3001" s="216"/>
      <c r="Q3001" s="419"/>
      <c r="R3001" s="219"/>
    </row>
    <row r="3002" spans="1:25" ht="30" customHeight="1" thickBot="1" x14ac:dyDescent="0.4">
      <c r="A3002" s="1077" t="s">
        <v>318</v>
      </c>
      <c r="B3002" s="1042"/>
      <c r="C3002" s="1043"/>
      <c r="D3002" s="1068" t="s">
        <v>1416</v>
      </c>
      <c r="E3002" s="1069"/>
      <c r="F3002" s="1069"/>
      <c r="G3002" s="1069"/>
      <c r="H3002" s="1069"/>
      <c r="I3002" s="1069"/>
      <c r="J3002" s="1069"/>
      <c r="K3002" s="1069"/>
      <c r="L3002" s="1070"/>
      <c r="M3002" s="173"/>
      <c r="N3002" s="68"/>
      <c r="O3002" s="203"/>
      <c r="P3002" s="218"/>
      <c r="Q3002" s="68"/>
      <c r="R3002" s="217"/>
    </row>
    <row r="3003" spans="1:25" ht="30" customHeight="1" thickBot="1" x14ac:dyDescent="0.4">
      <c r="A3003" s="481"/>
      <c r="B3003" s="482"/>
      <c r="C3003" s="482"/>
      <c r="D3003" s="482"/>
      <c r="E3003" s="482"/>
      <c r="F3003" s="482"/>
      <c r="G3003" s="482"/>
      <c r="H3003" s="482"/>
      <c r="I3003" s="482"/>
      <c r="J3003" s="482"/>
      <c r="K3003" s="482"/>
      <c r="L3003" s="483"/>
      <c r="M3003" s="173"/>
      <c r="N3003" s="68"/>
      <c r="O3003" s="203"/>
      <c r="P3003" s="218"/>
      <c r="Q3003" s="68"/>
      <c r="R3003" s="217"/>
    </row>
    <row r="3004" spans="1:25" ht="30" customHeight="1" x14ac:dyDescent="0.35">
      <c r="A3004" s="465" t="s">
        <v>278</v>
      </c>
      <c r="B3004" s="539">
        <v>7314</v>
      </c>
      <c r="C3004" s="1017" t="s">
        <v>1417</v>
      </c>
      <c r="D3004" s="1018"/>
      <c r="E3004" s="541" t="s">
        <v>280</v>
      </c>
      <c r="F3004" s="542" t="s">
        <v>8</v>
      </c>
      <c r="G3004" s="543" t="s">
        <v>285</v>
      </c>
      <c r="H3004" s="555">
        <v>5579</v>
      </c>
      <c r="I3004" s="541" t="s">
        <v>281</v>
      </c>
      <c r="J3004" s="1019" t="s">
        <v>2371</v>
      </c>
      <c r="K3004" s="1019"/>
      <c r="L3004" s="1020"/>
      <c r="M3004" s="173"/>
      <c r="N3004" s="68"/>
      <c r="O3004" s="203"/>
      <c r="P3004" s="218"/>
      <c r="Q3004" s="68"/>
      <c r="R3004" s="217"/>
      <c r="T3004" s="208"/>
      <c r="U3004" s="208"/>
      <c r="V3004" s="208"/>
      <c r="W3004" s="208"/>
      <c r="X3004" s="208"/>
    </row>
    <row r="3005" spans="1:25" ht="30" customHeight="1" x14ac:dyDescent="0.35">
      <c r="A3005" s="588" t="s">
        <v>298</v>
      </c>
      <c r="B3005" s="1038" t="s">
        <v>321</v>
      </c>
      <c r="C3005" s="1039"/>
      <c r="D3005" s="1040"/>
      <c r="E3005" s="23" t="s">
        <v>290</v>
      </c>
      <c r="F3005" s="23" t="s">
        <v>322</v>
      </c>
      <c r="G3005" s="1034" t="s">
        <v>323</v>
      </c>
      <c r="H3005" s="1035"/>
      <c r="I3005" s="509" t="s">
        <v>299</v>
      </c>
      <c r="J3005" s="509"/>
      <c r="K3005" s="1012" t="s">
        <v>292</v>
      </c>
      <c r="L3005" s="1013"/>
      <c r="M3005" s="173"/>
      <c r="N3005" s="68"/>
      <c r="O3005" s="203"/>
      <c r="P3005" s="218"/>
      <c r="Q3005" s="68"/>
      <c r="R3005" s="217"/>
      <c r="Y3005" s="208"/>
    </row>
    <row r="3006" spans="1:25" ht="30" customHeight="1" x14ac:dyDescent="0.35">
      <c r="A3006" s="717" t="s">
        <v>1418</v>
      </c>
      <c r="B3006" s="1102" t="s">
        <v>1419</v>
      </c>
      <c r="C3006" s="1102"/>
      <c r="D3006" s="1102"/>
      <c r="E3006" s="453">
        <v>149</v>
      </c>
      <c r="F3006" s="446" t="s">
        <v>8</v>
      </c>
      <c r="G3006" s="446"/>
      <c r="H3006" s="446"/>
      <c r="I3006" s="446">
        <v>1.05</v>
      </c>
      <c r="J3006" s="446"/>
      <c r="K3006" s="453">
        <f>+E3006*I3006</f>
        <v>156.45000000000002</v>
      </c>
      <c r="L3006" s="243" t="s">
        <v>8</v>
      </c>
      <c r="M3006" s="173"/>
      <c r="N3006" s="68"/>
      <c r="O3006" s="208"/>
      <c r="P3006" s="218"/>
      <c r="Q3006" s="68"/>
      <c r="R3006" s="217"/>
      <c r="S3006" s="208"/>
    </row>
    <row r="3007" spans="1:25" ht="30" customHeight="1" x14ac:dyDescent="0.35">
      <c r="A3007" s="848" t="s">
        <v>397</v>
      </c>
      <c r="B3007" s="1102" t="s">
        <v>1022</v>
      </c>
      <c r="C3007" s="1102"/>
      <c r="D3007" s="1102"/>
      <c r="E3007" s="453">
        <v>4.49</v>
      </c>
      <c r="F3007" s="446" t="s">
        <v>8</v>
      </c>
      <c r="G3007" s="446"/>
      <c r="H3007" s="446"/>
      <c r="I3007" s="446">
        <v>1.05</v>
      </c>
      <c r="J3007" s="446"/>
      <c r="K3007" s="453">
        <f>+E3007*I3007</f>
        <v>4.7145000000000001</v>
      </c>
      <c r="L3007" s="243" t="s">
        <v>8</v>
      </c>
      <c r="M3007" s="173"/>
      <c r="N3007" s="68"/>
      <c r="O3007" s="203"/>
      <c r="P3007" s="218"/>
      <c r="Q3007" s="68"/>
      <c r="R3007" s="217"/>
    </row>
    <row r="3008" spans="1:25" s="208" customFormat="1" ht="30" customHeight="1" x14ac:dyDescent="0.35">
      <c r="A3008" s="832"/>
      <c r="B3008" s="1102"/>
      <c r="C3008" s="1102"/>
      <c r="D3008" s="1102"/>
      <c r="E3008" s="453"/>
      <c r="F3008" s="446"/>
      <c r="G3008" s="454"/>
      <c r="H3008" s="446"/>
      <c r="I3008" s="446"/>
      <c r="J3008" s="446" t="s">
        <v>335</v>
      </c>
      <c r="K3008" s="453">
        <f>SUM(K3006:K3007)</f>
        <v>161.1645</v>
      </c>
      <c r="L3008" s="243" t="s">
        <v>8</v>
      </c>
      <c r="M3008" s="173"/>
      <c r="N3008" s="68"/>
      <c r="O3008" s="171"/>
      <c r="P3008" s="216"/>
      <c r="Q3008" s="419"/>
      <c r="R3008" s="219"/>
      <c r="S3008" s="203"/>
      <c r="T3008" s="203"/>
      <c r="U3008" s="203"/>
      <c r="V3008" s="203"/>
      <c r="W3008" s="203"/>
      <c r="X3008" s="203"/>
      <c r="Y3008" s="203"/>
    </row>
    <row r="3009" spans="1:25" ht="30" customHeight="1" x14ac:dyDescent="0.35">
      <c r="A3009" s="241"/>
      <c r="B3009" s="506"/>
      <c r="C3009" s="506"/>
      <c r="D3009" s="506"/>
      <c r="E3009" s="453"/>
      <c r="F3009" s="1029" t="s">
        <v>302</v>
      </c>
      <c r="G3009" s="1058" t="s">
        <v>303</v>
      </c>
      <c r="H3009" s="1058"/>
      <c r="I3009" s="1058"/>
      <c r="J3009" s="1058"/>
      <c r="K3009" s="612">
        <v>1.07</v>
      </c>
      <c r="L3009" s="243"/>
      <c r="M3009" s="173"/>
      <c r="N3009" s="419"/>
      <c r="O3009" s="171"/>
      <c r="P3009" s="216"/>
      <c r="Q3009" s="419"/>
      <c r="R3009" s="219"/>
    </row>
    <row r="3010" spans="1:25" ht="30" customHeight="1" x14ac:dyDescent="0.35">
      <c r="A3010" s="241"/>
      <c r="B3010" s="506"/>
      <c r="C3010" s="506"/>
      <c r="D3010" s="506"/>
      <c r="E3010" s="453"/>
      <c r="F3010" s="1030"/>
      <c r="G3010" s="1073" t="s">
        <v>2374</v>
      </c>
      <c r="H3010" s="1073"/>
      <c r="I3010" s="1073"/>
      <c r="J3010" s="1073"/>
      <c r="K3010" s="612">
        <v>1.08</v>
      </c>
      <c r="L3010" s="243"/>
      <c r="M3010" s="173"/>
      <c r="N3010" s="419"/>
      <c r="O3010" s="203"/>
      <c r="P3010" s="218"/>
      <c r="Q3010" s="68"/>
      <c r="R3010" s="217"/>
    </row>
    <row r="3011" spans="1:25" ht="30" customHeight="1" x14ac:dyDescent="0.35">
      <c r="A3011" s="241"/>
      <c r="B3011" s="446"/>
      <c r="C3011" s="458"/>
      <c r="D3011" s="458"/>
      <c r="E3011" s="458"/>
      <c r="F3011" s="458"/>
      <c r="G3011" s="458"/>
      <c r="H3011" s="458"/>
      <c r="I3011" s="458"/>
      <c r="J3011" s="458" t="s">
        <v>2356</v>
      </c>
      <c r="K3011" s="591">
        <f>+K3008*K3009/K3010</f>
        <v>159.67223611111112</v>
      </c>
      <c r="L3011" s="243" t="s">
        <v>8</v>
      </c>
      <c r="M3011" s="173"/>
      <c r="N3011" s="68"/>
      <c r="O3011" s="203"/>
      <c r="P3011" s="218"/>
      <c r="Q3011" s="68"/>
      <c r="R3011" s="217"/>
    </row>
    <row r="3012" spans="1:25" ht="30" customHeight="1" thickBot="1" x14ac:dyDescent="0.4">
      <c r="A3012" s="241"/>
      <c r="B3012" s="446"/>
      <c r="C3012" s="458"/>
      <c r="D3012" s="458"/>
      <c r="E3012" s="458"/>
      <c r="F3012" s="458"/>
      <c r="G3012" s="592" t="s">
        <v>2358</v>
      </c>
      <c r="H3012" s="458"/>
      <c r="I3012" s="458"/>
      <c r="J3012" s="583">
        <f>VLOOKUP(B3004,'Mil Cost Premiums for PUCs'!$A$4:$R$272,18,FALSE)</f>
        <v>1.3319480854780448</v>
      </c>
      <c r="K3012" s="591">
        <f>+K3011*J3012</f>
        <v>212.67512919219277</v>
      </c>
      <c r="L3012" s="243" t="s">
        <v>8</v>
      </c>
      <c r="M3012" s="173"/>
      <c r="N3012" s="68"/>
      <c r="O3012" s="203"/>
      <c r="P3012" s="218"/>
      <c r="Q3012" s="68"/>
      <c r="R3012" s="217"/>
      <c r="T3012" s="208"/>
      <c r="U3012" s="208"/>
      <c r="V3012" s="208"/>
      <c r="W3012" s="208"/>
      <c r="X3012" s="208"/>
    </row>
    <row r="3013" spans="1:25" ht="30" customHeight="1" thickBot="1" x14ac:dyDescent="0.4">
      <c r="A3013" s="481"/>
      <c r="B3013" s="482"/>
      <c r="C3013" s="482"/>
      <c r="D3013" s="482"/>
      <c r="E3013" s="482"/>
      <c r="F3013" s="482"/>
      <c r="G3013" s="482"/>
      <c r="H3013" s="482"/>
      <c r="I3013" s="482"/>
      <c r="J3013" s="482"/>
      <c r="K3013" s="482"/>
      <c r="L3013" s="483"/>
      <c r="M3013" s="173"/>
      <c r="N3013" s="68"/>
      <c r="O3013" s="203"/>
      <c r="P3013" s="218"/>
      <c r="Q3013" s="68"/>
      <c r="R3013" s="217"/>
      <c r="T3013" s="69"/>
      <c r="U3013" s="69"/>
      <c r="V3013" s="69"/>
      <c r="W3013" s="69"/>
      <c r="X3013" s="69"/>
      <c r="Y3013" s="69"/>
    </row>
    <row r="3014" spans="1:25" ht="30" customHeight="1" x14ac:dyDescent="0.35">
      <c r="A3014" s="465" t="s">
        <v>278</v>
      </c>
      <c r="B3014" s="539">
        <v>7321</v>
      </c>
      <c r="C3014" s="1017" t="s">
        <v>1420</v>
      </c>
      <c r="D3014" s="1018"/>
      <c r="E3014" s="541" t="s">
        <v>280</v>
      </c>
      <c r="F3014" s="542" t="s">
        <v>8</v>
      </c>
      <c r="G3014" s="543" t="s">
        <v>285</v>
      </c>
      <c r="H3014" s="555">
        <v>35640</v>
      </c>
      <c r="I3014" s="541" t="s">
        <v>281</v>
      </c>
      <c r="J3014" s="1019" t="s">
        <v>2371</v>
      </c>
      <c r="K3014" s="1019"/>
      <c r="L3014" s="1020"/>
      <c r="M3014" s="173"/>
      <c r="N3014" s="69"/>
      <c r="O3014" s="69"/>
      <c r="P3014" s="374"/>
      <c r="Q3014" s="69"/>
      <c r="R3014" s="69"/>
      <c r="S3014" s="69"/>
    </row>
    <row r="3015" spans="1:25" ht="30" customHeight="1" x14ac:dyDescent="0.35">
      <c r="A3015" s="588" t="s">
        <v>298</v>
      </c>
      <c r="B3015" s="1038" t="s">
        <v>321</v>
      </c>
      <c r="C3015" s="1039"/>
      <c r="D3015" s="1040"/>
      <c r="E3015" s="23" t="s">
        <v>290</v>
      </c>
      <c r="F3015" s="23" t="s">
        <v>322</v>
      </c>
      <c r="G3015" s="1034" t="s">
        <v>323</v>
      </c>
      <c r="H3015" s="1035"/>
      <c r="I3015" s="509" t="s">
        <v>299</v>
      </c>
      <c r="J3015" s="509" t="s">
        <v>405</v>
      </c>
      <c r="K3015" s="1012" t="s">
        <v>292</v>
      </c>
      <c r="L3015" s="1013"/>
      <c r="M3015" s="173"/>
      <c r="N3015" s="68"/>
      <c r="O3015" s="203"/>
      <c r="P3015" s="218"/>
      <c r="Q3015" s="68"/>
      <c r="R3015" s="217"/>
    </row>
    <row r="3016" spans="1:25" s="69" customFormat="1" ht="30" customHeight="1" x14ac:dyDescent="0.35">
      <c r="A3016" s="717" t="s">
        <v>1421</v>
      </c>
      <c r="B3016" s="1082" t="s">
        <v>2484</v>
      </c>
      <c r="C3016" s="1083"/>
      <c r="D3016" s="1093"/>
      <c r="E3016" s="453">
        <f>(64.5+103)/2</f>
        <v>83.75</v>
      </c>
      <c r="F3016" s="3" t="s">
        <v>8</v>
      </c>
      <c r="G3016" s="496"/>
      <c r="H3016" s="498"/>
      <c r="I3016" s="446">
        <v>1.03</v>
      </c>
      <c r="J3016" s="178">
        <f>+'2021 MILCON Inflation Table'!$F$14</f>
        <v>1.1198495748855462</v>
      </c>
      <c r="K3016" s="453">
        <f>+E3016*I3016*J3016</f>
        <v>96.601023953564422</v>
      </c>
      <c r="L3016" s="243" t="s">
        <v>8</v>
      </c>
      <c r="M3016" s="373"/>
      <c r="N3016" s="68"/>
      <c r="O3016" s="203"/>
      <c r="P3016" s="218"/>
      <c r="Q3016" s="68"/>
      <c r="R3016" s="217"/>
      <c r="S3016" s="203"/>
      <c r="T3016" s="203"/>
      <c r="U3016" s="203"/>
      <c r="V3016" s="203"/>
      <c r="W3016" s="203"/>
      <c r="X3016" s="203"/>
      <c r="Y3016" s="203"/>
    </row>
    <row r="3017" spans="1:25" ht="30" customHeight="1" x14ac:dyDescent="0.35">
      <c r="A3017" s="848" t="s">
        <v>360</v>
      </c>
      <c r="B3017" s="1082" t="s">
        <v>3076</v>
      </c>
      <c r="C3017" s="1083"/>
      <c r="D3017" s="1083"/>
      <c r="E3017" s="453">
        <v>2.66</v>
      </c>
      <c r="F3017" s="3" t="s">
        <v>8</v>
      </c>
      <c r="G3017" s="496"/>
      <c r="H3017" s="498"/>
      <c r="I3017" s="446">
        <v>1.03</v>
      </c>
      <c r="J3017" s="446"/>
      <c r="K3017" s="453">
        <f>+E3017*I3017</f>
        <v>2.7398000000000002</v>
      </c>
      <c r="L3017" s="243" t="s">
        <v>8</v>
      </c>
      <c r="M3017" s="173"/>
      <c r="N3017" s="419"/>
      <c r="O3017" s="203"/>
      <c r="P3017" s="218"/>
      <c r="Q3017" s="68"/>
      <c r="R3017" s="217"/>
    </row>
    <row r="3018" spans="1:25" ht="30" customHeight="1" x14ac:dyDescent="0.35">
      <c r="A3018" s="832"/>
      <c r="B3018" s="1102"/>
      <c r="C3018" s="1102"/>
      <c r="D3018" s="1102"/>
      <c r="E3018" s="453"/>
      <c r="F3018" s="446"/>
      <c r="G3018" s="454"/>
      <c r="H3018" s="446"/>
      <c r="I3018" s="446"/>
      <c r="J3018" s="446" t="s">
        <v>335</v>
      </c>
      <c r="K3018" s="453">
        <f>SUM(K3016:K3017)</f>
        <v>99.340823953564424</v>
      </c>
      <c r="L3018" s="243" t="s">
        <v>8</v>
      </c>
      <c r="M3018" s="173"/>
      <c r="N3018" s="419"/>
      <c r="O3018" s="203"/>
      <c r="P3018" s="218"/>
      <c r="Q3018" s="68"/>
      <c r="R3018" s="217"/>
    </row>
    <row r="3019" spans="1:25" ht="30" customHeight="1" x14ac:dyDescent="0.35">
      <c r="A3019" s="241"/>
      <c r="B3019" s="506"/>
      <c r="C3019" s="506"/>
      <c r="D3019" s="506"/>
      <c r="E3019" s="453"/>
      <c r="F3019" s="1029" t="s">
        <v>302</v>
      </c>
      <c r="G3019" s="1058" t="s">
        <v>303</v>
      </c>
      <c r="H3019" s="1058"/>
      <c r="I3019" s="1058"/>
      <c r="J3019" s="1058"/>
      <c r="K3019" s="612">
        <v>1.07</v>
      </c>
      <c r="L3019" s="243"/>
      <c r="M3019" s="173"/>
      <c r="N3019" s="68"/>
      <c r="O3019" s="203"/>
      <c r="P3019" s="218"/>
      <c r="Q3019" s="68"/>
      <c r="R3019" s="217"/>
    </row>
    <row r="3020" spans="1:25" ht="30" customHeight="1" x14ac:dyDescent="0.35">
      <c r="A3020" s="241"/>
      <c r="B3020" s="506"/>
      <c r="C3020" s="506"/>
      <c r="D3020" s="506"/>
      <c r="E3020" s="453"/>
      <c r="F3020" s="1030"/>
      <c r="G3020" s="1073" t="s">
        <v>2374</v>
      </c>
      <c r="H3020" s="1073"/>
      <c r="I3020" s="1073"/>
      <c r="J3020" s="1073"/>
      <c r="K3020" s="612">
        <v>1.08</v>
      </c>
      <c r="L3020" s="243"/>
      <c r="M3020" s="173"/>
      <c r="N3020" s="68"/>
      <c r="O3020" s="171"/>
      <c r="P3020" s="216"/>
      <c r="Q3020" s="419"/>
      <c r="R3020" s="219"/>
    </row>
    <row r="3021" spans="1:25" ht="30" customHeight="1" x14ac:dyDescent="0.35">
      <c r="A3021" s="241"/>
      <c r="B3021" s="446"/>
      <c r="C3021" s="458"/>
      <c r="D3021" s="458"/>
      <c r="E3021" s="458"/>
      <c r="F3021" s="458"/>
      <c r="G3021" s="458"/>
      <c r="H3021" s="458"/>
      <c r="I3021" s="458"/>
      <c r="J3021" s="446" t="s">
        <v>2356</v>
      </c>
      <c r="K3021" s="591">
        <f>+K3018*K3019/K3020</f>
        <v>98.421001509549939</v>
      </c>
      <c r="L3021" s="243" t="s">
        <v>8</v>
      </c>
      <c r="M3021" s="173"/>
      <c r="N3021" s="68"/>
      <c r="O3021" s="171"/>
      <c r="P3021" s="216"/>
      <c r="Q3021" s="419"/>
      <c r="R3021" s="219"/>
    </row>
    <row r="3022" spans="1:25" ht="30" customHeight="1" thickBot="1" x14ac:dyDescent="0.4">
      <c r="A3022" s="241"/>
      <c r="B3022" s="446"/>
      <c r="C3022" s="458"/>
      <c r="D3022" s="458"/>
      <c r="E3022" s="458"/>
      <c r="F3022" s="458"/>
      <c r="G3022" s="592" t="s">
        <v>2358</v>
      </c>
      <c r="H3022" s="458"/>
      <c r="I3022" s="458"/>
      <c r="J3022" s="583">
        <f>VLOOKUP(B3014,'Mil Cost Premiums for PUCs'!$A$4:$R$272,18,FALSE)</f>
        <v>1.1838860786480316</v>
      </c>
      <c r="K3022" s="591">
        <f>+K3021*J3022</f>
        <v>116.51925353375307</v>
      </c>
      <c r="L3022" s="243" t="s">
        <v>8</v>
      </c>
      <c r="M3022" s="173"/>
      <c r="N3022" s="68"/>
      <c r="O3022" s="203"/>
      <c r="P3022" s="218"/>
      <c r="Q3022" s="68"/>
      <c r="R3022" s="217"/>
    </row>
    <row r="3023" spans="1:25" ht="30" customHeight="1" thickBot="1" x14ac:dyDescent="0.4">
      <c r="A3023" s="481"/>
      <c r="B3023" s="482"/>
      <c r="C3023" s="482"/>
      <c r="D3023" s="482"/>
      <c r="E3023" s="482"/>
      <c r="F3023" s="482"/>
      <c r="G3023" s="482"/>
      <c r="H3023" s="482"/>
      <c r="I3023" s="482"/>
      <c r="J3023" s="482"/>
      <c r="K3023" s="482"/>
      <c r="L3023" s="483"/>
      <c r="M3023" s="173"/>
      <c r="N3023" s="68"/>
      <c r="O3023" s="203"/>
      <c r="P3023" s="218"/>
      <c r="Q3023" s="68"/>
      <c r="R3023" s="217"/>
    </row>
    <row r="3024" spans="1:25" ht="30" customHeight="1" x14ac:dyDescent="0.35">
      <c r="A3024" s="465" t="s">
        <v>278</v>
      </c>
      <c r="B3024" s="539">
        <v>7322</v>
      </c>
      <c r="C3024" s="1017" t="s">
        <v>2628</v>
      </c>
      <c r="D3024" s="1018"/>
      <c r="E3024" s="541" t="s">
        <v>280</v>
      </c>
      <c r="F3024" s="542" t="s">
        <v>8</v>
      </c>
      <c r="G3024" s="543" t="s">
        <v>285</v>
      </c>
      <c r="H3024" s="555">
        <v>1836</v>
      </c>
      <c r="I3024" s="541" t="s">
        <v>281</v>
      </c>
      <c r="J3024" s="1019" t="s">
        <v>2371</v>
      </c>
      <c r="K3024" s="1019"/>
      <c r="L3024" s="1020"/>
      <c r="M3024" s="173"/>
      <c r="N3024" s="68"/>
      <c r="O3024" s="203"/>
      <c r="P3024" s="218"/>
      <c r="Q3024" s="68"/>
      <c r="R3024" s="217"/>
    </row>
    <row r="3025" spans="1:25" ht="30" customHeight="1" x14ac:dyDescent="0.35">
      <c r="A3025" s="588" t="s">
        <v>298</v>
      </c>
      <c r="B3025" s="1038" t="s">
        <v>321</v>
      </c>
      <c r="C3025" s="1039"/>
      <c r="D3025" s="1040"/>
      <c r="E3025" s="23" t="s">
        <v>290</v>
      </c>
      <c r="F3025" s="23" t="s">
        <v>322</v>
      </c>
      <c r="G3025" s="1034" t="s">
        <v>323</v>
      </c>
      <c r="H3025" s="1035"/>
      <c r="I3025" s="509" t="s">
        <v>299</v>
      </c>
      <c r="J3025" s="509"/>
      <c r="K3025" s="1012" t="s">
        <v>292</v>
      </c>
      <c r="L3025" s="1013"/>
      <c r="M3025" s="173"/>
      <c r="N3025" s="68"/>
      <c r="O3025" s="203"/>
      <c r="P3025" s="218"/>
      <c r="Q3025" s="68"/>
      <c r="R3025" s="217"/>
    </row>
    <row r="3026" spans="1:25" ht="30" customHeight="1" x14ac:dyDescent="0.35">
      <c r="A3026" s="717" t="s">
        <v>1422</v>
      </c>
      <c r="B3026" s="1031" t="s">
        <v>1423</v>
      </c>
      <c r="C3026" s="1032"/>
      <c r="D3026" s="1033"/>
      <c r="E3026" s="453">
        <v>90.5</v>
      </c>
      <c r="F3026" s="3" t="s">
        <v>8</v>
      </c>
      <c r="G3026" s="496"/>
      <c r="H3026" s="498"/>
      <c r="I3026" s="446">
        <v>1.03</v>
      </c>
      <c r="J3026" s="446"/>
      <c r="K3026" s="453">
        <f>+E3026*I3026</f>
        <v>93.215000000000003</v>
      </c>
      <c r="L3026" s="243" t="s">
        <v>8</v>
      </c>
      <c r="M3026" s="173"/>
      <c r="N3026" s="68"/>
      <c r="O3026" s="203"/>
      <c r="P3026" s="218"/>
      <c r="Q3026" s="68"/>
      <c r="R3026" s="217"/>
    </row>
    <row r="3027" spans="1:25" ht="30" customHeight="1" x14ac:dyDescent="0.35">
      <c r="A3027" s="717" t="s">
        <v>1229</v>
      </c>
      <c r="B3027" s="1031" t="s">
        <v>1424</v>
      </c>
      <c r="C3027" s="1032"/>
      <c r="D3027" s="1033"/>
      <c r="E3027" s="453">
        <v>14.35</v>
      </c>
      <c r="F3027" s="3" t="s">
        <v>8</v>
      </c>
      <c r="G3027" s="496"/>
      <c r="H3027" s="498"/>
      <c r="I3027" s="446">
        <v>1.03</v>
      </c>
      <c r="J3027" s="446"/>
      <c r="K3027" s="453">
        <f>+E3027*I3027</f>
        <v>14.7805</v>
      </c>
      <c r="L3027" s="243" t="s">
        <v>8</v>
      </c>
      <c r="M3027" s="173"/>
      <c r="N3027" s="68"/>
      <c r="O3027" s="203"/>
      <c r="P3027" s="218"/>
      <c r="Q3027" s="68"/>
      <c r="R3027" s="217"/>
    </row>
    <row r="3028" spans="1:25" ht="30" customHeight="1" x14ac:dyDescent="0.35">
      <c r="A3028" s="848" t="s">
        <v>360</v>
      </c>
      <c r="B3028" s="1031" t="s">
        <v>1425</v>
      </c>
      <c r="C3028" s="1032"/>
      <c r="D3028" s="1032"/>
      <c r="E3028" s="453">
        <v>4.1500000000000004</v>
      </c>
      <c r="F3028" s="3" t="s">
        <v>8</v>
      </c>
      <c r="G3028" s="496"/>
      <c r="H3028" s="498"/>
      <c r="I3028" s="446">
        <v>1.03</v>
      </c>
      <c r="J3028" s="446"/>
      <c r="K3028" s="453">
        <f>+E3028*I3028</f>
        <v>4.2745000000000006</v>
      </c>
      <c r="L3028" s="243" t="s">
        <v>8</v>
      </c>
      <c r="M3028" s="173"/>
      <c r="N3028" s="68"/>
      <c r="O3028" s="203"/>
      <c r="P3028" s="218"/>
      <c r="Q3028" s="68"/>
      <c r="R3028" s="217"/>
    </row>
    <row r="3029" spans="1:25" ht="30" customHeight="1" x14ac:dyDescent="0.35">
      <c r="A3029" s="832"/>
      <c r="B3029" s="1102"/>
      <c r="C3029" s="1102"/>
      <c r="D3029" s="1102"/>
      <c r="E3029" s="453"/>
      <c r="F3029" s="446"/>
      <c r="G3029" s="454"/>
      <c r="H3029" s="446"/>
      <c r="I3029" s="446"/>
      <c r="J3029" s="446" t="s">
        <v>335</v>
      </c>
      <c r="K3029" s="453">
        <f>SUM(K3026:K3028)</f>
        <v>112.27000000000001</v>
      </c>
      <c r="L3029" s="243" t="s">
        <v>8</v>
      </c>
      <c r="M3029" s="173"/>
      <c r="N3029" s="419"/>
      <c r="O3029" s="203"/>
      <c r="P3029" s="218"/>
      <c r="Q3029" s="68"/>
      <c r="R3029" s="217"/>
    </row>
    <row r="3030" spans="1:25" ht="30" customHeight="1" x14ac:dyDescent="0.35">
      <c r="A3030" s="241"/>
      <c r="B3030" s="506"/>
      <c r="C3030" s="506"/>
      <c r="D3030" s="506"/>
      <c r="E3030" s="453"/>
      <c r="F3030" s="1029" t="s">
        <v>302</v>
      </c>
      <c r="G3030" s="1058" t="s">
        <v>303</v>
      </c>
      <c r="H3030" s="1058"/>
      <c r="I3030" s="1058"/>
      <c r="J3030" s="1058"/>
      <c r="K3030" s="612">
        <v>1.07</v>
      </c>
      <c r="L3030" s="243"/>
      <c r="M3030" s="173"/>
      <c r="N3030" s="419"/>
      <c r="O3030" s="203"/>
      <c r="P3030" s="218"/>
      <c r="Q3030" s="68"/>
      <c r="R3030" s="217"/>
    </row>
    <row r="3031" spans="1:25" ht="30" customHeight="1" x14ac:dyDescent="0.35">
      <c r="A3031" s="241"/>
      <c r="B3031" s="506"/>
      <c r="C3031" s="506"/>
      <c r="D3031" s="506"/>
      <c r="E3031" s="453"/>
      <c r="F3031" s="1030"/>
      <c r="G3031" s="1073" t="s">
        <v>2374</v>
      </c>
      <c r="H3031" s="1073"/>
      <c r="I3031" s="1073"/>
      <c r="J3031" s="1073"/>
      <c r="K3031" s="612">
        <v>1.08</v>
      </c>
      <c r="L3031" s="243"/>
      <c r="M3031" s="173"/>
      <c r="N3031" s="68"/>
      <c r="O3031" s="203"/>
      <c r="P3031" s="218"/>
      <c r="Q3031" s="68"/>
      <c r="R3031" s="217"/>
    </row>
    <row r="3032" spans="1:25" ht="30" customHeight="1" x14ac:dyDescent="0.35">
      <c r="A3032" s="241"/>
      <c r="B3032" s="446"/>
      <c r="C3032" s="458"/>
      <c r="D3032" s="458"/>
      <c r="E3032" s="458"/>
      <c r="F3032" s="458"/>
      <c r="G3032" s="458"/>
      <c r="H3032" s="458"/>
      <c r="I3032" s="458"/>
      <c r="J3032" s="446" t="s">
        <v>2356</v>
      </c>
      <c r="K3032" s="591">
        <f>+K3029*K3030/K3031</f>
        <v>111.23046296296297</v>
      </c>
      <c r="L3032" s="243" t="s">
        <v>8</v>
      </c>
      <c r="M3032" s="173"/>
      <c r="N3032" s="68"/>
      <c r="O3032" s="203"/>
      <c r="P3032" s="218"/>
      <c r="Q3032" s="68"/>
      <c r="R3032" s="217"/>
    </row>
    <row r="3033" spans="1:25" ht="30" customHeight="1" thickBot="1" x14ac:dyDescent="0.4">
      <c r="A3033" s="241"/>
      <c r="B3033" s="446"/>
      <c r="C3033" s="458"/>
      <c r="D3033" s="458"/>
      <c r="E3033" s="458"/>
      <c r="F3033" s="458"/>
      <c r="G3033" s="592" t="s">
        <v>2358</v>
      </c>
      <c r="H3033" s="458"/>
      <c r="I3033" s="458"/>
      <c r="J3033" s="583">
        <f>VLOOKUP(B3024,'Mil Cost Premiums for PUCs'!$A$4:$R$272,18,FALSE)</f>
        <v>1.1838860786480316</v>
      </c>
      <c r="K3033" s="591">
        <f>+K3032*J3033</f>
        <v>131.68419662342734</v>
      </c>
      <c r="L3033" s="243" t="s">
        <v>8</v>
      </c>
      <c r="M3033" s="173"/>
      <c r="N3033" s="68"/>
      <c r="O3033" s="203"/>
      <c r="P3033" s="218"/>
      <c r="Q3033" s="68"/>
      <c r="R3033" s="217"/>
    </row>
    <row r="3034" spans="1:25" ht="30" customHeight="1" thickBot="1" x14ac:dyDescent="0.4">
      <c r="A3034" s="481"/>
      <c r="B3034" s="482"/>
      <c r="C3034" s="482"/>
      <c r="D3034" s="482"/>
      <c r="E3034" s="482"/>
      <c r="F3034" s="482"/>
      <c r="G3034" s="482"/>
      <c r="H3034" s="482"/>
      <c r="I3034" s="482"/>
      <c r="J3034" s="482"/>
      <c r="K3034" s="482"/>
      <c r="L3034" s="483"/>
      <c r="M3034" s="173"/>
      <c r="N3034" s="68"/>
      <c r="O3034" s="203"/>
      <c r="P3034" s="218"/>
      <c r="Q3034" s="68"/>
      <c r="R3034" s="217"/>
    </row>
    <row r="3035" spans="1:25" ht="30" customHeight="1" x14ac:dyDescent="0.35">
      <c r="A3035" s="465" t="s">
        <v>278</v>
      </c>
      <c r="B3035" s="539">
        <v>7323</v>
      </c>
      <c r="C3035" s="1017" t="s">
        <v>1426</v>
      </c>
      <c r="D3035" s="1018"/>
      <c r="E3035" s="541" t="s">
        <v>280</v>
      </c>
      <c r="F3035" s="542" t="s">
        <v>8</v>
      </c>
      <c r="G3035" s="543" t="s">
        <v>285</v>
      </c>
      <c r="H3035" s="555">
        <v>2026</v>
      </c>
      <c r="I3035" s="541" t="s">
        <v>281</v>
      </c>
      <c r="J3035" s="1019" t="s">
        <v>2371</v>
      </c>
      <c r="K3035" s="1019"/>
      <c r="L3035" s="1020"/>
      <c r="M3035" s="173"/>
      <c r="N3035" s="68"/>
      <c r="O3035" s="203"/>
      <c r="P3035" s="218"/>
      <c r="Q3035" s="68"/>
      <c r="R3035" s="217"/>
      <c r="T3035" s="208"/>
      <c r="U3035" s="208"/>
      <c r="V3035" s="208"/>
      <c r="W3035" s="208"/>
      <c r="X3035" s="208"/>
    </row>
    <row r="3036" spans="1:25" ht="30" customHeight="1" x14ac:dyDescent="0.35">
      <c r="A3036" s="588" t="s">
        <v>298</v>
      </c>
      <c r="B3036" s="1038" t="s">
        <v>321</v>
      </c>
      <c r="C3036" s="1039"/>
      <c r="D3036" s="1040"/>
      <c r="E3036" s="23" t="s">
        <v>290</v>
      </c>
      <c r="F3036" s="23" t="s">
        <v>322</v>
      </c>
      <c r="G3036" s="1034" t="s">
        <v>323</v>
      </c>
      <c r="H3036" s="1035"/>
      <c r="I3036" s="509" t="s">
        <v>299</v>
      </c>
      <c r="J3036" s="509"/>
      <c r="K3036" s="595" t="s">
        <v>292</v>
      </c>
      <c r="L3036" s="739"/>
      <c r="M3036" s="173"/>
      <c r="N3036" s="68"/>
      <c r="O3036" s="203"/>
      <c r="P3036" s="218"/>
      <c r="Q3036" s="68"/>
      <c r="R3036" s="217"/>
      <c r="Y3036" s="208"/>
    </row>
    <row r="3037" spans="1:25" ht="30" customHeight="1" x14ac:dyDescent="0.35">
      <c r="A3037" s="717" t="s">
        <v>1427</v>
      </c>
      <c r="B3037" s="1102" t="s">
        <v>1428</v>
      </c>
      <c r="C3037" s="1102"/>
      <c r="D3037" s="1102"/>
      <c r="E3037" s="453">
        <v>10.7</v>
      </c>
      <c r="F3037" s="446" t="s">
        <v>8</v>
      </c>
      <c r="G3037" s="446"/>
      <c r="H3037" s="446"/>
      <c r="I3037" s="446">
        <v>1.03</v>
      </c>
      <c r="J3037" s="446"/>
      <c r="K3037" s="453">
        <f>+E3037*I3037</f>
        <v>11.020999999999999</v>
      </c>
      <c r="L3037" s="243" t="s">
        <v>8</v>
      </c>
      <c r="M3037" s="173"/>
      <c r="N3037" s="68"/>
      <c r="O3037" s="208"/>
      <c r="P3037" s="218"/>
      <c r="Q3037" s="68"/>
      <c r="R3037" s="217"/>
      <c r="S3037" s="208"/>
    </row>
    <row r="3038" spans="1:25" ht="30" customHeight="1" x14ac:dyDescent="0.35">
      <c r="A3038" s="717" t="s">
        <v>1429</v>
      </c>
      <c r="B3038" s="1031" t="s">
        <v>1430</v>
      </c>
      <c r="C3038" s="1032"/>
      <c r="D3038" s="1033"/>
      <c r="E3038" s="453">
        <f>(449+2230)/2</f>
        <v>1339.5</v>
      </c>
      <c r="F3038" s="703" t="s">
        <v>10</v>
      </c>
      <c r="G3038" s="629">
        <f>(E3038)/H3035</f>
        <v>0.66115498519249749</v>
      </c>
      <c r="H3038" s="446" t="s">
        <v>8</v>
      </c>
      <c r="I3038" s="446">
        <v>1.03</v>
      </c>
      <c r="J3038" s="446"/>
      <c r="K3038" s="453">
        <f>G3038*I3038</f>
        <v>0.68098963474827245</v>
      </c>
      <c r="L3038" s="243" t="s">
        <v>8</v>
      </c>
      <c r="M3038" s="173"/>
      <c r="N3038" s="68"/>
      <c r="O3038" s="203"/>
      <c r="P3038" s="218"/>
      <c r="Q3038" s="68"/>
      <c r="R3038" s="217"/>
    </row>
    <row r="3039" spans="1:25" s="208" customFormat="1" ht="30" customHeight="1" x14ac:dyDescent="0.35">
      <c r="A3039" s="717" t="s">
        <v>1429</v>
      </c>
      <c r="B3039" s="1082" t="s">
        <v>1431</v>
      </c>
      <c r="C3039" s="1083"/>
      <c r="D3039" s="1093"/>
      <c r="E3039" s="453">
        <f>(785+2010)/2</f>
        <v>1397.5</v>
      </c>
      <c r="F3039" s="703" t="s">
        <v>10</v>
      </c>
      <c r="G3039" s="629">
        <f>(E3039)/H3035</f>
        <v>0.68978282329713725</v>
      </c>
      <c r="H3039" s="658" t="s">
        <v>8</v>
      </c>
      <c r="I3039" s="446">
        <v>1.03</v>
      </c>
      <c r="J3039" s="659"/>
      <c r="K3039" s="453">
        <f>G3039*I3039</f>
        <v>0.71047630799605144</v>
      </c>
      <c r="L3039" s="243" t="s">
        <v>8</v>
      </c>
      <c r="M3039" s="173"/>
      <c r="N3039" s="68"/>
      <c r="O3039" s="203"/>
      <c r="P3039" s="218"/>
      <c r="Q3039" s="68"/>
      <c r="R3039" s="217"/>
      <c r="S3039" s="203"/>
      <c r="T3039" s="203"/>
      <c r="U3039" s="203"/>
      <c r="V3039" s="203"/>
      <c r="W3039" s="203"/>
      <c r="X3039" s="203"/>
      <c r="Y3039" s="203"/>
    </row>
    <row r="3040" spans="1:25" ht="30" customHeight="1" x14ac:dyDescent="0.35">
      <c r="A3040" s="241"/>
      <c r="B3040" s="506"/>
      <c r="C3040" s="506"/>
      <c r="D3040" s="506"/>
      <c r="E3040" s="453"/>
      <c r="F3040" s="1029" t="s">
        <v>302</v>
      </c>
      <c r="G3040" s="1281" t="s">
        <v>303</v>
      </c>
      <c r="H3040" s="1296"/>
      <c r="I3040" s="1296"/>
      <c r="J3040" s="1297"/>
      <c r="K3040" s="612">
        <v>1.07</v>
      </c>
      <c r="L3040" s="243"/>
      <c r="M3040" s="173"/>
      <c r="N3040" s="68"/>
      <c r="O3040" s="203"/>
      <c r="P3040" s="218"/>
      <c r="Q3040" s="68"/>
      <c r="R3040" s="217"/>
    </row>
    <row r="3041" spans="1:18" ht="30" customHeight="1" x14ac:dyDescent="0.35">
      <c r="A3041" s="241"/>
      <c r="B3041" s="506"/>
      <c r="C3041" s="506"/>
      <c r="D3041" s="506"/>
      <c r="E3041" s="453"/>
      <c r="F3041" s="1030"/>
      <c r="G3041" s="1073" t="s">
        <v>2374</v>
      </c>
      <c r="H3041" s="1073"/>
      <c r="I3041" s="1073"/>
      <c r="J3041" s="1073"/>
      <c r="K3041" s="612">
        <v>1.08</v>
      </c>
      <c r="L3041" s="243"/>
      <c r="M3041" s="173"/>
      <c r="N3041" s="68"/>
      <c r="O3041" s="203"/>
      <c r="P3041" s="218"/>
      <c r="Q3041" s="68"/>
      <c r="R3041" s="217"/>
    </row>
    <row r="3042" spans="1:18" ht="30" customHeight="1" x14ac:dyDescent="0.35">
      <c r="A3042" s="241"/>
      <c r="B3042" s="446"/>
      <c r="C3042" s="458"/>
      <c r="D3042" s="458"/>
      <c r="E3042" s="458"/>
      <c r="F3042" s="458"/>
      <c r="G3042" s="458"/>
      <c r="H3042" s="458"/>
      <c r="I3042" s="458"/>
      <c r="J3042" s="446" t="s">
        <v>2356</v>
      </c>
      <c r="K3042" s="591">
        <f>+(K3037+K3038+K3039)*K3040/K3041</f>
        <v>12.297535702533727</v>
      </c>
      <c r="L3042" s="243" t="s">
        <v>8</v>
      </c>
      <c r="M3042" s="173"/>
      <c r="N3042" s="68"/>
      <c r="O3042" s="203"/>
      <c r="P3042" s="218"/>
      <c r="Q3042" s="68"/>
      <c r="R3042" s="217"/>
    </row>
    <row r="3043" spans="1:18" ht="30" customHeight="1" thickBot="1" x14ac:dyDescent="0.4">
      <c r="A3043" s="241"/>
      <c r="B3043" s="446"/>
      <c r="C3043" s="458"/>
      <c r="D3043" s="458"/>
      <c r="E3043" s="458"/>
      <c r="F3043" s="458"/>
      <c r="G3043" s="592" t="s">
        <v>2358</v>
      </c>
      <c r="H3043" s="458"/>
      <c r="I3043" s="458"/>
      <c r="J3043" s="583">
        <f>VLOOKUP(B3035,'Mil Cost Premiums for PUCs'!$A$4:$R$272,18,FALSE)</f>
        <v>1.0209999999999999</v>
      </c>
      <c r="K3043" s="591">
        <f>+K3042*J3043</f>
        <v>12.555783952286934</v>
      </c>
      <c r="L3043" s="243" t="s">
        <v>8</v>
      </c>
      <c r="M3043" s="173"/>
      <c r="N3043" s="68"/>
      <c r="O3043" s="203"/>
      <c r="P3043" s="218"/>
      <c r="Q3043" s="68"/>
      <c r="R3043" s="217"/>
    </row>
    <row r="3044" spans="1:18" ht="30" customHeight="1" thickBot="1" x14ac:dyDescent="0.4">
      <c r="A3044" s="481"/>
      <c r="B3044" s="482"/>
      <c r="C3044" s="482"/>
      <c r="D3044" s="482"/>
      <c r="E3044" s="482"/>
      <c r="F3044" s="482"/>
      <c r="G3044" s="482"/>
      <c r="H3044" s="482"/>
      <c r="I3044" s="482"/>
      <c r="J3044" s="482"/>
      <c r="K3044" s="482"/>
      <c r="L3044" s="483"/>
      <c r="M3044" s="173"/>
      <c r="N3044" s="68"/>
      <c r="O3044" s="203"/>
      <c r="P3044" s="218"/>
      <c r="Q3044" s="68"/>
      <c r="R3044" s="217"/>
    </row>
    <row r="3045" spans="1:18" ht="30" customHeight="1" x14ac:dyDescent="0.35">
      <c r="A3045" s="465" t="s">
        <v>278</v>
      </c>
      <c r="B3045" s="539">
        <v>7331</v>
      </c>
      <c r="C3045" s="1060" t="s">
        <v>1432</v>
      </c>
      <c r="D3045" s="1061"/>
      <c r="E3045" s="541" t="s">
        <v>280</v>
      </c>
      <c r="F3045" s="542" t="s">
        <v>8</v>
      </c>
      <c r="G3045" s="543" t="s">
        <v>285</v>
      </c>
      <c r="H3045" s="555">
        <v>4477</v>
      </c>
      <c r="I3045" s="541" t="s">
        <v>281</v>
      </c>
      <c r="J3045" s="1019" t="s">
        <v>2371</v>
      </c>
      <c r="K3045" s="1019"/>
      <c r="L3045" s="1020"/>
      <c r="M3045" s="173"/>
      <c r="N3045" s="68"/>
      <c r="O3045" s="203"/>
      <c r="P3045" s="218"/>
      <c r="Q3045" s="68"/>
      <c r="R3045" s="217"/>
    </row>
    <row r="3046" spans="1:18" ht="30" customHeight="1" x14ac:dyDescent="0.35">
      <c r="A3046" s="545" t="s">
        <v>298</v>
      </c>
      <c r="B3046" s="849" t="s">
        <v>321</v>
      </c>
      <c r="C3046" s="850"/>
      <c r="D3046" s="851"/>
      <c r="E3046" s="420" t="s">
        <v>290</v>
      </c>
      <c r="F3046" s="420" t="s">
        <v>322</v>
      </c>
      <c r="G3046" s="1052" t="s">
        <v>323</v>
      </c>
      <c r="H3046" s="1177"/>
      <c r="I3046" s="509" t="s">
        <v>299</v>
      </c>
      <c r="J3046" s="509"/>
      <c r="K3046" s="1012" t="s">
        <v>292</v>
      </c>
      <c r="L3046" s="1013"/>
      <c r="M3046" s="173"/>
      <c r="N3046" s="68"/>
      <c r="O3046" s="203"/>
      <c r="P3046" s="218"/>
      <c r="Q3046" s="68"/>
      <c r="R3046" s="217"/>
    </row>
    <row r="3047" spans="1:18" ht="30" customHeight="1" x14ac:dyDescent="0.35">
      <c r="A3047" s="717" t="s">
        <v>1433</v>
      </c>
      <c r="B3047" s="1031" t="s">
        <v>1434</v>
      </c>
      <c r="C3047" s="1032"/>
      <c r="D3047" s="1033"/>
      <c r="E3047" s="453">
        <v>143</v>
      </c>
      <c r="F3047" s="3" t="s">
        <v>8</v>
      </c>
      <c r="G3047" s="496"/>
      <c r="H3047" s="498" t="s">
        <v>8</v>
      </c>
      <c r="I3047" s="446">
        <v>1.04</v>
      </c>
      <c r="J3047" s="446"/>
      <c r="K3047" s="453">
        <f>+E3047*I3047</f>
        <v>148.72</v>
      </c>
      <c r="L3047" s="243" t="s">
        <v>8</v>
      </c>
      <c r="M3047" s="173"/>
      <c r="N3047" s="68"/>
      <c r="O3047" s="203"/>
      <c r="P3047" s="218"/>
      <c r="Q3047" s="68"/>
      <c r="R3047" s="217"/>
    </row>
    <row r="3048" spans="1:18" ht="30" customHeight="1" x14ac:dyDescent="0.35">
      <c r="A3048" s="717" t="s">
        <v>1435</v>
      </c>
      <c r="B3048" s="1031" t="s">
        <v>3077</v>
      </c>
      <c r="C3048" s="1032"/>
      <c r="D3048" s="1033"/>
      <c r="E3048" s="453">
        <v>840</v>
      </c>
      <c r="F3048" s="3" t="s">
        <v>6</v>
      </c>
      <c r="G3048" s="282">
        <f>(4*10*E3048)/H3045</f>
        <v>7.5050256868438687</v>
      </c>
      <c r="H3048" s="498" t="s">
        <v>932</v>
      </c>
      <c r="I3048" s="446">
        <v>1.03</v>
      </c>
      <c r="J3048" s="446"/>
      <c r="K3048" s="453">
        <f>+G3048*I3048</f>
        <v>7.7301764574491854</v>
      </c>
      <c r="L3048" s="243" t="s">
        <v>8</v>
      </c>
      <c r="M3048" s="173"/>
      <c r="N3048" s="68"/>
      <c r="O3048" s="203"/>
      <c r="P3048" s="218"/>
      <c r="Q3048" s="68"/>
      <c r="R3048" s="217"/>
    </row>
    <row r="3049" spans="1:18" ht="30" customHeight="1" x14ac:dyDescent="0.35">
      <c r="A3049" s="717" t="s">
        <v>906</v>
      </c>
      <c r="B3049" s="1082" t="s">
        <v>1436</v>
      </c>
      <c r="C3049" s="1083"/>
      <c r="D3049" s="1093"/>
      <c r="E3049" s="453">
        <v>760</v>
      </c>
      <c r="F3049" s="3" t="s">
        <v>10</v>
      </c>
      <c r="G3049" s="283">
        <f>4*2*E3049/H3045</f>
        <v>1.3580522671431763</v>
      </c>
      <c r="H3049" s="498" t="s">
        <v>932</v>
      </c>
      <c r="I3049" s="446">
        <v>1.04</v>
      </c>
      <c r="J3049" s="446"/>
      <c r="K3049" s="453">
        <f>+G3049*I3049</f>
        <v>1.4123743578289034</v>
      </c>
      <c r="L3049" s="243" t="s">
        <v>8</v>
      </c>
      <c r="M3049" s="173"/>
      <c r="N3049" s="68"/>
      <c r="O3049" s="203"/>
      <c r="P3049" s="218"/>
      <c r="Q3049" s="68"/>
      <c r="R3049" s="217"/>
    </row>
    <row r="3050" spans="1:18" ht="30" customHeight="1" x14ac:dyDescent="0.35">
      <c r="A3050" s="717" t="s">
        <v>1274</v>
      </c>
      <c r="B3050" s="1031" t="s">
        <v>1022</v>
      </c>
      <c r="C3050" s="1032"/>
      <c r="D3050" s="1033"/>
      <c r="E3050" s="453">
        <v>4.09</v>
      </c>
      <c r="F3050" s="3" t="s">
        <v>8</v>
      </c>
      <c r="G3050" s="496"/>
      <c r="H3050" s="498" t="s">
        <v>8</v>
      </c>
      <c r="I3050" s="446">
        <v>1.04</v>
      </c>
      <c r="J3050" s="446"/>
      <c r="K3050" s="453">
        <f>+E3050*I3050</f>
        <v>4.2535999999999996</v>
      </c>
      <c r="L3050" s="243" t="s">
        <v>8</v>
      </c>
      <c r="M3050" s="173"/>
      <c r="N3050" s="68"/>
      <c r="O3050" s="171"/>
      <c r="P3050" s="216"/>
      <c r="Q3050" s="419"/>
      <c r="R3050" s="219"/>
    </row>
    <row r="3051" spans="1:18" ht="30" customHeight="1" x14ac:dyDescent="0.35">
      <c r="A3051" s="832"/>
      <c r="B3051" s="506"/>
      <c r="C3051" s="506"/>
      <c r="D3051" s="506"/>
      <c r="E3051" s="453"/>
      <c r="F3051" s="446"/>
      <c r="G3051" s="454"/>
      <c r="H3051" s="446"/>
      <c r="I3051" s="446"/>
      <c r="J3051" s="446" t="s">
        <v>335</v>
      </c>
      <c r="K3051" s="453">
        <f>SUM(K3047:K3050)</f>
        <v>162.11615081527808</v>
      </c>
      <c r="L3051" s="243" t="s">
        <v>8</v>
      </c>
      <c r="M3051" s="173"/>
      <c r="N3051" s="68"/>
      <c r="O3051" s="171"/>
      <c r="P3051" s="216"/>
      <c r="Q3051" s="419"/>
      <c r="R3051" s="219"/>
    </row>
    <row r="3052" spans="1:18" ht="30" customHeight="1" x14ac:dyDescent="0.35">
      <c r="A3052" s="241"/>
      <c r="B3052" s="506"/>
      <c r="C3052" s="506"/>
      <c r="D3052" s="506"/>
      <c r="E3052" s="453"/>
      <c r="F3052" s="1029" t="s">
        <v>302</v>
      </c>
      <c r="G3052" s="1058" t="s">
        <v>303</v>
      </c>
      <c r="H3052" s="1058"/>
      <c r="I3052" s="1058"/>
      <c r="J3052" s="1058"/>
      <c r="K3052" s="612">
        <v>1.07</v>
      </c>
      <c r="L3052" s="243"/>
      <c r="M3052" s="173"/>
      <c r="N3052" s="68"/>
      <c r="O3052" s="203"/>
      <c r="P3052" s="218"/>
      <c r="Q3052" s="68"/>
      <c r="R3052" s="217"/>
    </row>
    <row r="3053" spans="1:18" ht="30" customHeight="1" x14ac:dyDescent="0.35">
      <c r="A3053" s="241"/>
      <c r="B3053" s="506"/>
      <c r="C3053" s="506"/>
      <c r="D3053" s="506"/>
      <c r="E3053" s="453"/>
      <c r="F3053" s="1030"/>
      <c r="G3053" s="1073" t="s">
        <v>2374</v>
      </c>
      <c r="H3053" s="1073"/>
      <c r="I3053" s="1073"/>
      <c r="J3053" s="1073"/>
      <c r="K3053" s="612">
        <v>1.08</v>
      </c>
      <c r="L3053" s="243"/>
      <c r="M3053" s="173"/>
      <c r="N3053" s="68"/>
      <c r="O3053" s="203"/>
      <c r="P3053" s="218"/>
      <c r="Q3053" s="68"/>
      <c r="R3053" s="217"/>
    </row>
    <row r="3054" spans="1:18" ht="30" customHeight="1" x14ac:dyDescent="0.35">
      <c r="A3054" s="852"/>
      <c r="B3054" s="787"/>
      <c r="C3054" s="787"/>
      <c r="D3054" s="787"/>
      <c r="E3054" s="787"/>
      <c r="F3054" s="787"/>
      <c r="G3054" s="787"/>
      <c r="H3054" s="788"/>
      <c r="I3054" s="458"/>
      <c r="J3054" s="446" t="s">
        <v>2356</v>
      </c>
      <c r="K3054" s="591">
        <f>+K3051*K3052/K3053</f>
        <v>160.61507534476624</v>
      </c>
      <c r="L3054" s="243" t="s">
        <v>8</v>
      </c>
      <c r="M3054" s="173"/>
      <c r="N3054" s="68"/>
      <c r="O3054" s="203"/>
      <c r="P3054" s="218"/>
      <c r="Q3054" s="68"/>
      <c r="R3054" s="217"/>
    </row>
    <row r="3055" spans="1:18" ht="30" customHeight="1" x14ac:dyDescent="0.35">
      <c r="A3055" s="853"/>
      <c r="B3055" s="802"/>
      <c r="C3055" s="802"/>
      <c r="D3055" s="802"/>
      <c r="E3055" s="802"/>
      <c r="F3055" s="802"/>
      <c r="G3055" s="171"/>
      <c r="H3055" s="802"/>
      <c r="I3055" s="568" t="s">
        <v>2359</v>
      </c>
      <c r="J3055" s="583">
        <f>VLOOKUP(B3045,'Mil Cost Premiums for PUCs'!$A$4:$R$272,18,FALSE)</f>
        <v>1.290538574246207</v>
      </c>
      <c r="K3055" s="591">
        <f>+K3054*J3055</f>
        <v>207.27995033788173</v>
      </c>
      <c r="L3055" s="243" t="s">
        <v>8</v>
      </c>
      <c r="M3055" s="173"/>
      <c r="N3055" s="68"/>
      <c r="O3055" s="203"/>
      <c r="P3055" s="218"/>
      <c r="Q3055" s="68"/>
      <c r="R3055" s="217"/>
    </row>
    <row r="3056" spans="1:18" ht="60" customHeight="1" x14ac:dyDescent="0.35">
      <c r="A3056" s="1064" t="s">
        <v>305</v>
      </c>
      <c r="B3056" s="1065"/>
      <c r="C3056" s="1065"/>
      <c r="D3056" s="1065"/>
      <c r="E3056" s="1065"/>
      <c r="F3056" s="1065"/>
      <c r="G3056" s="1065"/>
      <c r="H3056" s="1065"/>
      <c r="I3056" s="1065"/>
      <c r="J3056" s="1065"/>
      <c r="K3056" s="1065"/>
      <c r="L3056" s="1066"/>
      <c r="M3056" s="173"/>
      <c r="N3056" s="68"/>
      <c r="O3056" s="203"/>
      <c r="P3056" s="218"/>
      <c r="Q3056" s="68"/>
      <c r="R3056" s="217"/>
    </row>
    <row r="3057" spans="1:25" ht="60" customHeight="1" x14ac:dyDescent="0.35">
      <c r="A3057" s="1077" t="s">
        <v>306</v>
      </c>
      <c r="B3057" s="1042"/>
      <c r="C3057" s="1043"/>
      <c r="D3057" s="1067" t="s">
        <v>1437</v>
      </c>
      <c r="E3057" s="1065"/>
      <c r="F3057" s="1065"/>
      <c r="G3057" s="1065"/>
      <c r="H3057" s="1065"/>
      <c r="I3057" s="1065"/>
      <c r="J3057" s="1065"/>
      <c r="K3057" s="1065"/>
      <c r="L3057" s="1066"/>
      <c r="M3057" s="173"/>
      <c r="N3057" s="68"/>
      <c r="O3057" s="203"/>
      <c r="P3057" s="218"/>
      <c r="Q3057" s="68"/>
      <c r="R3057" s="217"/>
    </row>
    <row r="3058" spans="1:25" ht="30" customHeight="1" x14ac:dyDescent="0.35">
      <c r="A3058" s="1077" t="s">
        <v>307</v>
      </c>
      <c r="B3058" s="1042"/>
      <c r="C3058" s="1043"/>
      <c r="D3058" s="1067" t="s">
        <v>1438</v>
      </c>
      <c r="E3058" s="1065"/>
      <c r="F3058" s="1065"/>
      <c r="G3058" s="1065"/>
      <c r="H3058" s="1065"/>
      <c r="I3058" s="1065"/>
      <c r="J3058" s="1065"/>
      <c r="K3058" s="1065"/>
      <c r="L3058" s="1066"/>
      <c r="M3058" s="173"/>
      <c r="N3058" s="68"/>
      <c r="O3058" s="203"/>
      <c r="P3058" s="218"/>
      <c r="Q3058" s="68"/>
      <c r="R3058" s="217"/>
    </row>
    <row r="3059" spans="1:25" ht="30" customHeight="1" x14ac:dyDescent="0.35">
      <c r="A3059" s="1077" t="s">
        <v>308</v>
      </c>
      <c r="B3059" s="1042"/>
      <c r="C3059" s="1043"/>
      <c r="D3059" s="1067" t="s">
        <v>3078</v>
      </c>
      <c r="E3059" s="1065"/>
      <c r="F3059" s="1065"/>
      <c r="G3059" s="1065"/>
      <c r="H3059" s="1065"/>
      <c r="I3059" s="1065"/>
      <c r="J3059" s="1065"/>
      <c r="K3059" s="1065"/>
      <c r="L3059" s="1066"/>
      <c r="M3059" s="173"/>
      <c r="N3059" s="419"/>
      <c r="O3059" s="203"/>
      <c r="P3059" s="218"/>
      <c r="Q3059" s="68"/>
      <c r="R3059" s="217"/>
    </row>
    <row r="3060" spans="1:25" ht="60" customHeight="1" x14ac:dyDescent="0.35">
      <c r="A3060" s="1077" t="s">
        <v>309</v>
      </c>
      <c r="B3060" s="1042"/>
      <c r="C3060" s="1043"/>
      <c r="D3060" s="1067" t="s">
        <v>2668</v>
      </c>
      <c r="E3060" s="1065"/>
      <c r="F3060" s="1065"/>
      <c r="G3060" s="1065"/>
      <c r="H3060" s="1065"/>
      <c r="I3060" s="1065"/>
      <c r="J3060" s="1065"/>
      <c r="K3060" s="1065"/>
      <c r="L3060" s="1066"/>
      <c r="M3060" s="173"/>
      <c r="N3060" s="419"/>
      <c r="O3060" s="203"/>
      <c r="P3060" s="218"/>
      <c r="Q3060" s="68"/>
      <c r="R3060" s="217"/>
    </row>
    <row r="3061" spans="1:25" ht="30" customHeight="1" x14ac:dyDescent="0.35">
      <c r="A3061" s="1077" t="s">
        <v>311</v>
      </c>
      <c r="B3061" s="1042"/>
      <c r="C3061" s="1043"/>
      <c r="D3061" s="1129" t="s">
        <v>1439</v>
      </c>
      <c r="E3061" s="1325"/>
      <c r="F3061" s="1325"/>
      <c r="G3061" s="1325"/>
      <c r="H3061" s="1325"/>
      <c r="I3061" s="1325"/>
      <c r="J3061" s="1325"/>
      <c r="K3061" s="1325"/>
      <c r="L3061" s="1326"/>
      <c r="M3061" s="173"/>
      <c r="N3061" s="68"/>
      <c r="O3061" s="203"/>
      <c r="P3061" s="218"/>
      <c r="Q3061" s="68"/>
      <c r="R3061" s="217"/>
    </row>
    <row r="3062" spans="1:25" ht="30" customHeight="1" x14ac:dyDescent="0.35">
      <c r="A3062" s="1077" t="s">
        <v>313</v>
      </c>
      <c r="B3062" s="1042"/>
      <c r="C3062" s="1043"/>
      <c r="D3062" s="1067" t="s">
        <v>1371</v>
      </c>
      <c r="E3062" s="1065"/>
      <c r="F3062" s="1065"/>
      <c r="G3062" s="1065"/>
      <c r="H3062" s="1065"/>
      <c r="I3062" s="1065"/>
      <c r="J3062" s="1065"/>
      <c r="K3062" s="1065"/>
      <c r="L3062" s="1066"/>
      <c r="M3062" s="173"/>
      <c r="N3062" s="68"/>
      <c r="O3062" s="203"/>
      <c r="P3062" s="218"/>
      <c r="Q3062" s="68"/>
      <c r="R3062" s="217"/>
    </row>
    <row r="3063" spans="1:25" ht="30" customHeight="1" x14ac:dyDescent="0.35">
      <c r="A3063" s="1077" t="s">
        <v>315</v>
      </c>
      <c r="B3063" s="1042"/>
      <c r="C3063" s="1043"/>
      <c r="D3063" s="1067" t="s">
        <v>1440</v>
      </c>
      <c r="E3063" s="1065"/>
      <c r="F3063" s="1065"/>
      <c r="G3063" s="1065"/>
      <c r="H3063" s="1065"/>
      <c r="I3063" s="1065"/>
      <c r="J3063" s="1065"/>
      <c r="K3063" s="1065"/>
      <c r="L3063" s="1066"/>
      <c r="M3063" s="173"/>
      <c r="N3063" s="68"/>
      <c r="O3063" s="203"/>
      <c r="P3063" s="218"/>
      <c r="Q3063" s="68"/>
      <c r="R3063" s="217"/>
    </row>
    <row r="3064" spans="1:25" ht="75" customHeight="1" x14ac:dyDescent="0.35">
      <c r="A3064" s="1077" t="s">
        <v>316</v>
      </c>
      <c r="B3064" s="1042"/>
      <c r="C3064" s="1043"/>
      <c r="D3064" s="1067" t="s">
        <v>373</v>
      </c>
      <c r="E3064" s="1065"/>
      <c r="F3064" s="1065"/>
      <c r="G3064" s="1065"/>
      <c r="H3064" s="1065"/>
      <c r="I3064" s="1065"/>
      <c r="J3064" s="1065"/>
      <c r="K3064" s="1065"/>
      <c r="L3064" s="1066"/>
      <c r="M3064" s="173"/>
      <c r="N3064" s="68"/>
      <c r="O3064" s="203"/>
      <c r="P3064" s="218"/>
      <c r="Q3064" s="68"/>
      <c r="R3064" s="217"/>
      <c r="T3064" s="208"/>
      <c r="U3064" s="208"/>
      <c r="V3064" s="208"/>
      <c r="W3064" s="208"/>
      <c r="X3064" s="208"/>
    </row>
    <row r="3065" spans="1:25" ht="45" customHeight="1" thickBot="1" x14ac:dyDescent="0.4">
      <c r="A3065" s="1077" t="s">
        <v>318</v>
      </c>
      <c r="B3065" s="1042"/>
      <c r="C3065" s="1043"/>
      <c r="D3065" s="1068" t="s">
        <v>1441</v>
      </c>
      <c r="E3065" s="1069"/>
      <c r="F3065" s="1069"/>
      <c r="G3065" s="1069"/>
      <c r="H3065" s="1069"/>
      <c r="I3065" s="1069"/>
      <c r="J3065" s="1069"/>
      <c r="K3065" s="1069"/>
      <c r="L3065" s="1070"/>
      <c r="M3065" s="173"/>
      <c r="N3065" s="68"/>
      <c r="O3065" s="203"/>
      <c r="P3065" s="218"/>
      <c r="Q3065" s="68"/>
      <c r="R3065" s="217"/>
      <c r="Y3065" s="208"/>
    </row>
    <row r="3066" spans="1:25" ht="30" customHeight="1" thickBot="1" x14ac:dyDescent="0.4">
      <c r="A3066" s="481"/>
      <c r="B3066" s="482"/>
      <c r="C3066" s="482"/>
      <c r="D3066" s="482"/>
      <c r="E3066" s="482"/>
      <c r="F3066" s="482"/>
      <c r="G3066" s="482"/>
      <c r="H3066" s="482"/>
      <c r="I3066" s="482"/>
      <c r="J3066" s="482"/>
      <c r="K3066" s="482"/>
      <c r="L3066" s="483"/>
      <c r="M3066" s="173"/>
      <c r="N3066" s="68"/>
      <c r="O3066" s="208"/>
      <c r="P3066" s="218"/>
      <c r="Q3066" s="68"/>
      <c r="R3066" s="217"/>
      <c r="S3066" s="208"/>
    </row>
    <row r="3067" spans="1:25" ht="30" customHeight="1" x14ac:dyDescent="0.35">
      <c r="A3067" s="465" t="s">
        <v>278</v>
      </c>
      <c r="B3067" s="539">
        <v>7332</v>
      </c>
      <c r="C3067" s="1096" t="s">
        <v>3079</v>
      </c>
      <c r="D3067" s="1097"/>
      <c r="E3067" s="543" t="s">
        <v>285</v>
      </c>
      <c r="F3067" s="854">
        <v>3077</v>
      </c>
      <c r="G3067" s="541" t="s">
        <v>280</v>
      </c>
      <c r="H3067" s="542" t="s">
        <v>8</v>
      </c>
      <c r="I3067" s="541" t="s">
        <v>281</v>
      </c>
      <c r="J3067" s="1098" t="s">
        <v>3080</v>
      </c>
      <c r="K3067" s="1099"/>
      <c r="L3067" s="1100"/>
      <c r="M3067" s="173"/>
      <c r="N3067" s="68"/>
      <c r="O3067" s="203"/>
      <c r="P3067" s="218"/>
      <c r="Q3067" s="68"/>
      <c r="R3067" s="217"/>
    </row>
    <row r="3068" spans="1:25" s="208" customFormat="1" ht="30" customHeight="1" x14ac:dyDescent="0.35">
      <c r="A3068" s="545"/>
      <c r="B3068" s="1021" t="s">
        <v>2921</v>
      </c>
      <c r="C3068" s="1021"/>
      <c r="D3068" s="1021"/>
      <c r="E3068" s="509" t="s">
        <v>290</v>
      </c>
      <c r="F3068" s="509" t="s">
        <v>322</v>
      </c>
      <c r="G3068" s="1034" t="s">
        <v>323</v>
      </c>
      <c r="H3068" s="1035"/>
      <c r="I3068" s="509" t="s">
        <v>327</v>
      </c>
      <c r="J3068" s="509" t="s">
        <v>419</v>
      </c>
      <c r="K3068" s="1012" t="s">
        <v>2356</v>
      </c>
      <c r="L3068" s="1013"/>
      <c r="M3068" s="173"/>
      <c r="N3068" s="68"/>
      <c r="O3068" s="203"/>
      <c r="P3068" s="218"/>
      <c r="Q3068" s="68"/>
      <c r="R3068" s="217"/>
      <c r="S3068" s="203"/>
      <c r="T3068" s="203"/>
      <c r="U3068" s="203"/>
      <c r="V3068" s="203"/>
      <c r="W3068" s="203"/>
      <c r="X3068" s="203"/>
      <c r="Y3068" s="203"/>
    </row>
    <row r="3069" spans="1:25" ht="30" customHeight="1" thickBot="1" x14ac:dyDescent="0.4">
      <c r="A3069" s="546"/>
      <c r="B3069" s="1014">
        <f>K3055</f>
        <v>207.27995033788173</v>
      </c>
      <c r="C3069" s="1014"/>
      <c r="D3069" s="1014"/>
      <c r="E3069" s="547"/>
      <c r="F3069" s="548"/>
      <c r="G3069" s="1015"/>
      <c r="H3069" s="1016"/>
      <c r="I3069" s="549"/>
      <c r="J3069" s="550"/>
      <c r="K3069" s="551">
        <f>B3069</f>
        <v>207.27995033788173</v>
      </c>
      <c r="L3069" s="552" t="s">
        <v>8</v>
      </c>
      <c r="M3069" s="173"/>
      <c r="N3069" s="68"/>
      <c r="O3069" s="203"/>
      <c r="P3069" s="218"/>
      <c r="Q3069" s="68"/>
      <c r="R3069" s="217"/>
    </row>
    <row r="3070" spans="1:25" ht="30" customHeight="1" thickBot="1" x14ac:dyDescent="0.4">
      <c r="A3070" s="1086"/>
      <c r="B3070" s="1087"/>
      <c r="C3070" s="1087"/>
      <c r="D3070" s="1087"/>
      <c r="E3070" s="1087"/>
      <c r="F3070" s="1087"/>
      <c r="G3070" s="1087"/>
      <c r="H3070" s="1087"/>
      <c r="I3070" s="1087"/>
      <c r="J3070" s="1087"/>
      <c r="K3070" s="1087"/>
      <c r="L3070" s="1088"/>
      <c r="M3070" s="173"/>
      <c r="N3070" s="68"/>
      <c r="O3070" s="171"/>
      <c r="P3070" s="216"/>
      <c r="Q3070" s="419"/>
      <c r="R3070" s="219"/>
    </row>
    <row r="3071" spans="1:25" ht="30" customHeight="1" x14ac:dyDescent="0.35">
      <c r="A3071" s="465" t="s">
        <v>278</v>
      </c>
      <c r="B3071" s="539">
        <v>7333</v>
      </c>
      <c r="C3071" s="1096" t="s">
        <v>1442</v>
      </c>
      <c r="D3071" s="1097"/>
      <c r="E3071" s="541" t="s">
        <v>280</v>
      </c>
      <c r="F3071" s="542" t="s">
        <v>8</v>
      </c>
      <c r="G3071" s="543" t="s">
        <v>285</v>
      </c>
      <c r="H3071" s="555">
        <v>13681</v>
      </c>
      <c r="I3071" s="541" t="s">
        <v>281</v>
      </c>
      <c r="J3071" s="1019" t="s">
        <v>2371</v>
      </c>
      <c r="K3071" s="1019"/>
      <c r="L3071" s="1020"/>
      <c r="M3071" s="173"/>
      <c r="N3071" s="68"/>
      <c r="O3071" s="171"/>
      <c r="P3071" s="216"/>
      <c r="Q3071" s="419"/>
      <c r="R3071" s="219"/>
    </row>
    <row r="3072" spans="1:25" ht="30" customHeight="1" x14ac:dyDescent="0.35">
      <c r="A3072" s="545" t="s">
        <v>298</v>
      </c>
      <c r="B3072" s="849" t="s">
        <v>321</v>
      </c>
      <c r="C3072" s="850"/>
      <c r="D3072" s="851"/>
      <c r="E3072" s="420" t="s">
        <v>290</v>
      </c>
      <c r="F3072" s="420" t="s">
        <v>322</v>
      </c>
      <c r="G3072" s="1052" t="s">
        <v>323</v>
      </c>
      <c r="H3072" s="1177"/>
      <c r="I3072" s="509" t="s">
        <v>299</v>
      </c>
      <c r="J3072" s="509"/>
      <c r="K3072" s="1012" t="s">
        <v>292</v>
      </c>
      <c r="L3072" s="1013"/>
      <c r="M3072" s="173"/>
      <c r="N3072" s="68"/>
      <c r="O3072" s="203"/>
      <c r="P3072" s="218"/>
      <c r="Q3072" s="68"/>
      <c r="R3072" s="217"/>
    </row>
    <row r="3073" spans="1:25" ht="30" customHeight="1" x14ac:dyDescent="0.35">
      <c r="A3073" s="717" t="s">
        <v>1443</v>
      </c>
      <c r="B3073" s="1031" t="s">
        <v>2482</v>
      </c>
      <c r="C3073" s="1032"/>
      <c r="D3073" s="1033"/>
      <c r="E3073" s="453">
        <v>129</v>
      </c>
      <c r="F3073" s="3" t="s">
        <v>8</v>
      </c>
      <c r="G3073" s="496"/>
      <c r="H3073" s="498" t="s">
        <v>8</v>
      </c>
      <c r="I3073" s="446">
        <v>1.04</v>
      </c>
      <c r="J3073" s="446"/>
      <c r="K3073" s="453">
        <f>+E3073*I3073</f>
        <v>134.16</v>
      </c>
      <c r="L3073" s="243" t="s">
        <v>8</v>
      </c>
      <c r="M3073" s="173"/>
      <c r="N3073" s="68"/>
      <c r="O3073" s="203"/>
      <c r="P3073" s="218"/>
      <c r="Q3073" s="68"/>
      <c r="R3073" s="217"/>
    </row>
    <row r="3074" spans="1:25" ht="30" customHeight="1" x14ac:dyDescent="0.35">
      <c r="A3074" s="717" t="s">
        <v>1435</v>
      </c>
      <c r="B3074" s="1031" t="s">
        <v>1444</v>
      </c>
      <c r="C3074" s="1032"/>
      <c r="D3074" s="1033"/>
      <c r="E3074" s="453">
        <v>805</v>
      </c>
      <c r="F3074" s="3" t="s">
        <v>6</v>
      </c>
      <c r="G3074" s="282">
        <f>(2*10*E3074)/H3071</f>
        <v>1.1768145603391564</v>
      </c>
      <c r="H3074" s="498" t="s">
        <v>932</v>
      </c>
      <c r="I3074" s="446">
        <v>1.03</v>
      </c>
      <c r="J3074" s="446"/>
      <c r="K3074" s="453">
        <f>+G3074*I3074</f>
        <v>1.2121189971493311</v>
      </c>
      <c r="L3074" s="243" t="s">
        <v>8</v>
      </c>
      <c r="M3074" s="173"/>
      <c r="N3074" s="68"/>
      <c r="O3074" s="203"/>
      <c r="P3074" s="218"/>
      <c r="Q3074" s="68"/>
      <c r="R3074" s="217"/>
      <c r="T3074" s="208"/>
      <c r="U3074" s="208"/>
      <c r="V3074" s="208"/>
      <c r="W3074" s="208"/>
      <c r="X3074" s="208"/>
    </row>
    <row r="3075" spans="1:25" ht="30" customHeight="1" x14ac:dyDescent="0.35">
      <c r="A3075" s="717" t="s">
        <v>906</v>
      </c>
      <c r="B3075" s="1082" t="s">
        <v>1445</v>
      </c>
      <c r="C3075" s="1083"/>
      <c r="D3075" s="1093"/>
      <c r="E3075" s="453">
        <v>760</v>
      </c>
      <c r="F3075" s="3" t="s">
        <v>10</v>
      </c>
      <c r="G3075" s="283">
        <f>4*E3075/H3071</f>
        <v>0.22220597909509537</v>
      </c>
      <c r="H3075" s="498" t="s">
        <v>932</v>
      </c>
      <c r="I3075" s="446">
        <v>1.04</v>
      </c>
      <c r="J3075" s="446"/>
      <c r="K3075" s="453">
        <f>+G3075*I3075</f>
        <v>0.2310942182588992</v>
      </c>
      <c r="L3075" s="243" t="s">
        <v>8</v>
      </c>
      <c r="M3075" s="173"/>
      <c r="N3075" s="68"/>
      <c r="O3075" s="203"/>
      <c r="P3075" s="218"/>
      <c r="Q3075" s="68"/>
      <c r="R3075" s="217"/>
      <c r="Y3075" s="208"/>
    </row>
    <row r="3076" spans="1:25" ht="30" customHeight="1" x14ac:dyDescent="0.35">
      <c r="A3076" s="717" t="s">
        <v>1446</v>
      </c>
      <c r="B3076" s="1082" t="s">
        <v>3084</v>
      </c>
      <c r="C3076" s="1083"/>
      <c r="D3076" s="1093"/>
      <c r="E3076" s="453">
        <f>55250+(2*7800)</f>
        <v>70850</v>
      </c>
      <c r="F3076" s="3" t="s">
        <v>10</v>
      </c>
      <c r="G3076" s="283">
        <f>+E3076/H3071</f>
        <v>5.1787150062129959</v>
      </c>
      <c r="H3076" s="498" t="s">
        <v>932</v>
      </c>
      <c r="I3076" s="446">
        <v>1.04</v>
      </c>
      <c r="J3076" s="446"/>
      <c r="K3076" s="453">
        <f>+G3076*I3076</f>
        <v>5.3858636064615162</v>
      </c>
      <c r="L3076" s="243" t="s">
        <v>8</v>
      </c>
      <c r="M3076" s="173"/>
      <c r="N3076" s="68"/>
      <c r="O3076" s="208"/>
      <c r="P3076" s="218"/>
      <c r="Q3076" s="68"/>
      <c r="R3076" s="217"/>
      <c r="S3076" s="208"/>
    </row>
    <row r="3077" spans="1:25" ht="30" customHeight="1" x14ac:dyDescent="0.35">
      <c r="A3077" s="717" t="s">
        <v>1446</v>
      </c>
      <c r="B3077" s="1082" t="s">
        <v>3083</v>
      </c>
      <c r="C3077" s="1083"/>
      <c r="D3077" s="1093"/>
      <c r="E3077" s="453">
        <f>47500+(2*17300)</f>
        <v>82100</v>
      </c>
      <c r="F3077" s="3" t="s">
        <v>10</v>
      </c>
      <c r="G3077" s="283">
        <f>+E3077/H3071</f>
        <v>6.0010233170089906</v>
      </c>
      <c r="H3077" s="498" t="s">
        <v>932</v>
      </c>
      <c r="I3077" s="446">
        <v>1.04</v>
      </c>
      <c r="J3077" s="446"/>
      <c r="K3077" s="453">
        <f>+G3077*I3077</f>
        <v>6.2410642496893507</v>
      </c>
      <c r="L3077" s="243" t="s">
        <v>8</v>
      </c>
      <c r="M3077" s="173"/>
      <c r="N3077" s="68"/>
      <c r="O3077" s="203"/>
      <c r="P3077" s="218"/>
      <c r="Q3077" s="68"/>
      <c r="R3077" s="217"/>
    </row>
    <row r="3078" spans="1:25" s="208" customFormat="1" ht="30" customHeight="1" x14ac:dyDescent="0.35">
      <c r="A3078" s="717" t="s">
        <v>1274</v>
      </c>
      <c r="B3078" s="1031" t="s">
        <v>398</v>
      </c>
      <c r="C3078" s="1032"/>
      <c r="D3078" s="1033"/>
      <c r="E3078" s="453">
        <v>3.42</v>
      </c>
      <c r="F3078" s="3" t="s">
        <v>8</v>
      </c>
      <c r="G3078" s="168">
        <v>1</v>
      </c>
      <c r="H3078" s="498" t="s">
        <v>8</v>
      </c>
      <c r="I3078" s="446">
        <v>1.04</v>
      </c>
      <c r="J3078" s="446"/>
      <c r="K3078" s="453">
        <f>+E3078*I3078</f>
        <v>3.5568</v>
      </c>
      <c r="L3078" s="243" t="s">
        <v>8</v>
      </c>
      <c r="M3078" s="364"/>
      <c r="N3078" s="68"/>
      <c r="O3078" s="203"/>
      <c r="P3078" s="218"/>
      <c r="Q3078" s="68"/>
      <c r="R3078" s="217"/>
      <c r="S3078" s="203"/>
      <c r="T3078" s="203"/>
      <c r="U3078" s="203"/>
      <c r="V3078" s="203"/>
      <c r="W3078" s="203"/>
      <c r="X3078" s="203"/>
      <c r="Y3078" s="203"/>
    </row>
    <row r="3079" spans="1:25" ht="30" customHeight="1" x14ac:dyDescent="0.35">
      <c r="A3079" s="717" t="s">
        <v>377</v>
      </c>
      <c r="B3079" s="1031" t="s">
        <v>1447</v>
      </c>
      <c r="C3079" s="1032"/>
      <c r="D3079" s="1033"/>
      <c r="E3079" s="453">
        <f>(20.3+31.5)/2</f>
        <v>25.9</v>
      </c>
      <c r="F3079" s="3" t="s">
        <v>1403</v>
      </c>
      <c r="G3079" s="283">
        <f>81*23.88/H3071</f>
        <v>0.14138440172502009</v>
      </c>
      <c r="H3079" s="498" t="s">
        <v>932</v>
      </c>
      <c r="I3079" s="446">
        <v>1.03</v>
      </c>
      <c r="J3079" s="446"/>
      <c r="K3079" s="453">
        <f t="shared" ref="K3079:K3084" si="74">+G3079*I3079</f>
        <v>0.14562593377677069</v>
      </c>
      <c r="L3079" s="243" t="s">
        <v>8</v>
      </c>
      <c r="M3079" s="173"/>
      <c r="N3079" s="419"/>
      <c r="O3079" s="203"/>
      <c r="P3079" s="218"/>
      <c r="Q3079" s="68"/>
      <c r="R3079" s="217"/>
    </row>
    <row r="3080" spans="1:25" ht="30" customHeight="1" x14ac:dyDescent="0.35">
      <c r="A3080" s="717" t="s">
        <v>377</v>
      </c>
      <c r="B3080" s="1031" t="s">
        <v>2316</v>
      </c>
      <c r="C3080" s="1032"/>
      <c r="D3080" s="1033"/>
      <c r="E3080" s="453">
        <f>(1710+2420)/2</f>
        <v>2065</v>
      </c>
      <c r="F3080" s="3" t="s">
        <v>10</v>
      </c>
      <c r="G3080" s="283">
        <f>+E3080/H3071</f>
        <v>0.1509392588261092</v>
      </c>
      <c r="H3080" s="498" t="s">
        <v>932</v>
      </c>
      <c r="I3080" s="446">
        <v>1.03</v>
      </c>
      <c r="J3080" s="446"/>
      <c r="K3080" s="453">
        <f t="shared" si="74"/>
        <v>0.15546743659089249</v>
      </c>
      <c r="L3080" s="243" t="s">
        <v>8</v>
      </c>
      <c r="M3080" s="173"/>
      <c r="N3080" s="419"/>
      <c r="O3080" s="171"/>
      <c r="P3080" s="216"/>
      <c r="Q3080" s="419"/>
      <c r="R3080" s="219"/>
    </row>
    <row r="3081" spans="1:25" ht="30" customHeight="1" x14ac:dyDescent="0.35">
      <c r="A3081" s="717" t="s">
        <v>380</v>
      </c>
      <c r="B3081" s="1031" t="s">
        <v>1448</v>
      </c>
      <c r="C3081" s="1032"/>
      <c r="D3081" s="1033"/>
      <c r="E3081" s="453">
        <f>(34.5+82)/2</f>
        <v>58.25</v>
      </c>
      <c r="F3081" s="3" t="s">
        <v>6</v>
      </c>
      <c r="G3081" s="283">
        <f>+E3081*10/H3071</f>
        <v>4.2577296981214825E-2</v>
      </c>
      <c r="H3081" s="498" t="s">
        <v>932</v>
      </c>
      <c r="I3081" s="446">
        <v>1.03</v>
      </c>
      <c r="J3081" s="446"/>
      <c r="K3081" s="453">
        <f t="shared" si="74"/>
        <v>4.3854615890651275E-2</v>
      </c>
      <c r="L3081" s="243" t="s">
        <v>8</v>
      </c>
      <c r="M3081" s="173"/>
      <c r="N3081" s="68"/>
      <c r="O3081" s="171"/>
      <c r="P3081" s="216"/>
      <c r="Q3081" s="419"/>
      <c r="R3081" s="219"/>
    </row>
    <row r="3082" spans="1:25" ht="30" customHeight="1" x14ac:dyDescent="0.35">
      <c r="A3082" s="717" t="s">
        <v>380</v>
      </c>
      <c r="B3082" s="1031" t="s">
        <v>1407</v>
      </c>
      <c r="C3082" s="1032"/>
      <c r="D3082" s="1033"/>
      <c r="E3082" s="453">
        <f>(6450+12300)/2</f>
        <v>9375</v>
      </c>
      <c r="F3082" s="3" t="s">
        <v>10</v>
      </c>
      <c r="G3082" s="283">
        <f>+E3082/H3071</f>
        <v>0.68525692566332874</v>
      </c>
      <c r="H3082" s="498" t="s">
        <v>932</v>
      </c>
      <c r="I3082" s="446">
        <v>1.03</v>
      </c>
      <c r="J3082" s="446"/>
      <c r="K3082" s="453">
        <f t="shared" si="74"/>
        <v>0.70581463343322859</v>
      </c>
      <c r="L3082" s="243" t="s">
        <v>8</v>
      </c>
      <c r="M3082" s="173"/>
      <c r="N3082" s="68"/>
      <c r="O3082" s="203"/>
      <c r="P3082" s="218"/>
      <c r="Q3082" s="68"/>
      <c r="R3082" s="217"/>
    </row>
    <row r="3083" spans="1:25" ht="30" customHeight="1" x14ac:dyDescent="0.35">
      <c r="A3083" s="717" t="s">
        <v>380</v>
      </c>
      <c r="B3083" s="1031" t="s">
        <v>939</v>
      </c>
      <c r="C3083" s="1032"/>
      <c r="D3083" s="1033"/>
      <c r="E3083" s="453">
        <f>(660+1010)/2</f>
        <v>835</v>
      </c>
      <c r="F3083" s="3" t="s">
        <v>10</v>
      </c>
      <c r="G3083" s="283">
        <f>+E3083/H3071</f>
        <v>6.1033550179080479E-2</v>
      </c>
      <c r="H3083" s="498" t="s">
        <v>932</v>
      </c>
      <c r="I3083" s="446">
        <v>1.03</v>
      </c>
      <c r="J3083" s="446"/>
      <c r="K3083" s="453">
        <f t="shared" si="74"/>
        <v>6.2864556684452899E-2</v>
      </c>
      <c r="L3083" s="243" t="s">
        <v>8</v>
      </c>
      <c r="M3083" s="173"/>
      <c r="N3083" s="68"/>
      <c r="O3083" s="203"/>
      <c r="P3083" s="218"/>
      <c r="Q3083" s="68"/>
      <c r="R3083" s="217"/>
    </row>
    <row r="3084" spans="1:25" ht="30" customHeight="1" x14ac:dyDescent="0.35">
      <c r="A3084" s="717" t="s">
        <v>380</v>
      </c>
      <c r="B3084" s="1031" t="s">
        <v>385</v>
      </c>
      <c r="C3084" s="1032"/>
      <c r="D3084" s="1033"/>
      <c r="E3084" s="453">
        <f>(1160+3475)/2</f>
        <v>2317.5</v>
      </c>
      <c r="F3084" s="3" t="s">
        <v>10</v>
      </c>
      <c r="G3084" s="283">
        <f>+E3084/H3071</f>
        <v>0.16939551202397485</v>
      </c>
      <c r="H3084" s="498" t="s">
        <v>932</v>
      </c>
      <c r="I3084" s="446">
        <v>1.03</v>
      </c>
      <c r="J3084" s="446"/>
      <c r="K3084" s="453">
        <f t="shared" si="74"/>
        <v>0.1744773773846941</v>
      </c>
      <c r="L3084" s="243" t="s">
        <v>8</v>
      </c>
      <c r="M3084" s="173"/>
      <c r="N3084" s="68"/>
      <c r="O3084" s="203"/>
      <c r="P3084" s="218"/>
      <c r="Q3084" s="68"/>
      <c r="R3084" s="217"/>
      <c r="T3084" s="208"/>
      <c r="U3084" s="208"/>
      <c r="V3084" s="208"/>
      <c r="W3084" s="208"/>
      <c r="X3084" s="208"/>
    </row>
    <row r="3085" spans="1:25" ht="30" customHeight="1" x14ac:dyDescent="0.35">
      <c r="A3085" s="832"/>
      <c r="B3085" s="506"/>
      <c r="C3085" s="506"/>
      <c r="D3085" s="506"/>
      <c r="E3085" s="453"/>
      <c r="F3085" s="446"/>
      <c r="G3085" s="454"/>
      <c r="H3085" s="446"/>
      <c r="I3085" s="446"/>
      <c r="J3085" s="446" t="s">
        <v>335</v>
      </c>
      <c r="K3085" s="453">
        <f>SUM(K3073:K3084)</f>
        <v>152.0750456253198</v>
      </c>
      <c r="L3085" s="243" t="s">
        <v>8</v>
      </c>
      <c r="M3085" s="173"/>
      <c r="N3085" s="68"/>
      <c r="O3085" s="203"/>
      <c r="P3085" s="218"/>
      <c r="Q3085" s="68"/>
      <c r="R3085" s="217"/>
      <c r="Y3085" s="208"/>
    </row>
    <row r="3086" spans="1:25" ht="30" customHeight="1" x14ac:dyDescent="0.35">
      <c r="A3086" s="241"/>
      <c r="B3086" s="506"/>
      <c r="C3086" s="506"/>
      <c r="D3086" s="506"/>
      <c r="E3086" s="453"/>
      <c r="F3086" s="1029" t="s">
        <v>302</v>
      </c>
      <c r="G3086" s="1058" t="s">
        <v>303</v>
      </c>
      <c r="H3086" s="1058"/>
      <c r="I3086" s="1058"/>
      <c r="J3086" s="1058"/>
      <c r="K3086" s="612">
        <v>1.07</v>
      </c>
      <c r="L3086" s="243"/>
      <c r="M3086" s="173"/>
      <c r="N3086" s="68"/>
      <c r="O3086" s="208"/>
      <c r="P3086" s="218"/>
      <c r="Q3086" s="68"/>
      <c r="R3086" s="217"/>
      <c r="S3086" s="208"/>
    </row>
    <row r="3087" spans="1:25" ht="30" customHeight="1" x14ac:dyDescent="0.35">
      <c r="A3087" s="241"/>
      <c r="B3087" s="506"/>
      <c r="C3087" s="506"/>
      <c r="D3087" s="506"/>
      <c r="E3087" s="453"/>
      <c r="F3087" s="1030"/>
      <c r="G3087" s="1104" t="s">
        <v>2374</v>
      </c>
      <c r="H3087" s="1105"/>
      <c r="I3087" s="1105"/>
      <c r="J3087" s="1106"/>
      <c r="K3087" s="612">
        <v>1.08</v>
      </c>
      <c r="L3087" s="243"/>
      <c r="M3087" s="173"/>
      <c r="N3087" s="68"/>
      <c r="O3087" s="203"/>
      <c r="P3087" s="218"/>
      <c r="Q3087" s="68"/>
      <c r="R3087" s="217"/>
    </row>
    <row r="3088" spans="1:25" s="208" customFormat="1" ht="30" customHeight="1" x14ac:dyDescent="0.35">
      <c r="A3088" s="241"/>
      <c r="B3088" s="446"/>
      <c r="C3088" s="458"/>
      <c r="D3088" s="458"/>
      <c r="E3088" s="458"/>
      <c r="F3088" s="458"/>
      <c r="G3088" s="458"/>
      <c r="H3088" s="458"/>
      <c r="I3088" s="458"/>
      <c r="J3088" s="446" t="s">
        <v>2356</v>
      </c>
      <c r="K3088" s="591">
        <f>+K3085*K3086/K3087</f>
        <v>150.66694335101127</v>
      </c>
      <c r="L3088" s="243" t="s">
        <v>8</v>
      </c>
      <c r="M3088" s="173"/>
      <c r="N3088" s="68"/>
      <c r="O3088" s="203"/>
      <c r="P3088" s="218"/>
      <c r="Q3088" s="68"/>
      <c r="R3088" s="217"/>
      <c r="S3088" s="203"/>
      <c r="T3088" s="203"/>
      <c r="U3088" s="203"/>
      <c r="V3088" s="203"/>
      <c r="W3088" s="203"/>
      <c r="X3088" s="203"/>
      <c r="Y3088" s="203"/>
    </row>
    <row r="3089" spans="1:25" ht="30" customHeight="1" x14ac:dyDescent="0.35">
      <c r="A3089" s="603"/>
      <c r="B3089" s="458"/>
      <c r="C3089" s="458"/>
      <c r="D3089" s="458"/>
      <c r="E3089" s="458"/>
      <c r="F3089" s="458"/>
      <c r="G3089" s="171"/>
      <c r="H3089" s="1279" t="s">
        <v>2359</v>
      </c>
      <c r="I3089" s="1383"/>
      <c r="J3089" s="583">
        <f>VLOOKUP(B3071,'Mil Cost Premiums for PUCs'!$A$4:$R$272,18,FALSE)</f>
        <v>1.3319480854780448</v>
      </c>
      <c r="K3089" s="591">
        <f>+K3088*J3089</f>
        <v>200.6805467412085</v>
      </c>
      <c r="L3089" s="243" t="s">
        <v>8</v>
      </c>
      <c r="M3089" s="173"/>
      <c r="N3089" s="419"/>
      <c r="O3089" s="203"/>
      <c r="P3089" s="218"/>
      <c r="Q3089" s="68"/>
      <c r="R3089" s="217"/>
    </row>
    <row r="3090" spans="1:25" ht="60" customHeight="1" x14ac:dyDescent="0.35">
      <c r="A3090" s="1064" t="s">
        <v>305</v>
      </c>
      <c r="B3090" s="1065"/>
      <c r="C3090" s="1065"/>
      <c r="D3090" s="1065"/>
      <c r="E3090" s="1065"/>
      <c r="F3090" s="1065"/>
      <c r="G3090" s="1065"/>
      <c r="H3090" s="1065"/>
      <c r="I3090" s="1065"/>
      <c r="J3090" s="1065"/>
      <c r="K3090" s="1065"/>
      <c r="L3090" s="1066"/>
      <c r="M3090" s="173"/>
      <c r="N3090" s="419"/>
      <c r="O3090" s="203"/>
      <c r="P3090" s="218"/>
      <c r="Q3090" s="68"/>
      <c r="R3090" s="217"/>
    </row>
    <row r="3091" spans="1:25" ht="30" customHeight="1" x14ac:dyDescent="0.35">
      <c r="A3091" s="1077" t="s">
        <v>306</v>
      </c>
      <c r="B3091" s="1042"/>
      <c r="C3091" s="1043"/>
      <c r="D3091" s="1067" t="s">
        <v>1449</v>
      </c>
      <c r="E3091" s="1065"/>
      <c r="F3091" s="1065"/>
      <c r="G3091" s="1065"/>
      <c r="H3091" s="1065"/>
      <c r="I3091" s="1065"/>
      <c r="J3091" s="1065"/>
      <c r="K3091" s="1065"/>
      <c r="L3091" s="1066"/>
      <c r="M3091" s="173"/>
      <c r="N3091" s="68"/>
      <c r="O3091" s="203"/>
      <c r="P3091" s="218"/>
      <c r="Q3091" s="68"/>
      <c r="R3091" s="217"/>
    </row>
    <row r="3092" spans="1:25" ht="30" customHeight="1" x14ac:dyDescent="0.35">
      <c r="A3092" s="1077" t="s">
        <v>307</v>
      </c>
      <c r="B3092" s="1042"/>
      <c r="C3092" s="1043"/>
      <c r="D3092" s="1067" t="s">
        <v>1450</v>
      </c>
      <c r="E3092" s="1065"/>
      <c r="F3092" s="1065"/>
      <c r="G3092" s="1065"/>
      <c r="H3092" s="1065"/>
      <c r="I3092" s="1065"/>
      <c r="J3092" s="1065"/>
      <c r="K3092" s="1065"/>
      <c r="L3092" s="1066"/>
      <c r="M3092" s="173"/>
      <c r="N3092" s="68"/>
      <c r="O3092" s="171"/>
      <c r="P3092" s="216"/>
      <c r="Q3092" s="419"/>
      <c r="R3092" s="219"/>
    </row>
    <row r="3093" spans="1:25" ht="30" customHeight="1" x14ac:dyDescent="0.35">
      <c r="A3093" s="1077" t="s">
        <v>308</v>
      </c>
      <c r="B3093" s="1042"/>
      <c r="C3093" s="1043"/>
      <c r="D3093" s="1067" t="s">
        <v>3081</v>
      </c>
      <c r="E3093" s="1065"/>
      <c r="F3093" s="1065"/>
      <c r="G3093" s="1065"/>
      <c r="H3093" s="1065"/>
      <c r="I3093" s="1065"/>
      <c r="J3093" s="1065"/>
      <c r="K3093" s="1065"/>
      <c r="L3093" s="1066"/>
      <c r="M3093" s="173"/>
      <c r="N3093" s="68"/>
      <c r="O3093" s="171"/>
      <c r="P3093" s="216"/>
      <c r="Q3093" s="419"/>
      <c r="R3093" s="219"/>
    </row>
    <row r="3094" spans="1:25" ht="30" customHeight="1" x14ac:dyDescent="0.35">
      <c r="A3094" s="1077" t="s">
        <v>309</v>
      </c>
      <c r="B3094" s="1042"/>
      <c r="C3094" s="1043"/>
      <c r="D3094" s="1067" t="s">
        <v>1451</v>
      </c>
      <c r="E3094" s="1065"/>
      <c r="F3094" s="1065"/>
      <c r="G3094" s="1065"/>
      <c r="H3094" s="1065"/>
      <c r="I3094" s="1065"/>
      <c r="J3094" s="1065"/>
      <c r="K3094" s="1065"/>
      <c r="L3094" s="1066"/>
      <c r="M3094" s="173"/>
      <c r="N3094" s="68"/>
      <c r="O3094" s="203"/>
      <c r="P3094" s="218"/>
      <c r="Q3094" s="68"/>
      <c r="R3094" s="217"/>
    </row>
    <row r="3095" spans="1:25" ht="30" customHeight="1" x14ac:dyDescent="0.35">
      <c r="A3095" s="1077" t="s">
        <v>311</v>
      </c>
      <c r="B3095" s="1042"/>
      <c r="C3095" s="1043"/>
      <c r="D3095" s="1067" t="s">
        <v>2362</v>
      </c>
      <c r="E3095" s="1065"/>
      <c r="F3095" s="1065"/>
      <c r="G3095" s="1065"/>
      <c r="H3095" s="1065"/>
      <c r="I3095" s="1065"/>
      <c r="J3095" s="1065"/>
      <c r="K3095" s="1065"/>
      <c r="L3095" s="1066"/>
      <c r="M3095" s="173"/>
      <c r="N3095" s="68"/>
      <c r="O3095" s="203"/>
      <c r="P3095" s="218"/>
      <c r="Q3095" s="68"/>
      <c r="R3095" s="217"/>
    </row>
    <row r="3096" spans="1:25" ht="30" customHeight="1" x14ac:dyDescent="0.35">
      <c r="A3096" s="1077" t="s">
        <v>313</v>
      </c>
      <c r="B3096" s="1042"/>
      <c r="C3096" s="1043"/>
      <c r="D3096" s="1067" t="s">
        <v>1452</v>
      </c>
      <c r="E3096" s="1065"/>
      <c r="F3096" s="1065"/>
      <c r="G3096" s="1065"/>
      <c r="H3096" s="1065"/>
      <c r="I3096" s="1065"/>
      <c r="J3096" s="1065"/>
      <c r="K3096" s="1065"/>
      <c r="L3096" s="1066"/>
      <c r="M3096" s="173"/>
      <c r="N3096" s="68"/>
      <c r="O3096" s="203"/>
      <c r="P3096" s="218"/>
      <c r="Q3096" s="68"/>
      <c r="R3096" s="217"/>
      <c r="T3096" s="208"/>
      <c r="U3096" s="208"/>
      <c r="V3096" s="208"/>
      <c r="W3096" s="208"/>
      <c r="X3096" s="208"/>
    </row>
    <row r="3097" spans="1:25" ht="30" customHeight="1" x14ac:dyDescent="0.35">
      <c r="A3097" s="1077" t="s">
        <v>315</v>
      </c>
      <c r="B3097" s="1042"/>
      <c r="C3097" s="1043"/>
      <c r="D3097" s="1067" t="s">
        <v>1440</v>
      </c>
      <c r="E3097" s="1065"/>
      <c r="F3097" s="1065"/>
      <c r="G3097" s="1065"/>
      <c r="H3097" s="1065"/>
      <c r="I3097" s="1065"/>
      <c r="J3097" s="1065"/>
      <c r="K3097" s="1065"/>
      <c r="L3097" s="1066"/>
      <c r="M3097" s="173"/>
      <c r="N3097" s="68"/>
      <c r="O3097" s="203"/>
      <c r="P3097" s="218"/>
      <c r="Q3097" s="68"/>
      <c r="R3097" s="217"/>
      <c r="Y3097" s="208"/>
    </row>
    <row r="3098" spans="1:25" ht="75" customHeight="1" x14ac:dyDescent="0.35">
      <c r="A3098" s="1077" t="s">
        <v>316</v>
      </c>
      <c r="B3098" s="1042"/>
      <c r="C3098" s="1043"/>
      <c r="D3098" s="1067" t="s">
        <v>373</v>
      </c>
      <c r="E3098" s="1065"/>
      <c r="F3098" s="1065"/>
      <c r="G3098" s="1065"/>
      <c r="H3098" s="1065"/>
      <c r="I3098" s="1065"/>
      <c r="J3098" s="1065"/>
      <c r="K3098" s="1065"/>
      <c r="L3098" s="1066"/>
      <c r="M3098" s="173"/>
      <c r="N3098" s="68"/>
      <c r="O3098" s="208"/>
      <c r="P3098" s="218"/>
      <c r="Q3098" s="68"/>
      <c r="R3098" s="217"/>
      <c r="S3098" s="208"/>
    </row>
    <row r="3099" spans="1:25" ht="60" customHeight="1" thickBot="1" x14ac:dyDescent="0.4">
      <c r="A3099" s="1077" t="s">
        <v>318</v>
      </c>
      <c r="B3099" s="1042"/>
      <c r="C3099" s="1043"/>
      <c r="D3099" s="1068" t="s">
        <v>3082</v>
      </c>
      <c r="E3099" s="1069"/>
      <c r="F3099" s="1069"/>
      <c r="G3099" s="1069"/>
      <c r="H3099" s="1069"/>
      <c r="I3099" s="1069"/>
      <c r="J3099" s="1069"/>
      <c r="K3099" s="1069"/>
      <c r="L3099" s="1070"/>
      <c r="M3099" s="173"/>
      <c r="N3099" s="68"/>
      <c r="O3099" s="203"/>
      <c r="P3099" s="218"/>
      <c r="Q3099" s="68"/>
      <c r="R3099" s="217"/>
    </row>
    <row r="3100" spans="1:25" s="208" customFormat="1" ht="30" customHeight="1" thickBot="1" x14ac:dyDescent="0.4">
      <c r="A3100" s="481"/>
      <c r="B3100" s="482"/>
      <c r="C3100" s="482"/>
      <c r="D3100" s="482"/>
      <c r="E3100" s="482"/>
      <c r="F3100" s="482"/>
      <c r="G3100" s="482"/>
      <c r="H3100" s="482"/>
      <c r="I3100" s="482"/>
      <c r="J3100" s="482"/>
      <c r="K3100" s="482"/>
      <c r="L3100" s="483"/>
      <c r="M3100" s="173"/>
      <c r="N3100" s="68"/>
      <c r="O3100" s="203"/>
      <c r="P3100" s="218"/>
      <c r="Q3100" s="68"/>
      <c r="R3100" s="217"/>
      <c r="S3100" s="203"/>
      <c r="T3100" s="203"/>
      <c r="U3100" s="203"/>
      <c r="V3100" s="203"/>
      <c r="W3100" s="203"/>
      <c r="X3100" s="203"/>
      <c r="Y3100" s="203"/>
    </row>
    <row r="3101" spans="1:25" ht="30" customHeight="1" x14ac:dyDescent="0.35">
      <c r="A3101" s="465" t="s">
        <v>278</v>
      </c>
      <c r="B3101" s="539">
        <v>7340</v>
      </c>
      <c r="C3101" s="1017" t="s">
        <v>1453</v>
      </c>
      <c r="D3101" s="1018"/>
      <c r="E3101" s="541" t="s">
        <v>280</v>
      </c>
      <c r="F3101" s="542" t="s">
        <v>8</v>
      </c>
      <c r="G3101" s="543" t="s">
        <v>285</v>
      </c>
      <c r="H3101" s="569">
        <v>5155</v>
      </c>
      <c r="I3101" s="541" t="s">
        <v>281</v>
      </c>
      <c r="J3101" s="1019" t="s">
        <v>2371</v>
      </c>
      <c r="K3101" s="1019"/>
      <c r="L3101" s="1020"/>
      <c r="M3101" s="173"/>
      <c r="N3101" s="419"/>
      <c r="O3101" s="203"/>
      <c r="P3101" s="218"/>
      <c r="Q3101" s="68"/>
      <c r="R3101" s="217"/>
    </row>
    <row r="3102" spans="1:25" ht="30" customHeight="1" x14ac:dyDescent="0.35">
      <c r="A3102" s="588" t="s">
        <v>298</v>
      </c>
      <c r="B3102" s="1038" t="s">
        <v>321</v>
      </c>
      <c r="C3102" s="1039"/>
      <c r="D3102" s="1040"/>
      <c r="E3102" s="23" t="s">
        <v>290</v>
      </c>
      <c r="F3102" s="23" t="s">
        <v>322</v>
      </c>
      <c r="G3102" s="1034" t="s">
        <v>323</v>
      </c>
      <c r="H3102" s="1035"/>
      <c r="I3102" s="509" t="s">
        <v>299</v>
      </c>
      <c r="J3102" s="509"/>
      <c r="K3102" s="1012" t="s">
        <v>292</v>
      </c>
      <c r="L3102" s="1013"/>
      <c r="M3102" s="173"/>
      <c r="N3102" s="419"/>
      <c r="O3102" s="171"/>
      <c r="P3102" s="216"/>
      <c r="Q3102" s="419"/>
      <c r="R3102" s="219"/>
    </row>
    <row r="3103" spans="1:25" ht="30" customHeight="1" x14ac:dyDescent="0.35">
      <c r="A3103" s="717" t="s">
        <v>1454</v>
      </c>
      <c r="B3103" s="1031" t="s">
        <v>1455</v>
      </c>
      <c r="C3103" s="1032"/>
      <c r="D3103" s="1033"/>
      <c r="E3103" s="453">
        <v>88</v>
      </c>
      <c r="F3103" s="3" t="s">
        <v>8</v>
      </c>
      <c r="G3103" s="496"/>
      <c r="H3103" s="498"/>
      <c r="I3103" s="446">
        <v>1.04</v>
      </c>
      <c r="J3103" s="446"/>
      <c r="K3103" s="453">
        <f>+E3103*I3103</f>
        <v>91.52000000000001</v>
      </c>
      <c r="L3103" s="243" t="s">
        <v>8</v>
      </c>
      <c r="M3103" s="173"/>
      <c r="N3103" s="68"/>
      <c r="O3103" s="171"/>
      <c r="P3103" s="216"/>
      <c r="Q3103" s="419"/>
      <c r="R3103" s="219"/>
    </row>
    <row r="3104" spans="1:25" ht="30" customHeight="1" x14ac:dyDescent="0.35">
      <c r="A3104" s="832" t="s">
        <v>1274</v>
      </c>
      <c r="B3104" s="1031" t="s">
        <v>1022</v>
      </c>
      <c r="C3104" s="1032"/>
      <c r="D3104" s="1033"/>
      <c r="E3104" s="453">
        <v>4.09</v>
      </c>
      <c r="F3104" s="3" t="s">
        <v>8</v>
      </c>
      <c r="G3104" s="496"/>
      <c r="H3104" s="498"/>
      <c r="I3104" s="446">
        <v>1.04</v>
      </c>
      <c r="J3104" s="446"/>
      <c r="K3104" s="453">
        <f>+E3104*I3104</f>
        <v>4.2535999999999996</v>
      </c>
      <c r="L3104" s="243" t="s">
        <v>8</v>
      </c>
      <c r="M3104" s="173"/>
      <c r="N3104" s="68"/>
      <c r="O3104" s="203"/>
      <c r="P3104" s="218"/>
      <c r="Q3104" s="68"/>
      <c r="R3104" s="217"/>
    </row>
    <row r="3105" spans="1:25" ht="30" customHeight="1" x14ac:dyDescent="0.35">
      <c r="A3105" s="241"/>
      <c r="B3105" s="1102"/>
      <c r="C3105" s="1102"/>
      <c r="D3105" s="1102"/>
      <c r="E3105" s="453"/>
      <c r="F3105" s="446"/>
      <c r="G3105" s="454"/>
      <c r="H3105" s="446"/>
      <c r="I3105" s="446"/>
      <c r="J3105" s="446" t="s">
        <v>335</v>
      </c>
      <c r="K3105" s="453">
        <f>SUM(K3103:K3104)</f>
        <v>95.773600000000016</v>
      </c>
      <c r="L3105" s="243" t="s">
        <v>8</v>
      </c>
      <c r="M3105" s="173"/>
      <c r="N3105" s="68"/>
      <c r="O3105" s="203"/>
      <c r="P3105" s="218"/>
      <c r="Q3105" s="68"/>
      <c r="R3105" s="217"/>
    </row>
    <row r="3106" spans="1:25" ht="30" customHeight="1" x14ac:dyDescent="0.35">
      <c r="A3106" s="241"/>
      <c r="B3106" s="506"/>
      <c r="C3106" s="506"/>
      <c r="D3106" s="506"/>
      <c r="E3106" s="453"/>
      <c r="F3106" s="1029" t="s">
        <v>302</v>
      </c>
      <c r="G3106" s="1058" t="s">
        <v>303</v>
      </c>
      <c r="H3106" s="1058"/>
      <c r="I3106" s="1058"/>
      <c r="J3106" s="1058"/>
      <c r="K3106" s="612">
        <v>1.07</v>
      </c>
      <c r="L3106" s="243"/>
      <c r="M3106" s="173"/>
      <c r="N3106" s="68"/>
      <c r="O3106" s="203"/>
      <c r="P3106" s="218"/>
      <c r="Q3106" s="68"/>
      <c r="R3106" s="217"/>
      <c r="T3106" s="208"/>
      <c r="U3106" s="208"/>
      <c r="V3106" s="208"/>
      <c r="W3106" s="208"/>
      <c r="X3106" s="208"/>
    </row>
    <row r="3107" spans="1:25" ht="30" customHeight="1" x14ac:dyDescent="0.35">
      <c r="A3107" s="241"/>
      <c r="B3107" s="506"/>
      <c r="C3107" s="506"/>
      <c r="D3107" s="506"/>
      <c r="E3107" s="453"/>
      <c r="F3107" s="1030"/>
      <c r="G3107" s="1073" t="s">
        <v>2374</v>
      </c>
      <c r="H3107" s="1073"/>
      <c r="I3107" s="1073"/>
      <c r="J3107" s="1073"/>
      <c r="K3107" s="612">
        <v>1.08</v>
      </c>
      <c r="L3107" s="243"/>
      <c r="M3107" s="173"/>
      <c r="N3107" s="68"/>
      <c r="O3107" s="203"/>
      <c r="P3107" s="218"/>
      <c r="Q3107" s="68"/>
      <c r="R3107" s="217"/>
      <c r="Y3107" s="208"/>
    </row>
    <row r="3108" spans="1:25" ht="30" customHeight="1" x14ac:dyDescent="0.35">
      <c r="A3108" s="241"/>
      <c r="B3108" s="446"/>
      <c r="C3108" s="458"/>
      <c r="D3108" s="458"/>
      <c r="E3108" s="458"/>
      <c r="F3108" s="458"/>
      <c r="G3108" s="458"/>
      <c r="H3108" s="458"/>
      <c r="I3108" s="458"/>
      <c r="J3108" s="446" t="s">
        <v>2356</v>
      </c>
      <c r="K3108" s="591">
        <f>+K3105*K3106/K3107</f>
        <v>94.886807407407417</v>
      </c>
      <c r="L3108" s="243" t="s">
        <v>8</v>
      </c>
      <c r="M3108" s="173"/>
      <c r="N3108" s="68"/>
      <c r="O3108" s="208"/>
      <c r="P3108" s="218"/>
      <c r="Q3108" s="68"/>
      <c r="R3108" s="217"/>
      <c r="S3108" s="208"/>
    </row>
    <row r="3109" spans="1:25" ht="30" customHeight="1" thickBot="1" x14ac:dyDescent="0.4">
      <c r="A3109" s="241"/>
      <c r="B3109" s="446"/>
      <c r="C3109" s="458"/>
      <c r="D3109" s="458"/>
      <c r="E3109" s="458"/>
      <c r="F3109" s="458"/>
      <c r="G3109" s="592" t="s">
        <v>2358</v>
      </c>
      <c r="H3109" s="458"/>
      <c r="I3109" s="458"/>
      <c r="J3109" s="583">
        <f>VLOOKUP(B3101,'Mil Cost Premiums for PUCs'!$A$4:$R$272,18,FALSE)</f>
        <v>1.0291833149999998</v>
      </c>
      <c r="K3109" s="591">
        <f>+K3108*J3109</f>
        <v>97.655918997322104</v>
      </c>
      <c r="L3109" s="243" t="s">
        <v>8</v>
      </c>
      <c r="M3109" s="173"/>
      <c r="N3109" s="68"/>
      <c r="O3109" s="203"/>
      <c r="P3109" s="218"/>
      <c r="Q3109" s="68"/>
      <c r="R3109" s="217"/>
    </row>
    <row r="3110" spans="1:25" s="208" customFormat="1" ht="30" customHeight="1" thickBot="1" x14ac:dyDescent="0.4">
      <c r="A3110" s="481"/>
      <c r="B3110" s="482"/>
      <c r="C3110" s="482"/>
      <c r="D3110" s="482"/>
      <c r="E3110" s="482"/>
      <c r="F3110" s="482"/>
      <c r="G3110" s="482"/>
      <c r="H3110" s="482"/>
      <c r="I3110" s="482"/>
      <c r="J3110" s="482"/>
      <c r="K3110" s="482"/>
      <c r="L3110" s="483"/>
      <c r="M3110" s="173"/>
      <c r="N3110" s="68"/>
      <c r="O3110" s="203"/>
      <c r="P3110" s="218"/>
      <c r="Q3110" s="68"/>
      <c r="R3110" s="217"/>
      <c r="S3110" s="203"/>
      <c r="T3110" s="203"/>
      <c r="U3110" s="203"/>
      <c r="V3110" s="203"/>
      <c r="W3110" s="203"/>
      <c r="X3110" s="203"/>
      <c r="Y3110" s="203"/>
    </row>
    <row r="3111" spans="1:25" ht="30" customHeight="1" x14ac:dyDescent="0.35">
      <c r="A3111" s="465" t="s">
        <v>278</v>
      </c>
      <c r="B3111" s="539">
        <v>7341</v>
      </c>
      <c r="C3111" s="1017" t="s">
        <v>1456</v>
      </c>
      <c r="D3111" s="1018"/>
      <c r="E3111" s="541" t="s">
        <v>280</v>
      </c>
      <c r="F3111" s="542" t="s">
        <v>8</v>
      </c>
      <c r="G3111" s="543" t="s">
        <v>285</v>
      </c>
      <c r="H3111" s="855">
        <v>973</v>
      </c>
      <c r="I3111" s="541" t="s">
        <v>281</v>
      </c>
      <c r="J3111" s="1019" t="s">
        <v>2371</v>
      </c>
      <c r="K3111" s="1019"/>
      <c r="L3111" s="1020"/>
      <c r="M3111" s="173"/>
      <c r="N3111" s="419"/>
      <c r="O3111" s="203"/>
      <c r="P3111" s="218"/>
      <c r="Q3111" s="68"/>
      <c r="R3111" s="217"/>
    </row>
    <row r="3112" spans="1:25" ht="30" customHeight="1" x14ac:dyDescent="0.35">
      <c r="A3112" s="588" t="s">
        <v>298</v>
      </c>
      <c r="B3112" s="1038" t="s">
        <v>321</v>
      </c>
      <c r="C3112" s="1039"/>
      <c r="D3112" s="1040"/>
      <c r="E3112" s="23" t="s">
        <v>290</v>
      </c>
      <c r="F3112" s="23" t="s">
        <v>322</v>
      </c>
      <c r="G3112" s="1034" t="s">
        <v>323</v>
      </c>
      <c r="H3112" s="1035"/>
      <c r="I3112" s="509" t="s">
        <v>299</v>
      </c>
      <c r="J3112" s="509"/>
      <c r="K3112" s="595" t="s">
        <v>292</v>
      </c>
      <c r="L3112" s="739"/>
      <c r="M3112" s="173"/>
      <c r="N3112" s="419"/>
      <c r="O3112" s="171"/>
      <c r="P3112" s="216"/>
      <c r="Q3112" s="419"/>
      <c r="R3112" s="219"/>
    </row>
    <row r="3113" spans="1:25" ht="30" customHeight="1" x14ac:dyDescent="0.35">
      <c r="A3113" s="717" t="s">
        <v>1457</v>
      </c>
      <c r="B3113" s="1031" t="s">
        <v>1458</v>
      </c>
      <c r="C3113" s="1032"/>
      <c r="D3113" s="1033"/>
      <c r="E3113" s="453">
        <v>121</v>
      </c>
      <c r="F3113" s="3" t="s">
        <v>8</v>
      </c>
      <c r="G3113" s="496"/>
      <c r="H3113" s="498"/>
      <c r="I3113" s="446">
        <v>1.03</v>
      </c>
      <c r="J3113" s="446"/>
      <c r="K3113" s="453">
        <f>+E3113*I3113</f>
        <v>124.63000000000001</v>
      </c>
      <c r="L3113" s="243" t="s">
        <v>8</v>
      </c>
      <c r="M3113" s="173"/>
      <c r="N3113" s="68"/>
      <c r="O3113" s="171"/>
      <c r="P3113" s="216"/>
      <c r="Q3113" s="419"/>
      <c r="R3113" s="219"/>
    </row>
    <row r="3114" spans="1:25" ht="30" customHeight="1" x14ac:dyDescent="0.35">
      <c r="A3114" s="832" t="s">
        <v>360</v>
      </c>
      <c r="B3114" s="1031" t="s">
        <v>1425</v>
      </c>
      <c r="C3114" s="1032"/>
      <c r="D3114" s="1033"/>
      <c r="E3114" s="453">
        <v>4.1500000000000004</v>
      </c>
      <c r="F3114" s="3" t="s">
        <v>8</v>
      </c>
      <c r="G3114" s="496"/>
      <c r="H3114" s="498"/>
      <c r="I3114" s="446">
        <v>1.03</v>
      </c>
      <c r="J3114" s="446"/>
      <c r="K3114" s="453">
        <f>+E3114*I3114</f>
        <v>4.2745000000000006</v>
      </c>
      <c r="L3114" s="243" t="s">
        <v>8</v>
      </c>
      <c r="M3114" s="173"/>
      <c r="N3114" s="68"/>
      <c r="O3114" s="203"/>
      <c r="P3114" s="218"/>
      <c r="Q3114" s="68"/>
      <c r="R3114" s="217"/>
    </row>
    <row r="3115" spans="1:25" ht="30" customHeight="1" x14ac:dyDescent="0.35">
      <c r="A3115" s="241"/>
      <c r="B3115" s="1102"/>
      <c r="C3115" s="1102"/>
      <c r="D3115" s="1102"/>
      <c r="E3115" s="453"/>
      <c r="F3115" s="446"/>
      <c r="G3115" s="454"/>
      <c r="H3115" s="446"/>
      <c r="I3115" s="446"/>
      <c r="J3115" s="446" t="s">
        <v>335</v>
      </c>
      <c r="K3115" s="453">
        <f>SUM(K3113:K3114)</f>
        <v>128.90450000000001</v>
      </c>
      <c r="L3115" s="243" t="s">
        <v>8</v>
      </c>
      <c r="M3115" s="173"/>
      <c r="N3115" s="68"/>
      <c r="O3115" s="203"/>
      <c r="P3115" s="218"/>
      <c r="Q3115" s="68"/>
      <c r="R3115" s="217"/>
    </row>
    <row r="3116" spans="1:25" ht="30" customHeight="1" x14ac:dyDescent="0.35">
      <c r="A3116" s="241"/>
      <c r="B3116" s="506"/>
      <c r="C3116" s="506"/>
      <c r="D3116" s="506"/>
      <c r="E3116" s="453"/>
      <c r="F3116" s="1029" t="s">
        <v>302</v>
      </c>
      <c r="G3116" s="1058" t="s">
        <v>303</v>
      </c>
      <c r="H3116" s="1058"/>
      <c r="I3116" s="1058"/>
      <c r="J3116" s="1058"/>
      <c r="K3116" s="612">
        <v>1.07</v>
      </c>
      <c r="L3116" s="243"/>
      <c r="M3116" s="173"/>
      <c r="N3116" s="68"/>
      <c r="O3116" s="203"/>
      <c r="P3116" s="218"/>
      <c r="Q3116" s="68"/>
      <c r="R3116" s="217"/>
      <c r="T3116" s="208"/>
      <c r="U3116" s="208"/>
      <c r="V3116" s="208"/>
      <c r="W3116" s="208"/>
      <c r="X3116" s="208"/>
    </row>
    <row r="3117" spans="1:25" ht="30" customHeight="1" x14ac:dyDescent="0.35">
      <c r="A3117" s="241"/>
      <c r="B3117" s="506"/>
      <c r="C3117" s="506"/>
      <c r="D3117" s="506"/>
      <c r="E3117" s="453"/>
      <c r="F3117" s="1030"/>
      <c r="G3117" s="1104" t="s">
        <v>2374</v>
      </c>
      <c r="H3117" s="1105"/>
      <c r="I3117" s="1105"/>
      <c r="J3117" s="1106"/>
      <c r="K3117" s="612">
        <v>1.08</v>
      </c>
      <c r="L3117" s="243"/>
      <c r="M3117" s="173"/>
      <c r="N3117" s="68"/>
      <c r="O3117" s="203"/>
      <c r="P3117" s="218"/>
      <c r="Q3117" s="68"/>
      <c r="R3117" s="217"/>
      <c r="Y3117" s="208"/>
    </row>
    <row r="3118" spans="1:25" ht="30" customHeight="1" x14ac:dyDescent="0.35">
      <c r="A3118" s="241"/>
      <c r="B3118" s="446"/>
      <c r="C3118" s="458"/>
      <c r="D3118" s="458"/>
      <c r="E3118" s="458"/>
      <c r="F3118" s="458"/>
      <c r="G3118" s="458"/>
      <c r="H3118" s="458"/>
      <c r="I3118" s="458"/>
      <c r="J3118" s="446" t="s">
        <v>2356</v>
      </c>
      <c r="K3118" s="591">
        <f>+K3115*K3116/K3117</f>
        <v>127.71093981481482</v>
      </c>
      <c r="L3118" s="243" t="s">
        <v>8</v>
      </c>
      <c r="M3118" s="173"/>
      <c r="N3118" s="68"/>
      <c r="O3118" s="208"/>
      <c r="P3118" s="218"/>
      <c r="Q3118" s="68"/>
      <c r="R3118" s="217"/>
      <c r="S3118" s="208"/>
    </row>
    <row r="3119" spans="1:25" ht="30" customHeight="1" thickBot="1" x14ac:dyDescent="0.4">
      <c r="A3119" s="241"/>
      <c r="B3119" s="446"/>
      <c r="C3119" s="458"/>
      <c r="D3119" s="458"/>
      <c r="E3119" s="458"/>
      <c r="F3119" s="458"/>
      <c r="G3119" s="592" t="s">
        <v>2358</v>
      </c>
      <c r="H3119" s="458"/>
      <c r="I3119" s="458"/>
      <c r="J3119" s="583">
        <f>VLOOKUP(B3111,'Mil Cost Premiums for PUCs'!$A$4:$R$272,18,FALSE)</f>
        <v>1.1345642417967394</v>
      </c>
      <c r="K3119" s="591">
        <f>+K3118*J3119</f>
        <v>144.8962656001444</v>
      </c>
      <c r="L3119" s="243" t="s">
        <v>8</v>
      </c>
      <c r="M3119" s="173"/>
      <c r="N3119" s="68"/>
      <c r="O3119" s="203"/>
      <c r="P3119" s="218"/>
      <c r="Q3119" s="68"/>
      <c r="R3119" s="217"/>
    </row>
    <row r="3120" spans="1:25" s="208" customFormat="1" ht="30" customHeight="1" thickBot="1" x14ac:dyDescent="0.4">
      <c r="A3120" s="481"/>
      <c r="B3120" s="482"/>
      <c r="C3120" s="482"/>
      <c r="D3120" s="482"/>
      <c r="E3120" s="482"/>
      <c r="F3120" s="482"/>
      <c r="G3120" s="482"/>
      <c r="H3120" s="482"/>
      <c r="I3120" s="482"/>
      <c r="J3120" s="482"/>
      <c r="K3120" s="482"/>
      <c r="L3120" s="483"/>
      <c r="M3120" s="173"/>
      <c r="N3120" s="68"/>
      <c r="O3120" s="203"/>
      <c r="P3120" s="218"/>
      <c r="Q3120" s="68"/>
      <c r="R3120" s="217"/>
      <c r="S3120" s="203"/>
      <c r="T3120" s="203"/>
      <c r="U3120" s="203"/>
      <c r="V3120" s="203"/>
      <c r="W3120" s="203"/>
      <c r="X3120" s="203"/>
      <c r="Y3120" s="203"/>
    </row>
    <row r="3121" spans="1:18" ht="30" customHeight="1" x14ac:dyDescent="0.35">
      <c r="A3121" s="465" t="s">
        <v>278</v>
      </c>
      <c r="B3121" s="539">
        <v>7342</v>
      </c>
      <c r="C3121" s="1017" t="s">
        <v>1459</v>
      </c>
      <c r="D3121" s="1018"/>
      <c r="E3121" s="541" t="s">
        <v>280</v>
      </c>
      <c r="F3121" s="542" t="s">
        <v>8</v>
      </c>
      <c r="G3121" s="543" t="s">
        <v>285</v>
      </c>
      <c r="H3121" s="789">
        <v>3505</v>
      </c>
      <c r="I3121" s="541" t="s">
        <v>281</v>
      </c>
      <c r="J3121" s="1019" t="s">
        <v>2371</v>
      </c>
      <c r="K3121" s="1019"/>
      <c r="L3121" s="1020"/>
      <c r="M3121" s="173"/>
      <c r="N3121" s="419"/>
      <c r="O3121" s="203"/>
      <c r="P3121" s="218"/>
      <c r="Q3121" s="68"/>
      <c r="R3121" s="217"/>
    </row>
    <row r="3122" spans="1:18" ht="30" customHeight="1" x14ac:dyDescent="0.35">
      <c r="A3122" s="588" t="s">
        <v>298</v>
      </c>
      <c r="B3122" s="1038" t="s">
        <v>321</v>
      </c>
      <c r="C3122" s="1039"/>
      <c r="D3122" s="1040"/>
      <c r="E3122" s="23" t="s">
        <v>290</v>
      </c>
      <c r="F3122" s="23" t="s">
        <v>322</v>
      </c>
      <c r="G3122" s="1034" t="s">
        <v>323</v>
      </c>
      <c r="H3122" s="1035"/>
      <c r="I3122" s="509" t="s">
        <v>299</v>
      </c>
      <c r="J3122" s="509" t="s">
        <v>405</v>
      </c>
      <c r="K3122" s="1012" t="s">
        <v>292</v>
      </c>
      <c r="L3122" s="1013"/>
      <c r="M3122" s="173"/>
      <c r="N3122" s="419"/>
      <c r="O3122" s="203"/>
      <c r="P3122" s="218"/>
      <c r="Q3122" s="68"/>
      <c r="R3122" s="217"/>
    </row>
    <row r="3123" spans="1:18" ht="30" customHeight="1" x14ac:dyDescent="0.35">
      <c r="A3123" s="717" t="s">
        <v>1421</v>
      </c>
      <c r="B3123" s="1082" t="s">
        <v>2485</v>
      </c>
      <c r="C3123" s="1083"/>
      <c r="D3123" s="1093"/>
      <c r="E3123" s="453">
        <v>73</v>
      </c>
      <c r="F3123" s="3" t="s">
        <v>8</v>
      </c>
      <c r="G3123" s="496"/>
      <c r="H3123" s="498"/>
      <c r="I3123" s="446">
        <v>1.03</v>
      </c>
      <c r="J3123" s="178">
        <f>+'2021 MILCON Inflation Table'!$F$14</f>
        <v>1.1198495748855462</v>
      </c>
      <c r="K3123" s="453">
        <f>+E3123*I3123*J3123</f>
        <v>84.201489535644214</v>
      </c>
      <c r="L3123" s="243" t="s">
        <v>8</v>
      </c>
      <c r="M3123" s="173"/>
      <c r="N3123" s="68"/>
      <c r="O3123" s="203"/>
      <c r="P3123" s="218"/>
      <c r="Q3123" s="68"/>
      <c r="R3123" s="217"/>
    </row>
    <row r="3124" spans="1:18" ht="30" customHeight="1" x14ac:dyDescent="0.35">
      <c r="A3124" s="832" t="s">
        <v>982</v>
      </c>
      <c r="B3124" s="1031" t="s">
        <v>3086</v>
      </c>
      <c r="C3124" s="1032"/>
      <c r="D3124" s="1033"/>
      <c r="E3124" s="40">
        <v>24.7</v>
      </c>
      <c r="F3124" s="3" t="s">
        <v>8</v>
      </c>
      <c r="G3124" s="496"/>
      <c r="H3124" s="498"/>
      <c r="I3124" s="446">
        <v>1.03</v>
      </c>
      <c r="J3124" s="446"/>
      <c r="K3124" s="453">
        <f>+E3124*I3124</f>
        <v>25.440999999999999</v>
      </c>
      <c r="L3124" s="243" t="s">
        <v>8</v>
      </c>
      <c r="M3124" s="173"/>
      <c r="N3124" s="68"/>
      <c r="O3124" s="203"/>
      <c r="P3124" s="218"/>
      <c r="Q3124" s="68"/>
      <c r="R3124" s="217"/>
    </row>
    <row r="3125" spans="1:18" ht="30" customHeight="1" x14ac:dyDescent="0.35">
      <c r="A3125" s="832" t="s">
        <v>982</v>
      </c>
      <c r="B3125" s="1082" t="s">
        <v>3085</v>
      </c>
      <c r="C3125" s="1083"/>
      <c r="D3125" s="1093"/>
      <c r="E3125" s="40">
        <f>+(13.25+18.1)/2</f>
        <v>15.675000000000001</v>
      </c>
      <c r="F3125" s="3" t="s">
        <v>8</v>
      </c>
      <c r="G3125" s="496"/>
      <c r="H3125" s="498"/>
      <c r="I3125" s="446">
        <v>1.03</v>
      </c>
      <c r="J3125" s="446"/>
      <c r="K3125" s="453">
        <f>+E3125*I3125</f>
        <v>16.145250000000001</v>
      </c>
      <c r="L3125" s="243" t="s">
        <v>8</v>
      </c>
      <c r="M3125" s="173"/>
      <c r="N3125" s="68"/>
      <c r="O3125" s="203"/>
      <c r="P3125" s="218"/>
      <c r="Q3125" s="68"/>
      <c r="R3125" s="217"/>
    </row>
    <row r="3126" spans="1:18" ht="30" customHeight="1" x14ac:dyDescent="0.35">
      <c r="A3126" s="832" t="s">
        <v>360</v>
      </c>
      <c r="B3126" s="1031" t="s">
        <v>1460</v>
      </c>
      <c r="C3126" s="1032"/>
      <c r="D3126" s="1033"/>
      <c r="E3126" s="453">
        <v>3.71</v>
      </c>
      <c r="F3126" s="3" t="s">
        <v>8</v>
      </c>
      <c r="G3126" s="496"/>
      <c r="H3126" s="498"/>
      <c r="I3126" s="446">
        <v>1.03</v>
      </c>
      <c r="J3126" s="446"/>
      <c r="K3126" s="453">
        <f>+E3126*I3126</f>
        <v>3.8212999999999999</v>
      </c>
      <c r="L3126" s="243" t="s">
        <v>8</v>
      </c>
      <c r="M3126" s="173"/>
      <c r="N3126" s="68"/>
      <c r="O3126" s="203"/>
      <c r="P3126" s="218"/>
      <c r="Q3126" s="68"/>
      <c r="R3126" s="217"/>
    </row>
    <row r="3127" spans="1:18" ht="30" customHeight="1" x14ac:dyDescent="0.35">
      <c r="A3127" s="241"/>
      <c r="B3127" s="1102"/>
      <c r="C3127" s="1102"/>
      <c r="D3127" s="1102"/>
      <c r="E3127" s="453"/>
      <c r="F3127" s="446"/>
      <c r="G3127" s="454"/>
      <c r="H3127" s="446"/>
      <c r="I3127" s="446"/>
      <c r="J3127" s="446" t="s">
        <v>335</v>
      </c>
      <c r="K3127" s="453">
        <f>SUM(K3123:K3126)</f>
        <v>129.60903953564423</v>
      </c>
      <c r="L3127" s="243" t="s">
        <v>8</v>
      </c>
      <c r="M3127" s="173"/>
      <c r="N3127" s="68"/>
      <c r="O3127" s="203"/>
      <c r="P3127" s="218"/>
      <c r="Q3127" s="68"/>
      <c r="R3127" s="217"/>
    </row>
    <row r="3128" spans="1:18" ht="30" customHeight="1" x14ac:dyDescent="0.35">
      <c r="A3128" s="241"/>
      <c r="B3128" s="506"/>
      <c r="C3128" s="506"/>
      <c r="D3128" s="506"/>
      <c r="E3128" s="453"/>
      <c r="F3128" s="1029" t="s">
        <v>302</v>
      </c>
      <c r="G3128" s="1058" t="s">
        <v>303</v>
      </c>
      <c r="H3128" s="1058"/>
      <c r="I3128" s="1058"/>
      <c r="J3128" s="1058"/>
      <c r="K3128" s="612">
        <v>1.07</v>
      </c>
      <c r="L3128" s="243"/>
      <c r="M3128" s="173"/>
      <c r="N3128" s="68"/>
      <c r="O3128" s="171"/>
      <c r="P3128" s="216"/>
      <c r="Q3128" s="419"/>
      <c r="R3128" s="219"/>
    </row>
    <row r="3129" spans="1:18" ht="30" customHeight="1" x14ac:dyDescent="0.35">
      <c r="A3129" s="241"/>
      <c r="B3129" s="506"/>
      <c r="C3129" s="506"/>
      <c r="D3129" s="506"/>
      <c r="E3129" s="453"/>
      <c r="F3129" s="1030"/>
      <c r="G3129" s="1104" t="s">
        <v>2374</v>
      </c>
      <c r="H3129" s="1105"/>
      <c r="I3129" s="1105"/>
      <c r="J3129" s="1106"/>
      <c r="K3129" s="612">
        <v>1.08</v>
      </c>
      <c r="L3129" s="243"/>
      <c r="M3129" s="173"/>
      <c r="N3129" s="68"/>
      <c r="O3129" s="171"/>
      <c r="P3129" s="216"/>
      <c r="Q3129" s="419"/>
      <c r="R3129" s="219"/>
    </row>
    <row r="3130" spans="1:18" ht="30" customHeight="1" x14ac:dyDescent="0.35">
      <c r="A3130" s="241"/>
      <c r="B3130" s="446"/>
      <c r="C3130" s="458"/>
      <c r="D3130" s="458"/>
      <c r="E3130" s="458"/>
      <c r="F3130" s="458"/>
      <c r="G3130" s="458"/>
      <c r="H3130" s="458"/>
      <c r="I3130" s="458"/>
      <c r="J3130" s="446" t="s">
        <v>2356</v>
      </c>
      <c r="K3130" s="591">
        <f>+K3127*K3128/K3129</f>
        <v>128.4089558362401</v>
      </c>
      <c r="L3130" s="243" t="s">
        <v>8</v>
      </c>
      <c r="M3130" s="173"/>
      <c r="N3130" s="68"/>
      <c r="O3130" s="203"/>
      <c r="P3130" s="218"/>
      <c r="Q3130" s="68"/>
      <c r="R3130" s="217"/>
    </row>
    <row r="3131" spans="1:18" ht="30" customHeight="1" thickBot="1" x14ac:dyDescent="0.4">
      <c r="A3131" s="241"/>
      <c r="B3131" s="446"/>
      <c r="C3131" s="458"/>
      <c r="D3131" s="458"/>
      <c r="E3131" s="458"/>
      <c r="F3131" s="458"/>
      <c r="G3131" s="592" t="s">
        <v>2358</v>
      </c>
      <c r="H3131" s="458"/>
      <c r="I3131" s="458"/>
      <c r="J3131" s="583">
        <f>VLOOKUP(B3121,'Mil Cost Premiums for PUCs'!$A$4:$R$272,18,FALSE)</f>
        <v>1.1113659853696505</v>
      </c>
      <c r="K3131" s="591">
        <f>+K3130*J3131</f>
        <v>142.70934573323092</v>
      </c>
      <c r="L3131" s="243" t="s">
        <v>8</v>
      </c>
      <c r="M3131" s="173"/>
      <c r="N3131" s="68"/>
      <c r="O3131" s="203"/>
      <c r="P3131" s="218"/>
      <c r="Q3131" s="68"/>
      <c r="R3131" s="217"/>
    </row>
    <row r="3132" spans="1:18" ht="30" customHeight="1" thickBot="1" x14ac:dyDescent="0.4">
      <c r="A3132" s="481"/>
      <c r="B3132" s="482"/>
      <c r="C3132" s="482"/>
      <c r="D3132" s="482"/>
      <c r="E3132" s="482"/>
      <c r="F3132" s="482"/>
      <c r="G3132" s="482"/>
      <c r="H3132" s="482"/>
      <c r="I3132" s="482"/>
      <c r="J3132" s="482"/>
      <c r="K3132" s="482"/>
      <c r="L3132" s="483"/>
      <c r="M3132" s="173"/>
      <c r="N3132" s="68"/>
      <c r="O3132" s="203"/>
      <c r="P3132" s="218"/>
      <c r="Q3132" s="68"/>
      <c r="R3132" s="217"/>
    </row>
    <row r="3133" spans="1:18" ht="30" customHeight="1" x14ac:dyDescent="0.35">
      <c r="A3133" s="465" t="s">
        <v>278</v>
      </c>
      <c r="B3133" s="539">
        <v>7343</v>
      </c>
      <c r="C3133" s="1096" t="s">
        <v>3087</v>
      </c>
      <c r="D3133" s="1097"/>
      <c r="E3133" s="543" t="s">
        <v>285</v>
      </c>
      <c r="F3133" s="854">
        <v>7927</v>
      </c>
      <c r="G3133" s="541" t="s">
        <v>280</v>
      </c>
      <c r="H3133" s="542" t="s">
        <v>8</v>
      </c>
      <c r="I3133" s="541" t="s">
        <v>281</v>
      </c>
      <c r="J3133" s="1098" t="s">
        <v>3088</v>
      </c>
      <c r="K3133" s="1099"/>
      <c r="L3133" s="1100"/>
      <c r="M3133" s="173"/>
      <c r="N3133" s="68"/>
      <c r="O3133" s="203"/>
      <c r="P3133" s="218"/>
      <c r="Q3133" s="68"/>
      <c r="R3133" s="217"/>
    </row>
    <row r="3134" spans="1:18" ht="30" customHeight="1" x14ac:dyDescent="0.35">
      <c r="A3134" s="545"/>
      <c r="B3134" s="1021" t="s">
        <v>2921</v>
      </c>
      <c r="C3134" s="1021"/>
      <c r="D3134" s="1021"/>
      <c r="E3134" s="509" t="s">
        <v>290</v>
      </c>
      <c r="F3134" s="509" t="s">
        <v>322</v>
      </c>
      <c r="G3134" s="1034" t="s">
        <v>323</v>
      </c>
      <c r="H3134" s="1035"/>
      <c r="I3134" s="509" t="s">
        <v>327</v>
      </c>
      <c r="J3134" s="509" t="s">
        <v>419</v>
      </c>
      <c r="K3134" s="1012" t="s">
        <v>2356</v>
      </c>
      <c r="L3134" s="1013"/>
      <c r="M3134" s="173"/>
      <c r="N3134" s="68"/>
      <c r="O3134" s="203"/>
      <c r="P3134" s="218"/>
      <c r="Q3134" s="68"/>
      <c r="R3134" s="217"/>
    </row>
    <row r="3135" spans="1:18" ht="30" customHeight="1" thickBot="1" x14ac:dyDescent="0.4">
      <c r="A3135" s="546"/>
      <c r="B3135" s="1014">
        <f>K3171</f>
        <v>117.34803125109006</v>
      </c>
      <c r="C3135" s="1014"/>
      <c r="D3135" s="1014"/>
      <c r="E3135" s="547"/>
      <c r="F3135" s="548"/>
      <c r="G3135" s="1015"/>
      <c r="H3135" s="1016"/>
      <c r="I3135" s="549"/>
      <c r="J3135" s="550"/>
      <c r="K3135" s="551">
        <f>B3135</f>
        <v>117.34803125109006</v>
      </c>
      <c r="L3135" s="552" t="s">
        <v>8</v>
      </c>
      <c r="M3135" s="173"/>
      <c r="N3135" s="68"/>
      <c r="O3135" s="203"/>
      <c r="P3135" s="218"/>
      <c r="Q3135" s="68"/>
      <c r="R3135" s="217"/>
    </row>
    <row r="3136" spans="1:18" ht="30" customHeight="1" thickBot="1" x14ac:dyDescent="0.4">
      <c r="A3136" s="1086"/>
      <c r="B3136" s="1087"/>
      <c r="C3136" s="1087"/>
      <c r="D3136" s="1087"/>
      <c r="E3136" s="1087"/>
      <c r="F3136" s="1087"/>
      <c r="G3136" s="1087"/>
      <c r="H3136" s="1087"/>
      <c r="I3136" s="1087"/>
      <c r="J3136" s="1087"/>
      <c r="K3136" s="1087"/>
      <c r="L3136" s="1088"/>
      <c r="M3136" s="173"/>
      <c r="N3136" s="68"/>
      <c r="O3136" s="203"/>
      <c r="P3136" s="218"/>
      <c r="Q3136" s="68"/>
      <c r="R3136" s="217"/>
    </row>
    <row r="3137" spans="1:25" ht="30" customHeight="1" x14ac:dyDescent="0.35">
      <c r="A3137" s="465" t="s">
        <v>278</v>
      </c>
      <c r="B3137" s="539">
        <v>7344</v>
      </c>
      <c r="C3137" s="1017" t="s">
        <v>1461</v>
      </c>
      <c r="D3137" s="1018"/>
      <c r="E3137" s="541" t="s">
        <v>280</v>
      </c>
      <c r="F3137" s="542" t="s">
        <v>8</v>
      </c>
      <c r="G3137" s="543" t="s">
        <v>285</v>
      </c>
      <c r="H3137" s="555">
        <v>4518</v>
      </c>
      <c r="I3137" s="541" t="s">
        <v>281</v>
      </c>
      <c r="J3137" s="1019" t="s">
        <v>2371</v>
      </c>
      <c r="K3137" s="1019"/>
      <c r="L3137" s="1020"/>
      <c r="M3137" s="173"/>
      <c r="N3137" s="419"/>
      <c r="O3137" s="203"/>
      <c r="P3137" s="218"/>
      <c r="Q3137" s="68"/>
      <c r="R3137" s="217"/>
    </row>
    <row r="3138" spans="1:25" ht="30" customHeight="1" x14ac:dyDescent="0.35">
      <c r="A3138" s="588" t="s">
        <v>298</v>
      </c>
      <c r="B3138" s="1038" t="s">
        <v>321</v>
      </c>
      <c r="C3138" s="1039"/>
      <c r="D3138" s="1040"/>
      <c r="E3138" s="23" t="s">
        <v>290</v>
      </c>
      <c r="F3138" s="23" t="s">
        <v>322</v>
      </c>
      <c r="G3138" s="1034" t="s">
        <v>323</v>
      </c>
      <c r="H3138" s="1035"/>
      <c r="I3138" s="509" t="s">
        <v>299</v>
      </c>
      <c r="J3138" s="509"/>
      <c r="K3138" s="1012" t="s">
        <v>292</v>
      </c>
      <c r="L3138" s="1013"/>
      <c r="M3138" s="173"/>
      <c r="N3138" s="419"/>
      <c r="O3138" s="203"/>
      <c r="P3138" s="218"/>
      <c r="Q3138" s="68"/>
      <c r="R3138" s="217"/>
    </row>
    <row r="3139" spans="1:25" ht="30" customHeight="1" x14ac:dyDescent="0.35">
      <c r="A3139" s="717" t="s">
        <v>1462</v>
      </c>
      <c r="B3139" s="1031" t="s">
        <v>1463</v>
      </c>
      <c r="C3139" s="1032"/>
      <c r="D3139" s="1033"/>
      <c r="E3139" s="453">
        <v>145</v>
      </c>
      <c r="F3139" s="3" t="s">
        <v>8</v>
      </c>
      <c r="G3139" s="496"/>
      <c r="H3139" s="498"/>
      <c r="I3139" s="446">
        <v>1.03</v>
      </c>
      <c r="J3139" s="446"/>
      <c r="K3139" s="453">
        <f>+E3139*I3139</f>
        <v>149.35</v>
      </c>
      <c r="L3139" s="243" t="s">
        <v>8</v>
      </c>
      <c r="M3139" s="173"/>
      <c r="N3139" s="68"/>
      <c r="O3139" s="203"/>
      <c r="P3139" s="218"/>
      <c r="Q3139" s="68"/>
      <c r="R3139" s="217"/>
    </row>
    <row r="3140" spans="1:25" ht="30" customHeight="1" x14ac:dyDescent="0.35">
      <c r="A3140" s="832" t="s">
        <v>360</v>
      </c>
      <c r="B3140" s="1031" t="s">
        <v>1022</v>
      </c>
      <c r="C3140" s="1032"/>
      <c r="D3140" s="1033"/>
      <c r="E3140" s="453">
        <v>3.71</v>
      </c>
      <c r="F3140" s="3" t="s">
        <v>8</v>
      </c>
      <c r="G3140" s="496"/>
      <c r="H3140" s="498"/>
      <c r="I3140" s="446">
        <v>1.03</v>
      </c>
      <c r="J3140" s="446"/>
      <c r="K3140" s="453">
        <f>+E3140*I3140</f>
        <v>3.8212999999999999</v>
      </c>
      <c r="L3140" s="243" t="s">
        <v>8</v>
      </c>
      <c r="M3140" s="173"/>
      <c r="N3140" s="68"/>
      <c r="O3140" s="203"/>
      <c r="P3140" s="218"/>
      <c r="Q3140" s="68"/>
      <c r="R3140" s="217"/>
    </row>
    <row r="3141" spans="1:25" ht="30" customHeight="1" x14ac:dyDescent="0.35">
      <c r="A3141" s="241"/>
      <c r="B3141" s="1102"/>
      <c r="C3141" s="1102"/>
      <c r="D3141" s="1102"/>
      <c r="E3141" s="453"/>
      <c r="F3141" s="446"/>
      <c r="G3141" s="454"/>
      <c r="H3141" s="446"/>
      <c r="I3141" s="446"/>
      <c r="J3141" s="446" t="s">
        <v>335</v>
      </c>
      <c r="K3141" s="453">
        <f>SUM(K3139:K3140)</f>
        <v>153.1713</v>
      </c>
      <c r="L3141" s="243" t="s">
        <v>8</v>
      </c>
      <c r="M3141" s="173"/>
      <c r="N3141" s="68"/>
      <c r="O3141" s="203"/>
      <c r="P3141" s="218"/>
      <c r="Q3141" s="68"/>
      <c r="R3141" s="217"/>
      <c r="Y3141" s="208"/>
    </row>
    <row r="3142" spans="1:25" ht="30" customHeight="1" x14ac:dyDescent="0.35">
      <c r="A3142" s="241"/>
      <c r="B3142" s="506"/>
      <c r="C3142" s="506"/>
      <c r="D3142" s="506"/>
      <c r="E3142" s="453"/>
      <c r="F3142" s="1029" t="s">
        <v>302</v>
      </c>
      <c r="G3142" s="1058" t="s">
        <v>303</v>
      </c>
      <c r="H3142" s="1058"/>
      <c r="I3142" s="1058"/>
      <c r="J3142" s="1058"/>
      <c r="K3142" s="612">
        <v>1.07</v>
      </c>
      <c r="L3142" s="243"/>
      <c r="M3142" s="173"/>
      <c r="N3142" s="68"/>
      <c r="O3142" s="208"/>
      <c r="P3142" s="218"/>
      <c r="Q3142" s="68"/>
      <c r="R3142" s="217"/>
      <c r="S3142" s="208"/>
    </row>
    <row r="3143" spans="1:25" ht="30" customHeight="1" x14ac:dyDescent="0.35">
      <c r="A3143" s="241"/>
      <c r="B3143" s="506"/>
      <c r="C3143" s="506"/>
      <c r="D3143" s="506"/>
      <c r="E3143" s="453"/>
      <c r="F3143" s="1030"/>
      <c r="G3143" s="1104" t="s">
        <v>2374</v>
      </c>
      <c r="H3143" s="1105"/>
      <c r="I3143" s="1105"/>
      <c r="J3143" s="1106"/>
      <c r="K3143" s="612">
        <v>1.08</v>
      </c>
      <c r="L3143" s="243"/>
      <c r="M3143" s="173"/>
      <c r="N3143" s="68"/>
      <c r="O3143" s="203"/>
      <c r="P3143" s="218"/>
      <c r="Q3143" s="68"/>
      <c r="R3143" s="217"/>
    </row>
    <row r="3144" spans="1:25" s="208" customFormat="1" ht="30" customHeight="1" x14ac:dyDescent="0.35">
      <c r="A3144" s="241"/>
      <c r="B3144" s="446"/>
      <c r="C3144" s="458"/>
      <c r="D3144" s="458"/>
      <c r="E3144" s="458"/>
      <c r="F3144" s="458"/>
      <c r="G3144" s="458"/>
      <c r="H3144" s="458"/>
      <c r="I3144" s="458"/>
      <c r="J3144" s="446" t="s">
        <v>2356</v>
      </c>
      <c r="K3144" s="591">
        <f>+K3141*K3142/K3143</f>
        <v>151.75304722222222</v>
      </c>
      <c r="L3144" s="243" t="s">
        <v>8</v>
      </c>
      <c r="M3144" s="364"/>
      <c r="N3144" s="68"/>
      <c r="O3144" s="203"/>
      <c r="P3144" s="218"/>
      <c r="Q3144" s="68"/>
      <c r="R3144" s="217"/>
      <c r="S3144" s="203"/>
      <c r="T3144" s="203"/>
      <c r="U3144" s="203"/>
      <c r="V3144" s="203"/>
      <c r="W3144" s="203"/>
      <c r="X3144" s="203"/>
      <c r="Y3144" s="203"/>
    </row>
    <row r="3145" spans="1:25" ht="30" customHeight="1" thickBot="1" x14ac:dyDescent="0.4">
      <c r="A3145" s="241"/>
      <c r="B3145" s="446"/>
      <c r="C3145" s="458"/>
      <c r="D3145" s="458"/>
      <c r="E3145" s="458"/>
      <c r="F3145" s="458"/>
      <c r="G3145" s="592" t="s">
        <v>2358</v>
      </c>
      <c r="H3145" s="458"/>
      <c r="I3145" s="458"/>
      <c r="J3145" s="583">
        <f>VLOOKUP(B3137,'Mil Cost Premiums for PUCs'!$A$4:$R$272,18,FALSE)</f>
        <v>1.3319480854780448</v>
      </c>
      <c r="K3145" s="591">
        <f>+K3144*J3145</f>
        <v>202.1271807130982</v>
      </c>
      <c r="L3145" s="243" t="s">
        <v>8</v>
      </c>
      <c r="M3145" s="173"/>
      <c r="N3145" s="68"/>
      <c r="O3145" s="203"/>
      <c r="P3145" s="218"/>
      <c r="Q3145" s="68"/>
      <c r="R3145" s="217"/>
    </row>
    <row r="3146" spans="1:25" ht="30" customHeight="1" thickBot="1" x14ac:dyDescent="0.4">
      <c r="A3146" s="481"/>
      <c r="B3146" s="482"/>
      <c r="C3146" s="482"/>
      <c r="D3146" s="482"/>
      <c r="E3146" s="482"/>
      <c r="F3146" s="482"/>
      <c r="G3146" s="482"/>
      <c r="H3146" s="482"/>
      <c r="I3146" s="482"/>
      <c r="J3146" s="482"/>
      <c r="K3146" s="482"/>
      <c r="L3146" s="483"/>
      <c r="M3146" s="173"/>
      <c r="N3146" s="68"/>
      <c r="O3146" s="203"/>
      <c r="P3146" s="218"/>
      <c r="Q3146" s="68"/>
      <c r="R3146" s="217"/>
      <c r="T3146" s="208"/>
      <c r="U3146" s="208"/>
      <c r="V3146" s="208"/>
      <c r="W3146" s="208"/>
      <c r="X3146" s="208"/>
    </row>
    <row r="3147" spans="1:25" ht="30" customHeight="1" x14ac:dyDescent="0.35">
      <c r="A3147" s="465" t="s">
        <v>278</v>
      </c>
      <c r="B3147" s="539">
        <v>7345</v>
      </c>
      <c r="C3147" s="1017" t="s">
        <v>1464</v>
      </c>
      <c r="D3147" s="1018"/>
      <c r="E3147" s="541" t="s">
        <v>280</v>
      </c>
      <c r="F3147" s="542" t="s">
        <v>8</v>
      </c>
      <c r="G3147" s="543" t="s">
        <v>285</v>
      </c>
      <c r="H3147" s="789">
        <v>4346</v>
      </c>
      <c r="I3147" s="541" t="s">
        <v>281</v>
      </c>
      <c r="J3147" s="1019" t="s">
        <v>2371</v>
      </c>
      <c r="K3147" s="1019"/>
      <c r="L3147" s="1020"/>
      <c r="M3147" s="173"/>
      <c r="N3147" s="68"/>
      <c r="O3147" s="203"/>
      <c r="P3147" s="218"/>
      <c r="Q3147" s="68"/>
      <c r="R3147" s="217"/>
      <c r="Y3147" s="208"/>
    </row>
    <row r="3148" spans="1:25" ht="30" customHeight="1" x14ac:dyDescent="0.35">
      <c r="A3148" s="588" t="s">
        <v>298</v>
      </c>
      <c r="B3148" s="1038" t="s">
        <v>321</v>
      </c>
      <c r="C3148" s="1039"/>
      <c r="D3148" s="1040"/>
      <c r="E3148" s="23" t="s">
        <v>290</v>
      </c>
      <c r="F3148" s="23" t="s">
        <v>322</v>
      </c>
      <c r="G3148" s="1034" t="s">
        <v>323</v>
      </c>
      <c r="H3148" s="1035"/>
      <c r="I3148" s="509" t="s">
        <v>299</v>
      </c>
      <c r="J3148" s="509"/>
      <c r="K3148" s="595" t="s">
        <v>292</v>
      </c>
      <c r="L3148" s="739"/>
      <c r="M3148" s="173"/>
      <c r="N3148" s="68"/>
      <c r="O3148" s="208"/>
      <c r="P3148" s="218"/>
      <c r="Q3148" s="68"/>
      <c r="R3148" s="217"/>
      <c r="S3148" s="208"/>
    </row>
    <row r="3149" spans="1:25" ht="30" customHeight="1" x14ac:dyDescent="0.35">
      <c r="A3149" s="717" t="s">
        <v>1465</v>
      </c>
      <c r="B3149" s="1031" t="s">
        <v>1466</v>
      </c>
      <c r="C3149" s="1032"/>
      <c r="D3149" s="1033"/>
      <c r="E3149" s="453">
        <v>133</v>
      </c>
      <c r="F3149" s="3" t="s">
        <v>8</v>
      </c>
      <c r="G3149" s="496"/>
      <c r="H3149" s="498"/>
      <c r="I3149" s="446">
        <v>1.05</v>
      </c>
      <c r="J3149" s="446"/>
      <c r="K3149" s="453">
        <f>+E3149*I3149</f>
        <v>139.65</v>
      </c>
      <c r="L3149" s="243" t="s">
        <v>8</v>
      </c>
      <c r="M3149" s="173"/>
      <c r="N3149" s="68"/>
      <c r="O3149" s="203"/>
      <c r="P3149" s="218"/>
      <c r="Q3149" s="68"/>
      <c r="R3149" s="217"/>
    </row>
    <row r="3150" spans="1:25" s="208" customFormat="1" ht="30" customHeight="1" x14ac:dyDescent="0.35">
      <c r="A3150" s="832" t="s">
        <v>360</v>
      </c>
      <c r="B3150" s="1031" t="s">
        <v>1022</v>
      </c>
      <c r="C3150" s="1032"/>
      <c r="D3150" s="1033"/>
      <c r="E3150" s="453">
        <v>3.71</v>
      </c>
      <c r="F3150" s="3" t="s">
        <v>8</v>
      </c>
      <c r="G3150" s="496"/>
      <c r="H3150" s="498"/>
      <c r="I3150" s="446">
        <v>1.05</v>
      </c>
      <c r="J3150" s="446"/>
      <c r="K3150" s="453">
        <f>+E3150*I3150</f>
        <v>3.8955000000000002</v>
      </c>
      <c r="L3150" s="243" t="s">
        <v>8</v>
      </c>
      <c r="M3150" s="173"/>
      <c r="N3150" s="68"/>
      <c r="O3150" s="203"/>
      <c r="P3150" s="218"/>
      <c r="Q3150" s="68"/>
      <c r="R3150" s="217"/>
      <c r="S3150" s="203"/>
      <c r="T3150" s="203"/>
      <c r="U3150" s="203"/>
      <c r="V3150" s="203"/>
      <c r="W3150" s="203"/>
      <c r="X3150" s="203"/>
      <c r="Y3150" s="203"/>
    </row>
    <row r="3151" spans="1:25" ht="30" customHeight="1" x14ac:dyDescent="0.35">
      <c r="A3151" s="241"/>
      <c r="B3151" s="1102"/>
      <c r="C3151" s="1102"/>
      <c r="D3151" s="1102"/>
      <c r="E3151" s="453"/>
      <c r="F3151" s="446"/>
      <c r="G3151" s="454"/>
      <c r="H3151" s="446"/>
      <c r="I3151" s="446"/>
      <c r="J3151" s="446" t="s">
        <v>335</v>
      </c>
      <c r="K3151" s="453">
        <f>SUM(K3149:K3150)</f>
        <v>143.5455</v>
      </c>
      <c r="L3151" s="243" t="s">
        <v>8</v>
      </c>
      <c r="M3151" s="173"/>
      <c r="N3151" s="68"/>
      <c r="O3151" s="203"/>
      <c r="P3151" s="218"/>
      <c r="Q3151" s="68"/>
      <c r="R3151" s="217"/>
    </row>
    <row r="3152" spans="1:25" ht="30" customHeight="1" x14ac:dyDescent="0.35">
      <c r="A3152" s="241"/>
      <c r="B3152" s="506"/>
      <c r="C3152" s="506"/>
      <c r="D3152" s="506"/>
      <c r="E3152" s="453"/>
      <c r="F3152" s="1029" t="s">
        <v>302</v>
      </c>
      <c r="G3152" s="1058" t="s">
        <v>303</v>
      </c>
      <c r="H3152" s="1058"/>
      <c r="I3152" s="1058"/>
      <c r="J3152" s="1058"/>
      <c r="K3152" s="612">
        <v>1.07</v>
      </c>
      <c r="L3152" s="243"/>
      <c r="M3152" s="173"/>
      <c r="N3152" s="68"/>
      <c r="O3152" s="171"/>
      <c r="P3152" s="216"/>
      <c r="Q3152" s="419"/>
      <c r="R3152" s="219"/>
    </row>
    <row r="3153" spans="1:25" ht="30" customHeight="1" x14ac:dyDescent="0.35">
      <c r="A3153" s="241"/>
      <c r="B3153" s="506"/>
      <c r="C3153" s="506"/>
      <c r="D3153" s="506"/>
      <c r="E3153" s="453"/>
      <c r="F3153" s="1030"/>
      <c r="G3153" s="1104" t="s">
        <v>2374</v>
      </c>
      <c r="H3153" s="1105"/>
      <c r="I3153" s="1105"/>
      <c r="J3153" s="1106"/>
      <c r="K3153" s="612">
        <v>1.08</v>
      </c>
      <c r="L3153" s="243"/>
      <c r="M3153" s="173"/>
      <c r="N3153" s="68"/>
      <c r="O3153" s="171"/>
      <c r="P3153" s="216"/>
      <c r="Q3153" s="419"/>
      <c r="R3153" s="219"/>
    </row>
    <row r="3154" spans="1:25" ht="30" customHeight="1" x14ac:dyDescent="0.35">
      <c r="A3154" s="241"/>
      <c r="B3154" s="446"/>
      <c r="C3154" s="458"/>
      <c r="D3154" s="458"/>
      <c r="E3154" s="458"/>
      <c r="F3154" s="458"/>
      <c r="G3154" s="458"/>
      <c r="H3154" s="458"/>
      <c r="I3154" s="458"/>
      <c r="J3154" s="446" t="s">
        <v>2356</v>
      </c>
      <c r="K3154" s="591">
        <f>+K3151*K3152/K3153</f>
        <v>142.216375</v>
      </c>
      <c r="L3154" s="243" t="s">
        <v>8</v>
      </c>
      <c r="M3154" s="173"/>
      <c r="N3154" s="68"/>
      <c r="O3154" s="203"/>
      <c r="P3154" s="218"/>
      <c r="Q3154" s="68"/>
      <c r="R3154" s="217"/>
    </row>
    <row r="3155" spans="1:25" ht="30" customHeight="1" thickBot="1" x14ac:dyDescent="0.4">
      <c r="A3155" s="241"/>
      <c r="B3155" s="446"/>
      <c r="C3155" s="458"/>
      <c r="D3155" s="458"/>
      <c r="E3155" s="458"/>
      <c r="F3155" s="458"/>
      <c r="G3155" s="592" t="s">
        <v>2358</v>
      </c>
      <c r="H3155" s="458"/>
      <c r="I3155" s="458"/>
      <c r="J3155" s="583">
        <f>VLOOKUP(B3147,'Mil Cost Premiums for PUCs'!$A$4:$R$272,18,FALSE)</f>
        <v>1.1651974763252515</v>
      </c>
      <c r="K3155" s="591">
        <f>+K3154*J3155</f>
        <v>165.71016124212559</v>
      </c>
      <c r="L3155" s="243" t="s">
        <v>8</v>
      </c>
      <c r="M3155" s="173"/>
      <c r="N3155" s="68"/>
      <c r="O3155" s="203"/>
      <c r="P3155" s="218"/>
      <c r="Q3155" s="68"/>
      <c r="R3155" s="217"/>
    </row>
    <row r="3156" spans="1:25" ht="30" customHeight="1" thickBot="1" x14ac:dyDescent="0.4">
      <c r="A3156" s="481"/>
      <c r="B3156" s="482"/>
      <c r="C3156" s="482"/>
      <c r="D3156" s="482"/>
      <c r="E3156" s="482"/>
      <c r="F3156" s="482"/>
      <c r="G3156" s="482"/>
      <c r="H3156" s="482"/>
      <c r="I3156" s="482"/>
      <c r="J3156" s="482"/>
      <c r="K3156" s="482"/>
      <c r="L3156" s="483"/>
      <c r="M3156" s="173"/>
      <c r="N3156" s="68"/>
      <c r="O3156" s="203"/>
      <c r="P3156" s="218"/>
      <c r="Q3156" s="68"/>
      <c r="R3156" s="217"/>
      <c r="T3156" s="208"/>
      <c r="U3156" s="208"/>
      <c r="V3156" s="208"/>
      <c r="W3156" s="208"/>
      <c r="X3156" s="208"/>
    </row>
    <row r="3157" spans="1:25" ht="30" customHeight="1" x14ac:dyDescent="0.35">
      <c r="A3157" s="465" t="s">
        <v>278</v>
      </c>
      <c r="B3157" s="539">
        <v>7346</v>
      </c>
      <c r="C3157" s="1096" t="s">
        <v>1467</v>
      </c>
      <c r="D3157" s="1097"/>
      <c r="E3157" s="541" t="s">
        <v>280</v>
      </c>
      <c r="F3157" s="542" t="s">
        <v>8</v>
      </c>
      <c r="G3157" s="543" t="s">
        <v>285</v>
      </c>
      <c r="H3157" s="555">
        <v>14611</v>
      </c>
      <c r="I3157" s="541" t="s">
        <v>281</v>
      </c>
      <c r="J3157" s="1019" t="s">
        <v>2371</v>
      </c>
      <c r="K3157" s="1019"/>
      <c r="L3157" s="1020"/>
      <c r="M3157" s="173"/>
      <c r="N3157" s="68"/>
      <c r="O3157" s="203"/>
      <c r="P3157" s="218"/>
      <c r="Q3157" s="68"/>
      <c r="R3157" s="217"/>
      <c r="T3157" s="208"/>
      <c r="U3157" s="208"/>
      <c r="V3157" s="208"/>
      <c r="W3157" s="208"/>
      <c r="X3157" s="208"/>
      <c r="Y3157" s="208"/>
    </row>
    <row r="3158" spans="1:25" ht="30" customHeight="1" x14ac:dyDescent="0.35">
      <c r="A3158" s="588" t="s">
        <v>298</v>
      </c>
      <c r="B3158" s="1038" t="s">
        <v>321</v>
      </c>
      <c r="C3158" s="1039"/>
      <c r="D3158" s="1040"/>
      <c r="E3158" s="23" t="s">
        <v>290</v>
      </c>
      <c r="F3158" s="23" t="s">
        <v>322</v>
      </c>
      <c r="G3158" s="1034" t="s">
        <v>323</v>
      </c>
      <c r="H3158" s="1035"/>
      <c r="I3158" s="509" t="s">
        <v>299</v>
      </c>
      <c r="J3158" s="509"/>
      <c r="K3158" s="1012" t="s">
        <v>292</v>
      </c>
      <c r="L3158" s="1013"/>
      <c r="M3158" s="173"/>
      <c r="N3158" s="68"/>
      <c r="O3158" s="208"/>
      <c r="P3158" s="218"/>
      <c r="Q3158" s="68"/>
      <c r="R3158" s="217"/>
      <c r="S3158" s="208"/>
      <c r="Y3158" s="208"/>
    </row>
    <row r="3159" spans="1:25" ht="30" customHeight="1" x14ac:dyDescent="0.35">
      <c r="A3159" s="717" t="s">
        <v>1454</v>
      </c>
      <c r="B3159" s="1031" t="s">
        <v>1468</v>
      </c>
      <c r="C3159" s="1032"/>
      <c r="D3159" s="1033"/>
      <c r="E3159" s="453">
        <v>88</v>
      </c>
      <c r="F3159" s="3" t="s">
        <v>8</v>
      </c>
      <c r="G3159" s="496"/>
      <c r="H3159" s="498"/>
      <c r="I3159" s="446">
        <v>1.04</v>
      </c>
      <c r="J3159" s="446"/>
      <c r="K3159" s="453">
        <f>+E3159*I3159</f>
        <v>91.52000000000001</v>
      </c>
      <c r="L3159" s="243" t="s">
        <v>8</v>
      </c>
      <c r="M3159" s="173"/>
      <c r="N3159" s="68"/>
      <c r="O3159" s="208"/>
      <c r="P3159" s="218"/>
      <c r="Q3159" s="68"/>
      <c r="R3159" s="217"/>
      <c r="S3159" s="208"/>
    </row>
    <row r="3160" spans="1:25" s="208" customFormat="1" ht="30" customHeight="1" x14ac:dyDescent="0.35">
      <c r="A3160" s="848" t="s">
        <v>1274</v>
      </c>
      <c r="B3160" s="1031" t="s">
        <v>398</v>
      </c>
      <c r="C3160" s="1032"/>
      <c r="D3160" s="1032"/>
      <c r="E3160" s="453">
        <v>3.42</v>
      </c>
      <c r="F3160" s="3" t="s">
        <v>8</v>
      </c>
      <c r="G3160" s="496"/>
      <c r="H3160" s="498"/>
      <c r="I3160" s="446">
        <v>1.04</v>
      </c>
      <c r="J3160" s="446"/>
      <c r="K3160" s="453">
        <f>+E3160*I3160</f>
        <v>3.5568</v>
      </c>
      <c r="L3160" s="243" t="s">
        <v>8</v>
      </c>
      <c r="M3160" s="173"/>
      <c r="N3160" s="68"/>
      <c r="O3160" s="203"/>
      <c r="P3160" s="218"/>
      <c r="Q3160" s="68"/>
      <c r="R3160" s="217"/>
      <c r="S3160" s="203"/>
      <c r="T3160" s="203"/>
      <c r="U3160" s="203"/>
      <c r="V3160" s="203"/>
      <c r="W3160" s="203"/>
      <c r="X3160" s="203"/>
      <c r="Y3160" s="203"/>
    </row>
    <row r="3161" spans="1:25" s="208" customFormat="1" ht="30" customHeight="1" x14ac:dyDescent="0.35">
      <c r="A3161" s="848" t="s">
        <v>377</v>
      </c>
      <c r="B3161" s="1031" t="s">
        <v>1469</v>
      </c>
      <c r="C3161" s="1032"/>
      <c r="D3161" s="1033"/>
      <c r="E3161" s="453">
        <f>(20.3+31.5)/2</f>
        <v>25.9</v>
      </c>
      <c r="F3161" s="3" t="s">
        <v>944</v>
      </c>
      <c r="G3161" s="50">
        <f>81*E3161*2/H3157</f>
        <v>0.2871672027924167</v>
      </c>
      <c r="H3161" s="498" t="s">
        <v>1403</v>
      </c>
      <c r="I3161" s="446">
        <v>1.03</v>
      </c>
      <c r="J3161" s="446"/>
      <c r="K3161" s="453">
        <f t="shared" ref="K3161:K3166" si="75">+G3161*I3161</f>
        <v>0.29578221887618922</v>
      </c>
      <c r="L3161" s="243" t="s">
        <v>8</v>
      </c>
      <c r="M3161" s="173"/>
      <c r="N3161" s="419"/>
      <c r="O3161" s="171"/>
      <c r="P3161" s="216"/>
      <c r="Q3161" s="419"/>
      <c r="R3161" s="219"/>
      <c r="S3161" s="203"/>
      <c r="T3161" s="203"/>
      <c r="U3161" s="203"/>
      <c r="V3161" s="203"/>
      <c r="W3161" s="203"/>
      <c r="X3161" s="203"/>
      <c r="Y3161" s="203"/>
    </row>
    <row r="3162" spans="1:25" ht="30" customHeight="1" x14ac:dyDescent="0.35">
      <c r="A3162" s="848" t="s">
        <v>377</v>
      </c>
      <c r="B3162" s="1031" t="s">
        <v>1470</v>
      </c>
      <c r="C3162" s="1032"/>
      <c r="D3162" s="1033"/>
      <c r="E3162" s="453">
        <f>(1710+2420)/2</f>
        <v>2065</v>
      </c>
      <c r="F3162" s="3" t="s">
        <v>1067</v>
      </c>
      <c r="G3162" s="50">
        <f>+E3162*2/H3157</f>
        <v>0.28266374649236875</v>
      </c>
      <c r="H3162" s="498" t="s">
        <v>1403</v>
      </c>
      <c r="I3162" s="446">
        <v>1.03</v>
      </c>
      <c r="J3162" s="446"/>
      <c r="K3162" s="453">
        <f t="shared" si="75"/>
        <v>0.29114365888713983</v>
      </c>
      <c r="L3162" s="243" t="s">
        <v>8</v>
      </c>
      <c r="M3162" s="173"/>
      <c r="N3162" s="419"/>
      <c r="O3162" s="171"/>
      <c r="P3162" s="216"/>
      <c r="Q3162" s="419"/>
      <c r="R3162" s="219"/>
    </row>
    <row r="3163" spans="1:25" ht="30" customHeight="1" x14ac:dyDescent="0.35">
      <c r="A3163" s="848" t="s">
        <v>380</v>
      </c>
      <c r="B3163" s="1031" t="s">
        <v>1471</v>
      </c>
      <c r="C3163" s="1032"/>
      <c r="D3163" s="1033"/>
      <c r="E3163" s="453">
        <f>+(34.5+82)/2</f>
        <v>58.25</v>
      </c>
      <c r="F3163" s="3" t="s">
        <v>1406</v>
      </c>
      <c r="G3163" s="50">
        <f>10*E3163*2/H3157</f>
        <v>7.9734446649784407E-2</v>
      </c>
      <c r="H3163" s="498" t="s">
        <v>1403</v>
      </c>
      <c r="I3163" s="446">
        <v>1.03</v>
      </c>
      <c r="J3163" s="446"/>
      <c r="K3163" s="453">
        <f t="shared" si="75"/>
        <v>8.2126480049277945E-2</v>
      </c>
      <c r="L3163" s="243" t="s">
        <v>8</v>
      </c>
      <c r="M3163" s="173"/>
      <c r="N3163" s="68"/>
      <c r="O3163" s="203"/>
      <c r="P3163" s="218"/>
      <c r="Q3163" s="68"/>
      <c r="R3163" s="217"/>
    </row>
    <row r="3164" spans="1:25" ht="30" customHeight="1" x14ac:dyDescent="0.35">
      <c r="A3164" s="848" t="s">
        <v>380</v>
      </c>
      <c r="B3164" s="1031" t="s">
        <v>947</v>
      </c>
      <c r="C3164" s="1032"/>
      <c r="D3164" s="1033"/>
      <c r="E3164" s="453">
        <f>+(6450+12300)/2</f>
        <v>9375</v>
      </c>
      <c r="F3164" s="3" t="s">
        <v>10</v>
      </c>
      <c r="G3164" s="50">
        <f>+E3164*2/H3157</f>
        <v>1.2832797207583329</v>
      </c>
      <c r="H3164" s="498" t="s">
        <v>1403</v>
      </c>
      <c r="I3164" s="446">
        <v>1.03</v>
      </c>
      <c r="J3164" s="446"/>
      <c r="K3164" s="453">
        <f t="shared" si="75"/>
        <v>1.3217781123810828</v>
      </c>
      <c r="L3164" s="243" t="s">
        <v>8</v>
      </c>
      <c r="M3164" s="173"/>
      <c r="N3164" s="68"/>
      <c r="O3164" s="203"/>
      <c r="P3164" s="218"/>
      <c r="Q3164" s="68"/>
      <c r="R3164" s="217"/>
    </row>
    <row r="3165" spans="1:25" ht="30" customHeight="1" x14ac:dyDescent="0.35">
      <c r="A3165" s="848" t="s">
        <v>380</v>
      </c>
      <c r="B3165" s="1031" t="s">
        <v>948</v>
      </c>
      <c r="C3165" s="1032"/>
      <c r="D3165" s="1033"/>
      <c r="E3165" s="453">
        <f>+(660+1010)/2</f>
        <v>835</v>
      </c>
      <c r="F3165" s="3" t="s">
        <v>10</v>
      </c>
      <c r="G3165" s="50">
        <f>+E3165*2/H3157</f>
        <v>0.1142974471288755</v>
      </c>
      <c r="H3165" s="498" t="s">
        <v>1403</v>
      </c>
      <c r="I3165" s="446">
        <v>1.03</v>
      </c>
      <c r="J3165" s="446"/>
      <c r="K3165" s="453">
        <f t="shared" si="75"/>
        <v>0.11772637054274178</v>
      </c>
      <c r="L3165" s="243" t="s">
        <v>8</v>
      </c>
      <c r="M3165" s="173"/>
      <c r="N3165" s="68"/>
      <c r="O3165" s="203"/>
      <c r="P3165" s="218"/>
      <c r="Q3165" s="68"/>
      <c r="R3165" s="217"/>
      <c r="T3165" s="208"/>
      <c r="U3165" s="208"/>
      <c r="V3165" s="208"/>
      <c r="W3165" s="208"/>
      <c r="X3165" s="208"/>
    </row>
    <row r="3166" spans="1:25" ht="30" customHeight="1" x14ac:dyDescent="0.35">
      <c r="A3166" s="848" t="s">
        <v>380</v>
      </c>
      <c r="B3166" s="1031" t="s">
        <v>949</v>
      </c>
      <c r="C3166" s="1032"/>
      <c r="D3166" s="1033"/>
      <c r="E3166" s="453">
        <f>+(1160+3475)/2</f>
        <v>2317.5</v>
      </c>
      <c r="F3166" s="3" t="s">
        <v>10</v>
      </c>
      <c r="G3166" s="50">
        <f>+E3166*2/H3157</f>
        <v>0.31722674697145986</v>
      </c>
      <c r="H3166" s="498" t="s">
        <v>1403</v>
      </c>
      <c r="I3166" s="446">
        <v>1.03</v>
      </c>
      <c r="J3166" s="446"/>
      <c r="K3166" s="453">
        <f t="shared" si="75"/>
        <v>0.32674354938060368</v>
      </c>
      <c r="L3166" s="243" t="s">
        <v>8</v>
      </c>
      <c r="M3166" s="173"/>
      <c r="N3166" s="68"/>
      <c r="O3166" s="203"/>
      <c r="P3166" s="218"/>
      <c r="Q3166" s="68"/>
      <c r="R3166" s="217"/>
      <c r="Y3166" s="208"/>
    </row>
    <row r="3167" spans="1:25" ht="30" customHeight="1" x14ac:dyDescent="0.35">
      <c r="A3167" s="832"/>
      <c r="B3167" s="1102"/>
      <c r="C3167" s="1102"/>
      <c r="D3167" s="1102"/>
      <c r="E3167" s="453"/>
      <c r="F3167" s="446"/>
      <c r="G3167" s="454"/>
      <c r="H3167" s="446"/>
      <c r="I3167" s="446"/>
      <c r="J3167" s="446" t="s">
        <v>335</v>
      </c>
      <c r="K3167" s="453">
        <f>SUM(K3159:K3166)</f>
        <v>97.512100390117041</v>
      </c>
      <c r="L3167" s="243" t="s">
        <v>8</v>
      </c>
      <c r="M3167" s="173"/>
      <c r="N3167" s="68"/>
      <c r="O3167" s="208"/>
      <c r="P3167" s="218"/>
      <c r="Q3167" s="68"/>
      <c r="R3167" s="217"/>
      <c r="S3167" s="208"/>
    </row>
    <row r="3168" spans="1:25" ht="30" customHeight="1" x14ac:dyDescent="0.35">
      <c r="A3168" s="241"/>
      <c r="B3168" s="506"/>
      <c r="C3168" s="506"/>
      <c r="D3168" s="506"/>
      <c r="E3168" s="453"/>
      <c r="F3168" s="1029" t="s">
        <v>302</v>
      </c>
      <c r="G3168" s="1058" t="s">
        <v>303</v>
      </c>
      <c r="H3168" s="1058"/>
      <c r="I3168" s="1058"/>
      <c r="J3168" s="1058"/>
      <c r="K3168" s="612">
        <v>1.07</v>
      </c>
      <c r="L3168" s="243"/>
      <c r="M3168" s="173"/>
      <c r="N3168" s="68"/>
      <c r="O3168" s="203"/>
      <c r="P3168" s="218"/>
      <c r="Q3168" s="68"/>
      <c r="R3168" s="217"/>
    </row>
    <row r="3169" spans="1:25" s="208" customFormat="1" ht="30" customHeight="1" x14ac:dyDescent="0.35">
      <c r="A3169" s="241"/>
      <c r="B3169" s="506"/>
      <c r="C3169" s="506"/>
      <c r="D3169" s="506"/>
      <c r="E3169" s="453"/>
      <c r="F3169" s="1030"/>
      <c r="G3169" s="1104" t="s">
        <v>2374</v>
      </c>
      <c r="H3169" s="1105"/>
      <c r="I3169" s="1105"/>
      <c r="J3169" s="1106"/>
      <c r="K3169" s="612">
        <v>1.08</v>
      </c>
      <c r="L3169" s="243"/>
      <c r="M3169" s="173"/>
      <c r="N3169" s="68"/>
      <c r="O3169" s="203"/>
      <c r="P3169" s="218"/>
      <c r="Q3169" s="68"/>
      <c r="R3169" s="217"/>
      <c r="S3169" s="203"/>
      <c r="T3169" s="203"/>
      <c r="U3169" s="203"/>
      <c r="V3169" s="203"/>
      <c r="W3169" s="203"/>
      <c r="X3169" s="203"/>
      <c r="Y3169" s="203"/>
    </row>
    <row r="3170" spans="1:25" ht="30" customHeight="1" x14ac:dyDescent="0.35">
      <c r="A3170" s="241"/>
      <c r="B3170" s="446"/>
      <c r="C3170" s="458"/>
      <c r="D3170" s="458"/>
      <c r="E3170" s="458"/>
      <c r="F3170" s="458"/>
      <c r="G3170" s="458"/>
      <c r="H3170" s="458"/>
      <c r="I3170" s="458"/>
      <c r="J3170" s="446" t="s">
        <v>2356</v>
      </c>
      <c r="K3170" s="591">
        <f>+K3167*K3168/K3169</f>
        <v>96.609210571690028</v>
      </c>
      <c r="L3170" s="243" t="s">
        <v>8</v>
      </c>
      <c r="M3170" s="173"/>
      <c r="N3170" s="419"/>
      <c r="O3170" s="203"/>
      <c r="P3170" s="218"/>
      <c r="Q3170" s="68"/>
      <c r="R3170" s="217"/>
    </row>
    <row r="3171" spans="1:25" ht="30" customHeight="1" x14ac:dyDescent="0.35">
      <c r="A3171" s="241"/>
      <c r="B3171" s="446"/>
      <c r="C3171" s="458"/>
      <c r="D3171" s="458"/>
      <c r="E3171" s="458"/>
      <c r="F3171" s="458"/>
      <c r="G3171" s="1384" t="s">
        <v>2359</v>
      </c>
      <c r="H3171" s="1385"/>
      <c r="I3171" s="1386"/>
      <c r="J3171" s="583">
        <f>VLOOKUP(B3157,'Mil Cost Premiums for PUCs'!$A$4:$R$272,18,FALSE)</f>
        <v>1.2146671166928804</v>
      </c>
      <c r="K3171" s="591">
        <f>+K3170*J3171</f>
        <v>117.34803125109006</v>
      </c>
      <c r="L3171" s="243" t="s">
        <v>8</v>
      </c>
      <c r="M3171" s="173"/>
      <c r="N3171" s="419"/>
      <c r="O3171" s="203"/>
      <c r="P3171" s="218"/>
      <c r="Q3171" s="68"/>
      <c r="R3171" s="217"/>
    </row>
    <row r="3172" spans="1:25" ht="60" customHeight="1" x14ac:dyDescent="0.35">
      <c r="A3172" s="1064" t="s">
        <v>305</v>
      </c>
      <c r="B3172" s="1065"/>
      <c r="C3172" s="1065"/>
      <c r="D3172" s="1065"/>
      <c r="E3172" s="1065"/>
      <c r="F3172" s="1065"/>
      <c r="G3172" s="1065"/>
      <c r="H3172" s="1065"/>
      <c r="I3172" s="1065"/>
      <c r="J3172" s="1065"/>
      <c r="K3172" s="1065"/>
      <c r="L3172" s="1066"/>
      <c r="M3172" s="173"/>
      <c r="N3172" s="68"/>
      <c r="O3172" s="203"/>
      <c r="P3172" s="218"/>
      <c r="Q3172" s="68"/>
      <c r="R3172" s="217"/>
    </row>
    <row r="3173" spans="1:25" ht="45" customHeight="1" x14ac:dyDescent="0.35">
      <c r="A3173" s="1077" t="s">
        <v>306</v>
      </c>
      <c r="B3173" s="1042"/>
      <c r="C3173" s="1043"/>
      <c r="D3173" s="1067" t="s">
        <v>2317</v>
      </c>
      <c r="E3173" s="1065"/>
      <c r="F3173" s="1065"/>
      <c r="G3173" s="1065"/>
      <c r="H3173" s="1065"/>
      <c r="I3173" s="1065"/>
      <c r="J3173" s="1065"/>
      <c r="K3173" s="1065"/>
      <c r="L3173" s="1066"/>
      <c r="M3173" s="173"/>
      <c r="N3173" s="68"/>
      <c r="O3173" s="203"/>
      <c r="P3173" s="218"/>
      <c r="Q3173" s="68"/>
      <c r="R3173" s="217"/>
    </row>
    <row r="3174" spans="1:25" ht="30" customHeight="1" x14ac:dyDescent="0.35">
      <c r="A3174" s="1077" t="s">
        <v>307</v>
      </c>
      <c r="B3174" s="1042"/>
      <c r="C3174" s="1043"/>
      <c r="D3174" s="1067" t="s">
        <v>1450</v>
      </c>
      <c r="E3174" s="1065"/>
      <c r="F3174" s="1065"/>
      <c r="G3174" s="1065"/>
      <c r="H3174" s="1065"/>
      <c r="I3174" s="1065"/>
      <c r="J3174" s="1065"/>
      <c r="K3174" s="1065"/>
      <c r="L3174" s="1066"/>
      <c r="M3174" s="173"/>
      <c r="N3174" s="68"/>
      <c r="O3174" s="203"/>
      <c r="P3174" s="218"/>
      <c r="Q3174" s="68"/>
      <c r="R3174" s="217"/>
    </row>
    <row r="3175" spans="1:25" ht="30" customHeight="1" x14ac:dyDescent="0.35">
      <c r="A3175" s="1077" t="s">
        <v>308</v>
      </c>
      <c r="B3175" s="1042"/>
      <c r="C3175" s="1043"/>
      <c r="D3175" s="1067" t="s">
        <v>3089</v>
      </c>
      <c r="E3175" s="1065"/>
      <c r="F3175" s="1065"/>
      <c r="G3175" s="1065"/>
      <c r="H3175" s="1065"/>
      <c r="I3175" s="1065"/>
      <c r="J3175" s="1065"/>
      <c r="K3175" s="1065"/>
      <c r="L3175" s="1066"/>
      <c r="M3175" s="173"/>
      <c r="N3175" s="68"/>
      <c r="O3175" s="203"/>
      <c r="P3175" s="218"/>
      <c r="Q3175" s="68"/>
      <c r="R3175" s="217"/>
    </row>
    <row r="3176" spans="1:25" ht="30" customHeight="1" x14ac:dyDescent="0.35">
      <c r="A3176" s="1077" t="s">
        <v>309</v>
      </c>
      <c r="B3176" s="1042"/>
      <c r="C3176" s="1043"/>
      <c r="D3176" s="1067" t="s">
        <v>1472</v>
      </c>
      <c r="E3176" s="1065"/>
      <c r="F3176" s="1065"/>
      <c r="G3176" s="1065"/>
      <c r="H3176" s="1065"/>
      <c r="I3176" s="1065"/>
      <c r="J3176" s="1065"/>
      <c r="K3176" s="1065"/>
      <c r="L3176" s="1066"/>
      <c r="M3176" s="173"/>
      <c r="N3176" s="68"/>
      <c r="O3176" s="203"/>
      <c r="P3176" s="218"/>
      <c r="Q3176" s="68"/>
      <c r="R3176" s="217"/>
    </row>
    <row r="3177" spans="1:25" ht="45" customHeight="1" x14ac:dyDescent="0.35">
      <c r="A3177" s="1077" t="s">
        <v>311</v>
      </c>
      <c r="B3177" s="1042"/>
      <c r="C3177" s="1043"/>
      <c r="D3177" s="1067" t="s">
        <v>3090</v>
      </c>
      <c r="E3177" s="1065"/>
      <c r="F3177" s="1065"/>
      <c r="G3177" s="1065"/>
      <c r="H3177" s="1065"/>
      <c r="I3177" s="1065"/>
      <c r="J3177" s="1065"/>
      <c r="K3177" s="1065"/>
      <c r="L3177" s="1066"/>
      <c r="M3177" s="173"/>
      <c r="N3177" s="68"/>
      <c r="O3177" s="171"/>
      <c r="P3177" s="216"/>
      <c r="Q3177" s="419"/>
      <c r="R3177" s="219"/>
    </row>
    <row r="3178" spans="1:25" ht="30" customHeight="1" x14ac:dyDescent="0.35">
      <c r="A3178" s="1077" t="s">
        <v>313</v>
      </c>
      <c r="B3178" s="1042"/>
      <c r="C3178" s="1043"/>
      <c r="D3178" s="1067" t="s">
        <v>1371</v>
      </c>
      <c r="E3178" s="1065"/>
      <c r="F3178" s="1065"/>
      <c r="G3178" s="1065"/>
      <c r="H3178" s="1065"/>
      <c r="I3178" s="1065"/>
      <c r="J3178" s="1065"/>
      <c r="K3178" s="1065"/>
      <c r="L3178" s="1066"/>
      <c r="M3178" s="173"/>
      <c r="N3178" s="68"/>
      <c r="O3178" s="171"/>
      <c r="P3178" s="216"/>
      <c r="Q3178" s="419"/>
      <c r="R3178" s="219"/>
    </row>
    <row r="3179" spans="1:25" ht="30" customHeight="1" x14ac:dyDescent="0.35">
      <c r="A3179" s="1077" t="s">
        <v>315</v>
      </c>
      <c r="B3179" s="1042"/>
      <c r="C3179" s="1043"/>
      <c r="D3179" s="1067" t="s">
        <v>1473</v>
      </c>
      <c r="E3179" s="1065"/>
      <c r="F3179" s="1065"/>
      <c r="G3179" s="1065"/>
      <c r="H3179" s="1065"/>
      <c r="I3179" s="1065"/>
      <c r="J3179" s="1065"/>
      <c r="K3179" s="1065"/>
      <c r="L3179" s="1066"/>
      <c r="M3179" s="173"/>
      <c r="N3179" s="68"/>
      <c r="O3179" s="203"/>
      <c r="P3179" s="218"/>
      <c r="Q3179" s="68"/>
      <c r="R3179" s="217"/>
    </row>
    <row r="3180" spans="1:25" ht="75" customHeight="1" x14ac:dyDescent="0.35">
      <c r="A3180" s="1077" t="s">
        <v>316</v>
      </c>
      <c r="B3180" s="1042"/>
      <c r="C3180" s="1043"/>
      <c r="D3180" s="1067" t="s">
        <v>373</v>
      </c>
      <c r="E3180" s="1065"/>
      <c r="F3180" s="1065"/>
      <c r="G3180" s="1065"/>
      <c r="H3180" s="1065"/>
      <c r="I3180" s="1065"/>
      <c r="J3180" s="1065"/>
      <c r="K3180" s="1065"/>
      <c r="L3180" s="1066"/>
      <c r="M3180" s="173"/>
      <c r="N3180" s="68"/>
      <c r="O3180" s="203"/>
      <c r="P3180" s="218"/>
      <c r="Q3180" s="68"/>
      <c r="R3180" s="217"/>
    </row>
    <row r="3181" spans="1:25" ht="30" customHeight="1" thickBot="1" x14ac:dyDescent="0.4">
      <c r="A3181" s="1077" t="s">
        <v>318</v>
      </c>
      <c r="B3181" s="1042"/>
      <c r="C3181" s="1043"/>
      <c r="D3181" s="1068" t="s">
        <v>1474</v>
      </c>
      <c r="E3181" s="1069"/>
      <c r="F3181" s="1069"/>
      <c r="G3181" s="1069"/>
      <c r="H3181" s="1069"/>
      <c r="I3181" s="1069"/>
      <c r="J3181" s="1069"/>
      <c r="K3181" s="1069"/>
      <c r="L3181" s="1070"/>
      <c r="M3181" s="173"/>
      <c r="N3181" s="68"/>
      <c r="O3181" s="203"/>
      <c r="P3181" s="218"/>
      <c r="Q3181" s="68"/>
      <c r="R3181" s="217"/>
    </row>
    <row r="3182" spans="1:25" ht="30" customHeight="1" thickBot="1" x14ac:dyDescent="0.4">
      <c r="A3182" s="1086"/>
      <c r="B3182" s="1087"/>
      <c r="C3182" s="1087"/>
      <c r="D3182" s="1087"/>
      <c r="E3182" s="1087"/>
      <c r="F3182" s="1087"/>
      <c r="G3182" s="1087"/>
      <c r="H3182" s="1087"/>
      <c r="I3182" s="1087"/>
      <c r="J3182" s="1087"/>
      <c r="K3182" s="1087"/>
      <c r="L3182" s="1088"/>
      <c r="M3182" s="173"/>
      <c r="N3182" s="68"/>
      <c r="O3182" s="203"/>
      <c r="P3182" s="218"/>
      <c r="Q3182" s="68"/>
      <c r="R3182" s="217"/>
    </row>
    <row r="3183" spans="1:25" ht="30" customHeight="1" x14ac:dyDescent="0.35">
      <c r="A3183" s="465" t="s">
        <v>278</v>
      </c>
      <c r="B3183" s="539">
        <v>7347</v>
      </c>
      <c r="C3183" s="1017" t="s">
        <v>1475</v>
      </c>
      <c r="D3183" s="1018"/>
      <c r="E3183" s="541" t="s">
        <v>280</v>
      </c>
      <c r="F3183" s="542" t="s">
        <v>8</v>
      </c>
      <c r="G3183" s="543" t="s">
        <v>285</v>
      </c>
      <c r="H3183" s="555">
        <v>2402</v>
      </c>
      <c r="I3183" s="541" t="s">
        <v>281</v>
      </c>
      <c r="J3183" s="1019" t="s">
        <v>2371</v>
      </c>
      <c r="K3183" s="1019"/>
      <c r="L3183" s="1020"/>
      <c r="M3183" s="173"/>
      <c r="N3183" s="68"/>
      <c r="O3183" s="203"/>
      <c r="P3183" s="218"/>
      <c r="Q3183" s="68"/>
      <c r="R3183" s="217"/>
    </row>
    <row r="3184" spans="1:25" ht="30" customHeight="1" x14ac:dyDescent="0.35">
      <c r="A3184" s="588" t="s">
        <v>298</v>
      </c>
      <c r="B3184" s="1038" t="s">
        <v>321</v>
      </c>
      <c r="C3184" s="1039"/>
      <c r="D3184" s="1040"/>
      <c r="E3184" s="23" t="s">
        <v>290</v>
      </c>
      <c r="F3184" s="23" t="s">
        <v>322</v>
      </c>
      <c r="G3184" s="1034" t="s">
        <v>323</v>
      </c>
      <c r="H3184" s="1035"/>
      <c r="I3184" s="509" t="s">
        <v>299</v>
      </c>
      <c r="J3184" s="509"/>
      <c r="K3184" s="1012" t="s">
        <v>292</v>
      </c>
      <c r="L3184" s="1013"/>
      <c r="M3184" s="173"/>
      <c r="N3184" s="68"/>
      <c r="O3184" s="203"/>
      <c r="P3184" s="218"/>
      <c r="Q3184" s="68"/>
      <c r="R3184" s="217"/>
    </row>
    <row r="3185" spans="1:25" ht="30" customHeight="1" x14ac:dyDescent="0.35">
      <c r="A3185" s="717" t="s">
        <v>1476</v>
      </c>
      <c r="B3185" s="1082" t="s">
        <v>3091</v>
      </c>
      <c r="C3185" s="1083"/>
      <c r="D3185" s="1093"/>
      <c r="E3185" s="453">
        <f>178-2.67</f>
        <v>175.33</v>
      </c>
      <c r="F3185" s="3" t="s">
        <v>8</v>
      </c>
      <c r="G3185" s="496"/>
      <c r="H3185" s="498"/>
      <c r="I3185" s="446">
        <v>1.05</v>
      </c>
      <c r="J3185" s="446"/>
      <c r="K3185" s="453">
        <f>+E3185*I3185</f>
        <v>184.09650000000002</v>
      </c>
      <c r="L3185" s="243" t="s">
        <v>8</v>
      </c>
      <c r="M3185" s="173"/>
      <c r="N3185" s="68"/>
      <c r="O3185" s="203"/>
      <c r="P3185" s="218"/>
      <c r="Q3185" s="68"/>
      <c r="R3185" s="217"/>
    </row>
    <row r="3186" spans="1:25" ht="30" customHeight="1" x14ac:dyDescent="0.35">
      <c r="A3186" s="832" t="s">
        <v>397</v>
      </c>
      <c r="B3186" s="1031" t="s">
        <v>1380</v>
      </c>
      <c r="C3186" s="1032"/>
      <c r="D3186" s="1033"/>
      <c r="E3186" s="453">
        <v>4.8600000000000003</v>
      </c>
      <c r="F3186" s="3" t="s">
        <v>8</v>
      </c>
      <c r="G3186" s="496"/>
      <c r="H3186" s="498"/>
      <c r="I3186" s="446">
        <v>1.05</v>
      </c>
      <c r="J3186" s="446"/>
      <c r="K3186" s="453">
        <f>+E3186*I3186</f>
        <v>5.1030000000000006</v>
      </c>
      <c r="L3186" s="243" t="s">
        <v>8</v>
      </c>
      <c r="M3186" s="173"/>
      <c r="N3186" s="419"/>
      <c r="O3186" s="203"/>
      <c r="P3186" s="218"/>
      <c r="Q3186" s="68"/>
      <c r="R3186" s="217"/>
    </row>
    <row r="3187" spans="1:25" ht="30" customHeight="1" x14ac:dyDescent="0.35">
      <c r="A3187" s="241"/>
      <c r="B3187" s="1102"/>
      <c r="C3187" s="1102"/>
      <c r="D3187" s="1102"/>
      <c r="E3187" s="453"/>
      <c r="F3187" s="446"/>
      <c r="G3187" s="454"/>
      <c r="H3187" s="446"/>
      <c r="I3187" s="446"/>
      <c r="J3187" s="446" t="s">
        <v>335</v>
      </c>
      <c r="K3187" s="453">
        <f>SUM(K3185:K3186)</f>
        <v>189.19950000000003</v>
      </c>
      <c r="L3187" s="243" t="s">
        <v>8</v>
      </c>
      <c r="M3187" s="173"/>
      <c r="N3187" s="419"/>
      <c r="O3187" s="203"/>
      <c r="P3187" s="218"/>
      <c r="Q3187" s="68"/>
      <c r="R3187" s="217"/>
    </row>
    <row r="3188" spans="1:25" ht="30" customHeight="1" x14ac:dyDescent="0.35">
      <c r="A3188" s="241"/>
      <c r="B3188" s="506"/>
      <c r="C3188" s="506"/>
      <c r="D3188" s="506"/>
      <c r="E3188" s="453"/>
      <c r="F3188" s="1029" t="s">
        <v>302</v>
      </c>
      <c r="G3188" s="1058" t="s">
        <v>303</v>
      </c>
      <c r="H3188" s="1058"/>
      <c r="I3188" s="1058"/>
      <c r="J3188" s="1058"/>
      <c r="K3188" s="612">
        <v>1.07</v>
      </c>
      <c r="L3188" s="243"/>
      <c r="M3188" s="173"/>
      <c r="N3188" s="68"/>
      <c r="O3188" s="203"/>
      <c r="P3188" s="218"/>
      <c r="Q3188" s="68"/>
      <c r="R3188" s="217"/>
    </row>
    <row r="3189" spans="1:25" ht="30" customHeight="1" x14ac:dyDescent="0.35">
      <c r="A3189" s="241"/>
      <c r="B3189" s="506"/>
      <c r="C3189" s="506"/>
      <c r="D3189" s="506"/>
      <c r="E3189" s="453"/>
      <c r="F3189" s="1030"/>
      <c r="G3189" s="1073" t="s">
        <v>2374</v>
      </c>
      <c r="H3189" s="1073"/>
      <c r="I3189" s="1073"/>
      <c r="J3189" s="1073"/>
      <c r="K3189" s="612">
        <v>1.08</v>
      </c>
      <c r="L3189" s="243"/>
      <c r="M3189" s="173"/>
      <c r="N3189" s="68"/>
      <c r="O3189" s="203"/>
      <c r="P3189" s="218"/>
      <c r="Q3189" s="68"/>
      <c r="R3189" s="217"/>
    </row>
    <row r="3190" spans="1:25" ht="30" customHeight="1" x14ac:dyDescent="0.35">
      <c r="A3190" s="241"/>
      <c r="B3190" s="446"/>
      <c r="C3190" s="458"/>
      <c r="D3190" s="458"/>
      <c r="E3190" s="458"/>
      <c r="F3190" s="458"/>
      <c r="G3190" s="458"/>
      <c r="H3190" s="458"/>
      <c r="I3190" s="458"/>
      <c r="J3190" s="446" t="s">
        <v>2356</v>
      </c>
      <c r="K3190" s="591">
        <f>+K3187*K3188/K3189</f>
        <v>187.44765277777779</v>
      </c>
      <c r="L3190" s="243" t="s">
        <v>8</v>
      </c>
      <c r="M3190" s="173"/>
      <c r="N3190" s="208"/>
      <c r="O3190" s="203"/>
      <c r="P3190" s="218"/>
      <c r="Q3190" s="68"/>
      <c r="R3190" s="217"/>
    </row>
    <row r="3191" spans="1:25" ht="30" customHeight="1" thickBot="1" x14ac:dyDescent="0.4">
      <c r="A3191" s="241"/>
      <c r="B3191" s="446"/>
      <c r="C3191" s="458"/>
      <c r="D3191" s="458"/>
      <c r="E3191" s="458"/>
      <c r="F3191" s="458"/>
      <c r="G3191" s="592" t="s">
        <v>2358</v>
      </c>
      <c r="H3191" s="458"/>
      <c r="I3191" s="458"/>
      <c r="J3191" s="583">
        <f>VLOOKUP(B3183,'Mil Cost Premiums for PUCs'!$A$4:$R$272,18,FALSE)</f>
        <v>1.3148549708569053</v>
      </c>
      <c r="K3191" s="591">
        <f>+K3190*J3191</f>
        <v>246.4664780303203</v>
      </c>
      <c r="L3191" s="243" t="s">
        <v>8</v>
      </c>
      <c r="M3191" s="173"/>
      <c r="N3191" s="208"/>
      <c r="O3191" s="203"/>
      <c r="P3191" s="218"/>
      <c r="Q3191" s="68"/>
      <c r="R3191" s="217"/>
      <c r="T3191" s="208"/>
      <c r="U3191" s="208"/>
      <c r="V3191" s="208"/>
      <c r="W3191" s="208"/>
      <c r="X3191" s="208"/>
    </row>
    <row r="3192" spans="1:25" ht="30" customHeight="1" thickBot="1" x14ac:dyDescent="0.4">
      <c r="A3192" s="481"/>
      <c r="B3192" s="482"/>
      <c r="C3192" s="482"/>
      <c r="D3192" s="482"/>
      <c r="E3192" s="482"/>
      <c r="F3192" s="482"/>
      <c r="G3192" s="482"/>
      <c r="H3192" s="482"/>
      <c r="I3192" s="482"/>
      <c r="J3192" s="482"/>
      <c r="K3192" s="482"/>
      <c r="L3192" s="483"/>
      <c r="M3192" s="173"/>
      <c r="N3192" s="68"/>
      <c r="O3192" s="203"/>
      <c r="P3192" s="218"/>
      <c r="Q3192" s="68"/>
      <c r="R3192" s="217"/>
      <c r="Y3192" s="208"/>
    </row>
    <row r="3193" spans="1:25" ht="30" customHeight="1" x14ac:dyDescent="0.35">
      <c r="A3193" s="465" t="s">
        <v>278</v>
      </c>
      <c r="B3193" s="539">
        <v>7348</v>
      </c>
      <c r="C3193" s="1017" t="s">
        <v>1477</v>
      </c>
      <c r="D3193" s="1018"/>
      <c r="E3193" s="541" t="s">
        <v>280</v>
      </c>
      <c r="F3193" s="542" t="s">
        <v>8</v>
      </c>
      <c r="G3193" s="560" t="s">
        <v>1478</v>
      </c>
      <c r="H3193" s="555">
        <v>1803</v>
      </c>
      <c r="I3193" s="541" t="s">
        <v>281</v>
      </c>
      <c r="J3193" s="1019" t="s">
        <v>2371</v>
      </c>
      <c r="K3193" s="1019"/>
      <c r="L3193" s="1020"/>
      <c r="M3193" s="173"/>
      <c r="N3193" s="425"/>
      <c r="O3193" s="208"/>
      <c r="P3193" s="218"/>
      <c r="Q3193" s="68"/>
      <c r="R3193" s="217"/>
      <c r="S3193" s="208"/>
    </row>
    <row r="3194" spans="1:25" ht="30" customHeight="1" x14ac:dyDescent="0.35">
      <c r="A3194" s="588" t="s">
        <v>298</v>
      </c>
      <c r="B3194" s="1038" t="s">
        <v>321</v>
      </c>
      <c r="C3194" s="1039"/>
      <c r="D3194" s="1040"/>
      <c r="E3194" s="23" t="s">
        <v>290</v>
      </c>
      <c r="F3194" s="23" t="s">
        <v>322</v>
      </c>
      <c r="G3194" s="1034" t="s">
        <v>323</v>
      </c>
      <c r="H3194" s="1035"/>
      <c r="I3194" s="509" t="s">
        <v>299</v>
      </c>
      <c r="J3194" s="509"/>
      <c r="K3194" s="1012" t="s">
        <v>292</v>
      </c>
      <c r="L3194" s="1013"/>
      <c r="M3194" s="173"/>
      <c r="N3194" s="425"/>
      <c r="O3194" s="203"/>
      <c r="P3194" s="218"/>
      <c r="Q3194" s="68"/>
      <c r="R3194" s="217"/>
    </row>
    <row r="3195" spans="1:25" s="208" customFormat="1" ht="30" customHeight="1" x14ac:dyDescent="0.35">
      <c r="A3195" s="717" t="s">
        <v>1479</v>
      </c>
      <c r="B3195" s="1031" t="s">
        <v>1480</v>
      </c>
      <c r="C3195" s="1032"/>
      <c r="D3195" s="1033"/>
      <c r="E3195" s="453">
        <v>78</v>
      </c>
      <c r="F3195" s="3" t="s">
        <v>8</v>
      </c>
      <c r="G3195" s="496"/>
      <c r="H3195" s="498"/>
      <c r="I3195" s="446">
        <v>1.05</v>
      </c>
      <c r="J3195" s="446"/>
      <c r="K3195" s="453">
        <f>+E3195*I3195</f>
        <v>81.900000000000006</v>
      </c>
      <c r="L3195" s="243" t="s">
        <v>8</v>
      </c>
      <c r="M3195" s="173"/>
      <c r="N3195" s="68"/>
      <c r="O3195" s="203"/>
      <c r="P3195" s="218"/>
      <c r="Q3195" s="68"/>
      <c r="R3195" s="217"/>
      <c r="S3195" s="203"/>
      <c r="T3195" s="203"/>
      <c r="U3195" s="203"/>
      <c r="V3195" s="203"/>
      <c r="W3195" s="203"/>
      <c r="X3195" s="203"/>
      <c r="Y3195" s="203"/>
    </row>
    <row r="3196" spans="1:25" ht="30" customHeight="1" thickBot="1" x14ac:dyDescent="0.4">
      <c r="A3196" s="241"/>
      <c r="B3196" s="506"/>
      <c r="C3196" s="506"/>
      <c r="D3196" s="506"/>
      <c r="E3196" s="453"/>
      <c r="F3196" s="1029" t="s">
        <v>302</v>
      </c>
      <c r="G3196" s="1058" t="s">
        <v>303</v>
      </c>
      <c r="H3196" s="1058"/>
      <c r="I3196" s="1058"/>
      <c r="J3196" s="1058"/>
      <c r="K3196" s="612">
        <v>1.07</v>
      </c>
      <c r="L3196" s="243"/>
      <c r="M3196" s="173"/>
      <c r="N3196" s="68"/>
      <c r="O3196" s="203"/>
      <c r="P3196" s="218"/>
      <c r="Q3196" s="68"/>
      <c r="R3196" s="217"/>
    </row>
    <row r="3197" spans="1:25" ht="30" customHeight="1" x14ac:dyDescent="0.35">
      <c r="A3197" s="241"/>
      <c r="B3197" s="506"/>
      <c r="C3197" s="506"/>
      <c r="D3197" s="506"/>
      <c r="E3197" s="453"/>
      <c r="F3197" s="1030"/>
      <c r="G3197" s="1073" t="s">
        <v>2374</v>
      </c>
      <c r="H3197" s="1073"/>
      <c r="I3197" s="1073"/>
      <c r="J3197" s="1073"/>
      <c r="K3197" s="612">
        <v>1.08</v>
      </c>
      <c r="L3197" s="243"/>
      <c r="M3197" s="418"/>
      <c r="N3197" s="68"/>
      <c r="T3197" s="27"/>
      <c r="U3197" s="171"/>
    </row>
    <row r="3198" spans="1:25" ht="30" customHeight="1" x14ac:dyDescent="0.35">
      <c r="A3198" s="241"/>
      <c r="B3198" s="446"/>
      <c r="C3198" s="458"/>
      <c r="D3198" s="458"/>
      <c r="E3198" s="458"/>
      <c r="F3198" s="458"/>
      <c r="G3198" s="458"/>
      <c r="H3198" s="458"/>
      <c r="I3198" s="458"/>
      <c r="J3198" s="446" t="s">
        <v>2356</v>
      </c>
      <c r="K3198" s="591">
        <f>+K3195*K3196/K3197</f>
        <v>81.141666666666666</v>
      </c>
      <c r="L3198" s="243" t="s">
        <v>8</v>
      </c>
      <c r="M3198" s="173"/>
      <c r="N3198" s="68"/>
      <c r="U3198" s="171"/>
    </row>
    <row r="3199" spans="1:25" ht="30" customHeight="1" thickBot="1" x14ac:dyDescent="0.4">
      <c r="A3199" s="241"/>
      <c r="B3199" s="446"/>
      <c r="C3199" s="458"/>
      <c r="D3199" s="458"/>
      <c r="E3199" s="458"/>
      <c r="F3199" s="458"/>
      <c r="G3199" s="592" t="s">
        <v>2358</v>
      </c>
      <c r="H3199" s="458"/>
      <c r="I3199" s="458"/>
      <c r="J3199" s="583">
        <f>VLOOKUP(B3193,'Mil Cost Premiums for PUCs'!$A$4:$R$272,18,FALSE)</f>
        <v>1.1080418597902797</v>
      </c>
      <c r="K3199" s="591">
        <f>+K3198*J3199</f>
        <v>89.908363239816282</v>
      </c>
      <c r="L3199" s="243" t="s">
        <v>8</v>
      </c>
      <c r="M3199" s="173"/>
      <c r="N3199" s="68"/>
      <c r="O3199" s="207"/>
      <c r="P3199" s="27"/>
      <c r="Q3199" s="27"/>
      <c r="R3199" s="27"/>
      <c r="S3199" s="27"/>
      <c r="U3199" s="27"/>
      <c r="V3199" s="27"/>
      <c r="W3199" s="27"/>
      <c r="X3199" s="27"/>
    </row>
    <row r="3200" spans="1:25" ht="30" customHeight="1" thickBot="1" x14ac:dyDescent="0.4">
      <c r="A3200" s="481"/>
      <c r="B3200" s="482"/>
      <c r="C3200" s="482"/>
      <c r="D3200" s="482"/>
      <c r="E3200" s="482"/>
      <c r="F3200" s="482"/>
      <c r="G3200" s="482"/>
      <c r="H3200" s="482"/>
      <c r="I3200" s="482"/>
      <c r="J3200" s="482"/>
      <c r="K3200" s="482"/>
      <c r="L3200" s="483"/>
      <c r="M3200" s="173"/>
      <c r="N3200" s="68"/>
      <c r="T3200" s="213"/>
      <c r="U3200" s="208"/>
      <c r="V3200" s="208"/>
      <c r="W3200" s="208"/>
      <c r="X3200" s="208"/>
      <c r="Y3200" s="27"/>
    </row>
    <row r="3201" spans="1:25" ht="30" customHeight="1" x14ac:dyDescent="0.35">
      <c r="A3201" s="465" t="s">
        <v>278</v>
      </c>
      <c r="B3201" s="539">
        <v>7349</v>
      </c>
      <c r="C3201" s="1231" t="s">
        <v>1481</v>
      </c>
      <c r="D3201" s="1327"/>
      <c r="E3201" s="541" t="s">
        <v>280</v>
      </c>
      <c r="F3201" s="542" t="s">
        <v>8</v>
      </c>
      <c r="G3201" s="543" t="s">
        <v>285</v>
      </c>
      <c r="H3201" s="555">
        <v>60755</v>
      </c>
      <c r="I3201" s="541" t="s">
        <v>281</v>
      </c>
      <c r="J3201" s="1019" t="s">
        <v>2371</v>
      </c>
      <c r="K3201" s="1019"/>
      <c r="L3201" s="1020"/>
      <c r="M3201" s="173"/>
      <c r="N3201" s="68"/>
      <c r="T3201" s="51"/>
      <c r="Y3201" s="208"/>
    </row>
    <row r="3202" spans="1:25" ht="30" customHeight="1" x14ac:dyDescent="0.35">
      <c r="A3202" s="588" t="s">
        <v>298</v>
      </c>
      <c r="B3202" s="1038" t="s">
        <v>321</v>
      </c>
      <c r="C3202" s="1039"/>
      <c r="D3202" s="1040"/>
      <c r="E3202" s="23" t="s">
        <v>290</v>
      </c>
      <c r="F3202" s="23" t="s">
        <v>322</v>
      </c>
      <c r="G3202" s="1034" t="s">
        <v>323</v>
      </c>
      <c r="H3202" s="1035"/>
      <c r="I3202" s="509" t="s">
        <v>299</v>
      </c>
      <c r="J3202" s="509"/>
      <c r="K3202" s="1012" t="s">
        <v>292</v>
      </c>
      <c r="L3202" s="1013"/>
      <c r="M3202" s="173"/>
      <c r="N3202" s="68"/>
      <c r="P3202" s="75"/>
      <c r="Q3202" s="75"/>
      <c r="R3202" s="75"/>
      <c r="S3202" s="213"/>
    </row>
    <row r="3203" spans="1:25" s="27" customFormat="1" ht="30" customHeight="1" x14ac:dyDescent="0.35">
      <c r="A3203" s="717" t="s">
        <v>1482</v>
      </c>
      <c r="B3203" s="1031" t="s">
        <v>1483</v>
      </c>
      <c r="C3203" s="1032"/>
      <c r="D3203" s="1033"/>
      <c r="E3203" s="453">
        <v>91.5</v>
      </c>
      <c r="F3203" s="3" t="s">
        <v>8</v>
      </c>
      <c r="G3203" s="283">
        <f>+E3203</f>
        <v>91.5</v>
      </c>
      <c r="H3203" s="498" t="s">
        <v>1403</v>
      </c>
      <c r="I3203" s="446">
        <v>1.04</v>
      </c>
      <c r="J3203" s="446"/>
      <c r="K3203" s="453">
        <f t="shared" ref="K3203:K3211" si="76">+G3203*I3203</f>
        <v>95.16</v>
      </c>
      <c r="L3203" s="243" t="s">
        <v>8</v>
      </c>
      <c r="M3203" s="173"/>
      <c r="N3203" s="68"/>
      <c r="O3203" s="205"/>
      <c r="P3203" s="171"/>
      <c r="Q3203" s="171"/>
      <c r="R3203" s="171"/>
      <c r="S3203" s="51"/>
      <c r="T3203" s="203"/>
      <c r="U3203" s="203"/>
      <c r="V3203" s="203"/>
      <c r="W3203" s="203"/>
      <c r="X3203" s="203"/>
      <c r="Y3203" s="203"/>
    </row>
    <row r="3204" spans="1:25" s="208" customFormat="1" ht="30" customHeight="1" x14ac:dyDescent="0.35">
      <c r="A3204" s="717" t="s">
        <v>1446</v>
      </c>
      <c r="B3204" s="1082" t="s">
        <v>3093</v>
      </c>
      <c r="C3204" s="1083"/>
      <c r="D3204" s="1093"/>
      <c r="E3204" s="453">
        <f>55250+(7800*2)</f>
        <v>70850</v>
      </c>
      <c r="F3204" s="3" t="s">
        <v>10</v>
      </c>
      <c r="G3204" s="283">
        <f>E3204/H3201</f>
        <v>1.1661591638548268</v>
      </c>
      <c r="H3204" s="498" t="s">
        <v>1403</v>
      </c>
      <c r="I3204" s="446">
        <v>1.04</v>
      </c>
      <c r="J3204" s="446"/>
      <c r="K3204" s="453">
        <f>G3204*I3204</f>
        <v>1.2128055304090199</v>
      </c>
      <c r="L3204" s="243" t="s">
        <v>8</v>
      </c>
      <c r="M3204" s="173"/>
      <c r="N3204" s="203"/>
      <c r="O3204" s="203"/>
      <c r="P3204" s="218"/>
      <c r="Q3204" s="68"/>
      <c r="R3204" s="217"/>
      <c r="S3204" s="203"/>
      <c r="T3204" s="203"/>
      <c r="U3204" s="203"/>
      <c r="V3204" s="203"/>
      <c r="W3204" s="203"/>
      <c r="X3204" s="203"/>
      <c r="Y3204" s="203"/>
    </row>
    <row r="3205" spans="1:25" ht="30" customHeight="1" x14ac:dyDescent="0.35">
      <c r="A3205" s="832" t="s">
        <v>982</v>
      </c>
      <c r="B3205" s="1031" t="s">
        <v>3086</v>
      </c>
      <c r="C3205" s="1032"/>
      <c r="D3205" s="1033"/>
      <c r="E3205" s="40">
        <v>24.7</v>
      </c>
      <c r="F3205" s="3" t="s">
        <v>8</v>
      </c>
      <c r="G3205" s="496"/>
      <c r="H3205" s="498"/>
      <c r="I3205" s="446">
        <v>1.03</v>
      </c>
      <c r="J3205" s="446"/>
      <c r="K3205" s="453">
        <f>+E3205*I3205</f>
        <v>25.440999999999999</v>
      </c>
      <c r="L3205" s="243" t="s">
        <v>8</v>
      </c>
      <c r="M3205" s="173"/>
      <c r="N3205" s="208"/>
      <c r="O3205" s="203"/>
      <c r="P3205" s="218"/>
      <c r="Q3205" s="68"/>
      <c r="R3205" s="217"/>
      <c r="T3205" s="208"/>
      <c r="U3205" s="208"/>
      <c r="V3205" s="208"/>
      <c r="W3205" s="208"/>
      <c r="X3205" s="208"/>
    </row>
    <row r="3206" spans="1:25" ht="30" customHeight="1" x14ac:dyDescent="0.35">
      <c r="A3206" s="832" t="s">
        <v>982</v>
      </c>
      <c r="B3206" s="1082" t="s">
        <v>3085</v>
      </c>
      <c r="C3206" s="1083"/>
      <c r="D3206" s="1093"/>
      <c r="E3206" s="40">
        <f>+(13.25+18.1)/2</f>
        <v>15.675000000000001</v>
      </c>
      <c r="F3206" s="3" t="s">
        <v>8</v>
      </c>
      <c r="G3206" s="496"/>
      <c r="H3206" s="498"/>
      <c r="I3206" s="446">
        <v>1.03</v>
      </c>
      <c r="J3206" s="446"/>
      <c r="K3206" s="453">
        <f>+E3206*I3206</f>
        <v>16.145250000000001</v>
      </c>
      <c r="L3206" s="243" t="s">
        <v>8</v>
      </c>
      <c r="M3206" s="173"/>
      <c r="N3206" s="214"/>
      <c r="O3206" s="203"/>
      <c r="P3206" s="218"/>
      <c r="Q3206" s="68"/>
      <c r="R3206" s="217"/>
      <c r="Y3206" s="208"/>
    </row>
    <row r="3207" spans="1:25" ht="30" customHeight="1" x14ac:dyDescent="0.35">
      <c r="A3207" s="717" t="s">
        <v>377</v>
      </c>
      <c r="B3207" s="1031" t="s">
        <v>1484</v>
      </c>
      <c r="C3207" s="1032"/>
      <c r="D3207" s="1033"/>
      <c r="E3207" s="453">
        <f>(20.3+31.5)/2</f>
        <v>25.9</v>
      </c>
      <c r="F3207" s="3" t="s">
        <v>8</v>
      </c>
      <c r="G3207" s="282">
        <f>8*81*E3207/H3201</f>
        <v>0.27624393054069624</v>
      </c>
      <c r="H3207" s="498" t="s">
        <v>1403</v>
      </c>
      <c r="I3207" s="446">
        <v>1.03</v>
      </c>
      <c r="J3207" s="446"/>
      <c r="K3207" s="453">
        <f t="shared" si="76"/>
        <v>0.28453124845691713</v>
      </c>
      <c r="L3207" s="243" t="s">
        <v>8</v>
      </c>
      <c r="M3207" s="173"/>
      <c r="N3207" s="214"/>
      <c r="O3207" s="208"/>
      <c r="P3207" s="218"/>
      <c r="Q3207" s="68"/>
      <c r="R3207" s="217"/>
      <c r="S3207" s="208"/>
    </row>
    <row r="3208" spans="1:25" ht="30" customHeight="1" x14ac:dyDescent="0.35">
      <c r="A3208" s="717" t="s">
        <v>377</v>
      </c>
      <c r="B3208" s="1031" t="s">
        <v>1485</v>
      </c>
      <c r="C3208" s="1032"/>
      <c r="D3208" s="1033"/>
      <c r="E3208" s="453">
        <f>(1710+2420)/2</f>
        <v>2065</v>
      </c>
      <c r="F3208" s="3" t="s">
        <v>10</v>
      </c>
      <c r="G3208" s="282">
        <f>8*E3208/H3201</f>
        <v>0.27191177680849316</v>
      </c>
      <c r="H3208" s="498" t="s">
        <v>1403</v>
      </c>
      <c r="I3208" s="446">
        <v>1.03</v>
      </c>
      <c r="J3208" s="446"/>
      <c r="K3208" s="453">
        <f t="shared" si="76"/>
        <v>0.28006913011274798</v>
      </c>
      <c r="L3208" s="243" t="s">
        <v>8</v>
      </c>
      <c r="M3208" s="173"/>
      <c r="O3208" s="203"/>
      <c r="P3208" s="218"/>
      <c r="Q3208" s="68"/>
      <c r="R3208" s="217"/>
    </row>
    <row r="3209" spans="1:25" s="208" customFormat="1" ht="30" customHeight="1" x14ac:dyDescent="0.35">
      <c r="A3209" s="717" t="s">
        <v>380</v>
      </c>
      <c r="B3209" s="1031" t="s">
        <v>1486</v>
      </c>
      <c r="C3209" s="1032"/>
      <c r="D3209" s="1033"/>
      <c r="E3209" s="453">
        <f>+(34.5+82)/2</f>
        <v>58.25</v>
      </c>
      <c r="F3209" s="3" t="s">
        <v>6</v>
      </c>
      <c r="G3209" s="282">
        <f>+E3209*10*8/H3201</f>
        <v>7.6701506048884871E-2</v>
      </c>
      <c r="H3209" s="498" t="s">
        <v>1403</v>
      </c>
      <c r="I3209" s="446">
        <v>1.03</v>
      </c>
      <c r="J3209" s="446"/>
      <c r="K3209" s="453">
        <f t="shared" si="76"/>
        <v>7.9002551230351423E-2</v>
      </c>
      <c r="L3209" s="243" t="s">
        <v>8</v>
      </c>
      <c r="M3209" s="173"/>
      <c r="N3209" s="203"/>
      <c r="O3209" s="203"/>
      <c r="P3209" s="218"/>
      <c r="Q3209" s="68"/>
      <c r="R3209" s="217"/>
      <c r="S3209" s="203"/>
      <c r="T3209" s="203"/>
      <c r="U3209" s="203"/>
      <c r="V3209" s="203"/>
      <c r="W3209" s="203"/>
      <c r="X3209" s="203"/>
      <c r="Y3209" s="203"/>
    </row>
    <row r="3210" spans="1:25" ht="30" customHeight="1" x14ac:dyDescent="0.35">
      <c r="A3210" s="717" t="s">
        <v>380</v>
      </c>
      <c r="B3210" s="1031" t="s">
        <v>3092</v>
      </c>
      <c r="C3210" s="1032"/>
      <c r="D3210" s="1033"/>
      <c r="E3210" s="453">
        <f>+(6450+12300)/2</f>
        <v>9375</v>
      </c>
      <c r="F3210" s="3" t="s">
        <v>10</v>
      </c>
      <c r="G3210" s="282">
        <f>+E3210*8/H3201</f>
        <v>1.2344662990700355</v>
      </c>
      <c r="H3210" s="498" t="s">
        <v>1403</v>
      </c>
      <c r="I3210" s="446">
        <v>1.03</v>
      </c>
      <c r="J3210" s="446"/>
      <c r="K3210" s="453">
        <f t="shared" si="76"/>
        <v>1.2715002880421367</v>
      </c>
      <c r="L3210" s="243" t="s">
        <v>8</v>
      </c>
      <c r="M3210" s="173"/>
      <c r="N3210" s="214"/>
      <c r="O3210" s="203"/>
      <c r="P3210" s="218"/>
      <c r="Q3210" s="68"/>
      <c r="R3210" s="217"/>
    </row>
    <row r="3211" spans="1:25" ht="30" customHeight="1" x14ac:dyDescent="0.35">
      <c r="A3211" s="717" t="s">
        <v>1274</v>
      </c>
      <c r="B3211" s="1031" t="s">
        <v>1487</v>
      </c>
      <c r="C3211" s="1032"/>
      <c r="D3211" s="1033"/>
      <c r="E3211" s="453">
        <v>2.83</v>
      </c>
      <c r="F3211" s="3" t="s">
        <v>8</v>
      </c>
      <c r="G3211" s="282">
        <f>+E3211</f>
        <v>2.83</v>
      </c>
      <c r="H3211" s="498" t="s">
        <v>1403</v>
      </c>
      <c r="I3211" s="446">
        <v>1.04</v>
      </c>
      <c r="J3211" s="446"/>
      <c r="K3211" s="453">
        <f t="shared" si="76"/>
        <v>2.9432</v>
      </c>
      <c r="L3211" s="243" t="s">
        <v>8</v>
      </c>
      <c r="M3211" s="173"/>
      <c r="N3211" s="421"/>
      <c r="O3211" s="203"/>
      <c r="P3211" s="218"/>
      <c r="Q3211" s="68"/>
      <c r="R3211" s="217"/>
    </row>
    <row r="3212" spans="1:25" ht="30" customHeight="1" x14ac:dyDescent="0.35">
      <c r="A3212" s="717"/>
      <c r="B3212" s="1031"/>
      <c r="C3212" s="1032"/>
      <c r="D3212" s="1033"/>
      <c r="E3212" s="453"/>
      <c r="F3212" s="3"/>
      <c r="G3212" s="496"/>
      <c r="H3212" s="498"/>
      <c r="I3212" s="446"/>
      <c r="J3212" s="446" t="s">
        <v>335</v>
      </c>
      <c r="K3212" s="453">
        <f>SUM(K3203:K3211)</f>
        <v>142.81735874825117</v>
      </c>
      <c r="L3212" s="243"/>
      <c r="M3212" s="173"/>
      <c r="O3212" s="203"/>
      <c r="P3212" s="218"/>
      <c r="Q3212" s="68"/>
      <c r="R3212" s="217"/>
    </row>
    <row r="3213" spans="1:25" ht="30" customHeight="1" x14ac:dyDescent="0.35">
      <c r="A3213" s="241"/>
      <c r="B3213" s="506"/>
      <c r="C3213" s="506"/>
      <c r="D3213" s="506"/>
      <c r="E3213" s="453"/>
      <c r="F3213" s="1029" t="s">
        <v>302</v>
      </c>
      <c r="G3213" s="1058" t="s">
        <v>303</v>
      </c>
      <c r="H3213" s="1058"/>
      <c r="I3213" s="1058"/>
      <c r="J3213" s="1058"/>
      <c r="K3213" s="612">
        <v>1.07</v>
      </c>
      <c r="L3213" s="243"/>
      <c r="M3213" s="173"/>
      <c r="O3213" s="203"/>
      <c r="P3213" s="218"/>
      <c r="Q3213" s="68"/>
      <c r="R3213" s="217"/>
    </row>
    <row r="3214" spans="1:25" ht="30" customHeight="1" x14ac:dyDescent="0.35">
      <c r="A3214" s="241"/>
      <c r="B3214" s="506"/>
      <c r="C3214" s="506"/>
      <c r="D3214" s="506"/>
      <c r="E3214" s="453"/>
      <c r="F3214" s="1030"/>
      <c r="G3214" s="1073" t="s">
        <v>2374</v>
      </c>
      <c r="H3214" s="1073"/>
      <c r="I3214" s="1073"/>
      <c r="J3214" s="1073"/>
      <c r="K3214" s="612">
        <v>1.08</v>
      </c>
      <c r="L3214" s="243"/>
      <c r="M3214" s="173"/>
      <c r="O3214" s="203"/>
      <c r="P3214" s="218"/>
      <c r="Q3214" s="68"/>
      <c r="R3214" s="217"/>
    </row>
    <row r="3215" spans="1:25" ht="30" customHeight="1" x14ac:dyDescent="0.35">
      <c r="A3215" s="241"/>
      <c r="B3215" s="446"/>
      <c r="C3215" s="458"/>
      <c r="D3215" s="458"/>
      <c r="E3215" s="458"/>
      <c r="F3215" s="458"/>
      <c r="G3215" s="458"/>
      <c r="H3215" s="458"/>
      <c r="I3215" s="458"/>
      <c r="J3215" s="446" t="s">
        <v>2356</v>
      </c>
      <c r="K3215" s="591">
        <f>+K3212*K3213/K3214</f>
        <v>141.49497579687849</v>
      </c>
      <c r="L3215" s="243" t="s">
        <v>8</v>
      </c>
      <c r="M3215" s="173"/>
      <c r="N3215" s="13"/>
      <c r="O3215" s="203"/>
      <c r="P3215" s="218"/>
      <c r="Q3215" s="68"/>
      <c r="R3215" s="217"/>
    </row>
    <row r="3216" spans="1:25" ht="30" customHeight="1" x14ac:dyDescent="0.35">
      <c r="A3216" s="603"/>
      <c r="B3216" s="458"/>
      <c r="C3216" s="458"/>
      <c r="D3216" s="458"/>
      <c r="E3216" s="458"/>
      <c r="F3216" s="458"/>
      <c r="G3216" s="592" t="s">
        <v>2358</v>
      </c>
      <c r="H3216" s="458"/>
      <c r="I3216" s="458"/>
      <c r="J3216" s="583">
        <f>VLOOKUP(B3201,'Mil Cost Premiums for PUCs'!$A$4:$R$272,18,FALSE)</f>
        <v>1.2981950150858137</v>
      </c>
      <c r="K3216" s="591">
        <f>+K3215*J3216</f>
        <v>183.68807223919552</v>
      </c>
      <c r="L3216" s="243" t="s">
        <v>8</v>
      </c>
      <c r="M3216" s="173"/>
      <c r="N3216" s="68"/>
      <c r="O3216" s="203"/>
      <c r="P3216" s="218"/>
      <c r="Q3216" s="68"/>
      <c r="R3216" s="217"/>
    </row>
    <row r="3217" spans="1:25" ht="60" customHeight="1" x14ac:dyDescent="0.35">
      <c r="A3217" s="1064" t="s">
        <v>305</v>
      </c>
      <c r="B3217" s="1065"/>
      <c r="C3217" s="1065"/>
      <c r="D3217" s="1065"/>
      <c r="E3217" s="1065"/>
      <c r="F3217" s="1065"/>
      <c r="G3217" s="1065"/>
      <c r="H3217" s="1065"/>
      <c r="I3217" s="1065"/>
      <c r="J3217" s="1065"/>
      <c r="K3217" s="1065"/>
      <c r="L3217" s="1066"/>
      <c r="M3217" s="173"/>
      <c r="N3217" s="149"/>
      <c r="O3217" s="203"/>
      <c r="P3217" s="218"/>
      <c r="Q3217" s="68"/>
      <c r="R3217" s="217"/>
    </row>
    <row r="3218" spans="1:25" ht="60" customHeight="1" x14ac:dyDescent="0.35">
      <c r="A3218" s="1077" t="s">
        <v>306</v>
      </c>
      <c r="B3218" s="1042"/>
      <c r="C3218" s="1043"/>
      <c r="D3218" s="1067" t="s">
        <v>1488</v>
      </c>
      <c r="E3218" s="1065"/>
      <c r="F3218" s="1065"/>
      <c r="G3218" s="1065"/>
      <c r="H3218" s="1065"/>
      <c r="I3218" s="1065"/>
      <c r="J3218" s="1065"/>
      <c r="K3218" s="1065"/>
      <c r="L3218" s="1066"/>
      <c r="M3218" s="173"/>
      <c r="N3218" s="149"/>
      <c r="O3218" s="171"/>
      <c r="P3218" s="216"/>
      <c r="Q3218" s="419"/>
      <c r="R3218" s="219"/>
    </row>
    <row r="3219" spans="1:25" ht="30" customHeight="1" x14ac:dyDescent="0.35">
      <c r="A3219" s="1077" t="s">
        <v>307</v>
      </c>
      <c r="B3219" s="1042"/>
      <c r="C3219" s="1043"/>
      <c r="D3219" s="1067" t="s">
        <v>1450</v>
      </c>
      <c r="E3219" s="1065"/>
      <c r="F3219" s="1065"/>
      <c r="G3219" s="1065"/>
      <c r="H3219" s="1065"/>
      <c r="I3219" s="1065"/>
      <c r="J3219" s="1065"/>
      <c r="K3219" s="1065"/>
      <c r="L3219" s="1066"/>
      <c r="M3219" s="173"/>
      <c r="N3219" s="68"/>
      <c r="O3219" s="207"/>
      <c r="P3219" s="27"/>
      <c r="Q3219" s="27"/>
      <c r="R3219" s="27"/>
      <c r="S3219" s="27"/>
      <c r="U3219" s="27"/>
      <c r="V3219" s="27"/>
      <c r="W3219" s="27"/>
      <c r="X3219" s="27"/>
    </row>
    <row r="3220" spans="1:25" ht="30" customHeight="1" x14ac:dyDescent="0.35">
      <c r="A3220" s="1077" t="s">
        <v>308</v>
      </c>
      <c r="B3220" s="1042"/>
      <c r="C3220" s="1043"/>
      <c r="D3220" s="1067" t="s">
        <v>3094</v>
      </c>
      <c r="E3220" s="1065"/>
      <c r="F3220" s="1065"/>
      <c r="G3220" s="1065"/>
      <c r="H3220" s="1065"/>
      <c r="I3220" s="1065"/>
      <c r="J3220" s="1065"/>
      <c r="K3220" s="1065"/>
      <c r="L3220" s="1066"/>
      <c r="M3220" s="173"/>
      <c r="N3220" s="220"/>
      <c r="U3220" s="27"/>
      <c r="V3220" s="27"/>
      <c r="W3220" s="27"/>
      <c r="X3220" s="27"/>
    </row>
    <row r="3221" spans="1:25" ht="30" customHeight="1" x14ac:dyDescent="0.35">
      <c r="A3221" s="1077" t="s">
        <v>309</v>
      </c>
      <c r="B3221" s="1042"/>
      <c r="C3221" s="1043"/>
      <c r="D3221" s="1067" t="s">
        <v>2592</v>
      </c>
      <c r="E3221" s="1065"/>
      <c r="F3221" s="1065"/>
      <c r="G3221" s="1065"/>
      <c r="H3221" s="1065"/>
      <c r="I3221" s="1065"/>
      <c r="J3221" s="1065"/>
      <c r="K3221" s="1065"/>
      <c r="L3221" s="1066"/>
      <c r="M3221" s="173"/>
      <c r="N3221" s="288"/>
      <c r="T3221" s="213"/>
      <c r="U3221" s="208"/>
      <c r="V3221" s="208"/>
      <c r="W3221" s="208"/>
      <c r="X3221" s="208"/>
      <c r="Y3221" s="27"/>
    </row>
    <row r="3222" spans="1:25" ht="60" customHeight="1" x14ac:dyDescent="0.35">
      <c r="A3222" s="1077" t="s">
        <v>311</v>
      </c>
      <c r="B3222" s="1042"/>
      <c r="C3222" s="1043"/>
      <c r="D3222" s="1067" t="s">
        <v>2248</v>
      </c>
      <c r="E3222" s="1065"/>
      <c r="F3222" s="1065"/>
      <c r="G3222" s="1065"/>
      <c r="H3222" s="1065"/>
      <c r="I3222" s="1065"/>
      <c r="J3222" s="1065"/>
      <c r="K3222" s="1065"/>
      <c r="L3222" s="1066"/>
      <c r="M3222" s="363"/>
      <c r="N3222" s="68"/>
      <c r="T3222" s="51"/>
      <c r="Y3222" s="208"/>
    </row>
    <row r="3223" spans="1:25" ht="30" customHeight="1" x14ac:dyDescent="0.35">
      <c r="A3223" s="1077" t="s">
        <v>313</v>
      </c>
      <c r="B3223" s="1042"/>
      <c r="C3223" s="1043"/>
      <c r="D3223" s="1067" t="s">
        <v>1371</v>
      </c>
      <c r="E3223" s="1065"/>
      <c r="F3223" s="1065"/>
      <c r="G3223" s="1065"/>
      <c r="H3223" s="1065"/>
      <c r="I3223" s="1065"/>
      <c r="J3223" s="1065"/>
      <c r="K3223" s="1065"/>
      <c r="L3223" s="1066"/>
      <c r="M3223" s="173"/>
      <c r="N3223" s="68"/>
      <c r="P3223" s="75"/>
      <c r="Q3223" s="75"/>
      <c r="R3223" s="75"/>
      <c r="S3223" s="213"/>
    </row>
    <row r="3224" spans="1:25" s="27" customFormat="1" ht="30" customHeight="1" x14ac:dyDescent="0.35">
      <c r="A3224" s="1077" t="s">
        <v>315</v>
      </c>
      <c r="B3224" s="1042"/>
      <c r="C3224" s="1043"/>
      <c r="D3224" s="1067" t="s">
        <v>1473</v>
      </c>
      <c r="E3224" s="1065"/>
      <c r="F3224" s="1065"/>
      <c r="G3224" s="1065"/>
      <c r="H3224" s="1065"/>
      <c r="I3224" s="1065"/>
      <c r="J3224" s="1065"/>
      <c r="K3224" s="1065"/>
      <c r="L3224" s="1066"/>
      <c r="M3224" s="173"/>
      <c r="N3224" s="34"/>
      <c r="O3224" s="205"/>
      <c r="P3224" s="171"/>
      <c r="Q3224" s="171"/>
      <c r="R3224" s="171"/>
      <c r="S3224" s="51"/>
      <c r="T3224" s="203"/>
      <c r="U3224" s="203"/>
      <c r="V3224" s="203"/>
      <c r="W3224" s="203"/>
      <c r="X3224" s="203"/>
      <c r="Y3224" s="203"/>
    </row>
    <row r="3225" spans="1:25" s="208" customFormat="1" ht="75" customHeight="1" x14ac:dyDescent="0.35">
      <c r="A3225" s="1077" t="s">
        <v>316</v>
      </c>
      <c r="B3225" s="1042"/>
      <c r="C3225" s="1043"/>
      <c r="D3225" s="1067" t="s">
        <v>373</v>
      </c>
      <c r="E3225" s="1065"/>
      <c r="F3225" s="1065"/>
      <c r="G3225" s="1065"/>
      <c r="H3225" s="1065"/>
      <c r="I3225" s="1065"/>
      <c r="J3225" s="1065"/>
      <c r="K3225" s="1065"/>
      <c r="L3225" s="1066"/>
      <c r="M3225" s="173"/>
      <c r="N3225" s="34"/>
      <c r="O3225" s="203"/>
      <c r="P3225" s="218"/>
      <c r="Q3225" s="68"/>
      <c r="R3225" s="217"/>
      <c r="S3225" s="203"/>
      <c r="T3225" s="203"/>
      <c r="U3225" s="203"/>
      <c r="V3225" s="203"/>
      <c r="W3225" s="203"/>
      <c r="X3225" s="203"/>
      <c r="Y3225" s="203"/>
    </row>
    <row r="3226" spans="1:25" ht="45" customHeight="1" thickBot="1" x14ac:dyDescent="0.4">
      <c r="A3226" s="1077" t="s">
        <v>318</v>
      </c>
      <c r="B3226" s="1042"/>
      <c r="C3226" s="1043"/>
      <c r="D3226" s="1068" t="s">
        <v>3095</v>
      </c>
      <c r="E3226" s="1069"/>
      <c r="F3226" s="1069"/>
      <c r="G3226" s="1069"/>
      <c r="H3226" s="1069"/>
      <c r="I3226" s="1069"/>
      <c r="J3226" s="1069"/>
      <c r="K3226" s="1069"/>
      <c r="L3226" s="1070"/>
      <c r="M3226" s="293"/>
      <c r="N3226" s="419"/>
      <c r="O3226" s="203"/>
      <c r="P3226" s="218"/>
      <c r="Q3226" s="68"/>
      <c r="R3226" s="217"/>
      <c r="T3226" s="208"/>
      <c r="U3226" s="208"/>
      <c r="V3226" s="208"/>
      <c r="W3226" s="208"/>
      <c r="X3226" s="208"/>
    </row>
    <row r="3227" spans="1:25" ht="30" customHeight="1" thickBot="1" x14ac:dyDescent="0.4">
      <c r="A3227" s="481"/>
      <c r="B3227" s="482"/>
      <c r="C3227" s="482"/>
      <c r="D3227" s="482"/>
      <c r="E3227" s="482"/>
      <c r="F3227" s="482"/>
      <c r="G3227" s="482"/>
      <c r="H3227" s="482"/>
      <c r="I3227" s="482"/>
      <c r="J3227" s="482"/>
      <c r="K3227" s="482"/>
      <c r="L3227" s="483"/>
      <c r="M3227" s="366"/>
      <c r="N3227" s="164"/>
      <c r="O3227" s="203"/>
      <c r="P3227" s="218"/>
      <c r="Q3227" s="68"/>
      <c r="R3227" s="217"/>
      <c r="Y3227" s="208"/>
    </row>
    <row r="3228" spans="1:25" ht="30" customHeight="1" x14ac:dyDescent="0.35">
      <c r="A3228" s="465" t="s">
        <v>278</v>
      </c>
      <c r="B3228" s="539">
        <v>7350</v>
      </c>
      <c r="C3228" s="1017" t="s">
        <v>2302</v>
      </c>
      <c r="D3228" s="1018"/>
      <c r="E3228" s="541" t="s">
        <v>280</v>
      </c>
      <c r="F3228" s="542" t="s">
        <v>8</v>
      </c>
      <c r="G3228" s="560" t="s">
        <v>1478</v>
      </c>
      <c r="H3228" s="555">
        <v>1472</v>
      </c>
      <c r="I3228" s="541" t="s">
        <v>281</v>
      </c>
      <c r="J3228" s="1019" t="s">
        <v>2371</v>
      </c>
      <c r="K3228" s="1019"/>
      <c r="L3228" s="1020"/>
      <c r="M3228" s="173"/>
      <c r="N3228" s="419"/>
      <c r="O3228" s="208"/>
      <c r="P3228" s="218"/>
      <c r="Q3228" s="68"/>
      <c r="R3228" s="217"/>
      <c r="S3228" s="208"/>
    </row>
    <row r="3229" spans="1:25" ht="30" customHeight="1" x14ac:dyDescent="0.35">
      <c r="A3229" s="588" t="s">
        <v>298</v>
      </c>
      <c r="B3229" s="1038" t="s">
        <v>321</v>
      </c>
      <c r="C3229" s="1039"/>
      <c r="D3229" s="1040"/>
      <c r="E3229" s="23" t="s">
        <v>290</v>
      </c>
      <c r="F3229" s="23" t="s">
        <v>322</v>
      </c>
      <c r="G3229" s="1034" t="s">
        <v>323</v>
      </c>
      <c r="H3229" s="1035"/>
      <c r="I3229" s="509" t="s">
        <v>299</v>
      </c>
      <c r="J3229" s="509"/>
      <c r="K3229" s="1012" t="s">
        <v>292</v>
      </c>
      <c r="L3229" s="1013"/>
      <c r="M3229" s="173"/>
      <c r="N3229" s="68"/>
      <c r="O3229" s="203"/>
      <c r="P3229" s="218"/>
      <c r="Q3229" s="68"/>
      <c r="R3229" s="217"/>
    </row>
    <row r="3230" spans="1:25" s="208" customFormat="1" ht="30" customHeight="1" x14ac:dyDescent="0.35">
      <c r="A3230" s="717" t="s">
        <v>1479</v>
      </c>
      <c r="B3230" s="1031" t="s">
        <v>1480</v>
      </c>
      <c r="C3230" s="1032"/>
      <c r="D3230" s="1033"/>
      <c r="E3230" s="453">
        <v>78</v>
      </c>
      <c r="F3230" s="3" t="s">
        <v>8</v>
      </c>
      <c r="G3230" s="496"/>
      <c r="H3230" s="498"/>
      <c r="I3230" s="446">
        <v>1.05</v>
      </c>
      <c r="J3230" s="446"/>
      <c r="K3230" s="453">
        <f>+E3230*I3230</f>
        <v>81.900000000000006</v>
      </c>
      <c r="L3230" s="243" t="s">
        <v>8</v>
      </c>
      <c r="M3230" s="173"/>
      <c r="N3230" s="68"/>
      <c r="O3230" s="203"/>
      <c r="P3230" s="218"/>
      <c r="Q3230" s="68"/>
      <c r="R3230" s="217"/>
      <c r="S3230" s="203"/>
      <c r="T3230" s="203"/>
      <c r="U3230" s="203"/>
      <c r="V3230" s="203"/>
      <c r="W3230" s="203"/>
      <c r="X3230" s="203"/>
      <c r="Y3230" s="203"/>
    </row>
    <row r="3231" spans="1:25" ht="30" customHeight="1" x14ac:dyDescent="0.35">
      <c r="A3231" s="241"/>
      <c r="B3231" s="506"/>
      <c r="C3231" s="506"/>
      <c r="D3231" s="506"/>
      <c r="E3231" s="453"/>
      <c r="F3231" s="1029" t="s">
        <v>302</v>
      </c>
      <c r="G3231" s="1058" t="s">
        <v>303</v>
      </c>
      <c r="H3231" s="1058"/>
      <c r="I3231" s="1058"/>
      <c r="J3231" s="1058"/>
      <c r="K3231" s="612">
        <v>1.07</v>
      </c>
      <c r="L3231" s="243"/>
      <c r="M3231" s="173"/>
      <c r="N3231" s="214"/>
      <c r="O3231" s="203"/>
      <c r="P3231" s="218"/>
      <c r="Q3231" s="68"/>
      <c r="R3231" s="217"/>
    </row>
    <row r="3232" spans="1:25" ht="30" customHeight="1" x14ac:dyDescent="0.35">
      <c r="A3232" s="241"/>
      <c r="B3232" s="506"/>
      <c r="C3232" s="506"/>
      <c r="D3232" s="506"/>
      <c r="E3232" s="453"/>
      <c r="F3232" s="1030"/>
      <c r="G3232" s="1073" t="s">
        <v>2374</v>
      </c>
      <c r="H3232" s="1073"/>
      <c r="I3232" s="1073"/>
      <c r="J3232" s="1073"/>
      <c r="K3232" s="612">
        <v>1.08</v>
      </c>
      <c r="L3232" s="243"/>
      <c r="M3232" s="173"/>
      <c r="N3232" s="208"/>
      <c r="O3232" s="171"/>
      <c r="P3232" s="216"/>
      <c r="Q3232" s="419"/>
      <c r="R3232" s="219"/>
    </row>
    <row r="3233" spans="1:25" ht="30" customHeight="1" x14ac:dyDescent="0.35">
      <c r="A3233" s="241"/>
      <c r="B3233" s="446"/>
      <c r="C3233" s="458"/>
      <c r="D3233" s="458"/>
      <c r="E3233" s="458"/>
      <c r="F3233" s="458"/>
      <c r="G3233" s="458"/>
      <c r="H3233" s="458"/>
      <c r="I3233" s="458"/>
      <c r="J3233" s="446" t="s">
        <v>2356</v>
      </c>
      <c r="K3233" s="591">
        <f>+K3230*K3231/K3232</f>
        <v>81.141666666666666</v>
      </c>
      <c r="L3233" s="243" t="s">
        <v>8</v>
      </c>
      <c r="M3233" s="173"/>
      <c r="O3233" s="171"/>
      <c r="P3233" s="216"/>
      <c r="Q3233" s="419"/>
      <c r="R3233" s="219"/>
    </row>
    <row r="3234" spans="1:25" ht="30" customHeight="1" thickBot="1" x14ac:dyDescent="0.4">
      <c r="A3234" s="241"/>
      <c r="B3234" s="446"/>
      <c r="C3234" s="458"/>
      <c r="D3234" s="458"/>
      <c r="E3234" s="458"/>
      <c r="F3234" s="458"/>
      <c r="G3234" s="592" t="s">
        <v>2358</v>
      </c>
      <c r="H3234" s="458"/>
      <c r="I3234" s="458"/>
      <c r="J3234" s="583">
        <f>VLOOKUP(B3228,'Mil Cost Premiums for PUCs'!$A$4:$R$272,18,FALSE)</f>
        <v>1.1080418597902797</v>
      </c>
      <c r="K3234" s="591">
        <f>+K3233*J3234</f>
        <v>89.908363239816282</v>
      </c>
      <c r="L3234" s="243" t="s">
        <v>8</v>
      </c>
      <c r="M3234" s="173"/>
      <c r="O3234" s="203"/>
      <c r="P3234" s="218"/>
      <c r="Q3234" s="68"/>
      <c r="R3234" s="217"/>
    </row>
    <row r="3235" spans="1:25" ht="30" customHeight="1" thickBot="1" x14ac:dyDescent="0.4">
      <c r="A3235" s="481"/>
      <c r="B3235" s="482"/>
      <c r="C3235" s="482"/>
      <c r="D3235" s="482"/>
      <c r="E3235" s="482"/>
      <c r="F3235" s="482"/>
      <c r="G3235" s="482"/>
      <c r="H3235" s="482"/>
      <c r="I3235" s="482"/>
      <c r="J3235" s="482"/>
      <c r="K3235" s="482"/>
      <c r="L3235" s="483"/>
      <c r="M3235" s="173"/>
      <c r="O3235" s="203"/>
      <c r="P3235" s="218"/>
      <c r="Q3235" s="68"/>
      <c r="R3235" s="217"/>
    </row>
    <row r="3236" spans="1:25" ht="30" customHeight="1" x14ac:dyDescent="0.35">
      <c r="A3236" s="856" t="s">
        <v>278</v>
      </c>
      <c r="B3236" s="857">
        <v>7351</v>
      </c>
      <c r="C3236" s="1328" t="s">
        <v>1489</v>
      </c>
      <c r="D3236" s="1329"/>
      <c r="E3236" s="858" t="s">
        <v>280</v>
      </c>
      <c r="F3236" s="859" t="s">
        <v>8</v>
      </c>
      <c r="G3236" s="543" t="s">
        <v>285</v>
      </c>
      <c r="H3236" s="860">
        <v>12279</v>
      </c>
      <c r="I3236" s="541" t="s">
        <v>281</v>
      </c>
      <c r="J3236" s="1019" t="s">
        <v>2371</v>
      </c>
      <c r="K3236" s="1019"/>
      <c r="L3236" s="1020"/>
      <c r="M3236" s="173"/>
      <c r="N3236" s="68"/>
      <c r="O3236" s="203"/>
      <c r="P3236" s="218"/>
      <c r="Q3236" s="68"/>
      <c r="R3236" s="217"/>
    </row>
    <row r="3237" spans="1:25" ht="30" customHeight="1" x14ac:dyDescent="0.35">
      <c r="A3237" s="861" t="s">
        <v>298</v>
      </c>
      <c r="B3237" s="1330" t="s">
        <v>321</v>
      </c>
      <c r="C3237" s="1331"/>
      <c r="D3237" s="1332"/>
      <c r="E3237" s="284" t="s">
        <v>290</v>
      </c>
      <c r="F3237" s="284" t="s">
        <v>322</v>
      </c>
      <c r="G3237" s="1333" t="s">
        <v>323</v>
      </c>
      <c r="H3237" s="1334"/>
      <c r="I3237" s="862" t="s">
        <v>1490</v>
      </c>
      <c r="J3237" s="862"/>
      <c r="K3237" s="1012" t="s">
        <v>292</v>
      </c>
      <c r="L3237" s="1013"/>
      <c r="M3237" s="173"/>
      <c r="N3237" s="422"/>
      <c r="O3237" s="203"/>
      <c r="P3237" s="218"/>
      <c r="Q3237" s="68"/>
      <c r="R3237" s="217"/>
    </row>
    <row r="3238" spans="1:25" ht="30" customHeight="1" x14ac:dyDescent="0.35">
      <c r="A3238" s="863" t="s">
        <v>1491</v>
      </c>
      <c r="B3238" s="1335" t="s">
        <v>1492</v>
      </c>
      <c r="C3238" s="1336"/>
      <c r="D3238" s="1337"/>
      <c r="E3238" s="864">
        <v>128</v>
      </c>
      <c r="F3238" s="285" t="s">
        <v>8</v>
      </c>
      <c r="G3238" s="286"/>
      <c r="H3238" s="287"/>
      <c r="I3238" s="865">
        <v>1.04</v>
      </c>
      <c r="J3238" s="865"/>
      <c r="K3238" s="864">
        <f>+E3238*I3238</f>
        <v>133.12</v>
      </c>
      <c r="L3238" s="866" t="s">
        <v>8</v>
      </c>
      <c r="M3238" s="173"/>
      <c r="N3238" s="425"/>
      <c r="O3238" s="203"/>
      <c r="P3238" s="218"/>
      <c r="Q3238" s="68"/>
      <c r="R3238" s="217"/>
    </row>
    <row r="3239" spans="1:25" ht="30" customHeight="1" x14ac:dyDescent="0.35">
      <c r="A3239" s="867" t="s">
        <v>521</v>
      </c>
      <c r="B3239" s="1335" t="s">
        <v>2249</v>
      </c>
      <c r="C3239" s="1336"/>
      <c r="D3239" s="1337"/>
      <c r="E3239" s="864">
        <v>3.74</v>
      </c>
      <c r="F3239" s="865" t="s">
        <v>8</v>
      </c>
      <c r="G3239" s="868">
        <v>0.32500000000000001</v>
      </c>
      <c r="H3239" s="865" t="s">
        <v>1494</v>
      </c>
      <c r="I3239" s="865">
        <v>1.04</v>
      </c>
      <c r="J3239" s="865"/>
      <c r="K3239" s="864">
        <f>+E3239*G3239*I3239</f>
        <v>1.2641200000000001</v>
      </c>
      <c r="L3239" s="866" t="s">
        <v>8</v>
      </c>
      <c r="M3239" s="173"/>
      <c r="N3239" s="425"/>
      <c r="O3239" s="203"/>
      <c r="P3239" s="218"/>
      <c r="Q3239" s="68"/>
      <c r="R3239" s="217"/>
    </row>
    <row r="3240" spans="1:25" ht="30" customHeight="1" x14ac:dyDescent="0.35">
      <c r="A3240" s="867" t="s">
        <v>1495</v>
      </c>
      <c r="B3240" s="1338" t="s">
        <v>3142</v>
      </c>
      <c r="C3240" s="1339"/>
      <c r="D3240" s="1340"/>
      <c r="E3240" s="864">
        <f>(58250+(7900*2))</f>
        <v>74050</v>
      </c>
      <c r="F3240" s="865" t="s">
        <v>10</v>
      </c>
      <c r="G3240" s="868">
        <f>+(E3240/H3236)*2</f>
        <v>12.06124277221272</v>
      </c>
      <c r="H3240" s="865" t="s">
        <v>1496</v>
      </c>
      <c r="I3240" s="865">
        <v>1.04</v>
      </c>
      <c r="J3240" s="865"/>
      <c r="K3240" s="864">
        <f>+G3240*I3240</f>
        <v>12.54369248310123</v>
      </c>
      <c r="L3240" s="866" t="s">
        <v>8</v>
      </c>
      <c r="M3240" s="173"/>
      <c r="N3240" s="68"/>
      <c r="O3240" s="203"/>
      <c r="P3240" s="218"/>
      <c r="Q3240" s="68"/>
      <c r="R3240" s="217"/>
    </row>
    <row r="3241" spans="1:25" ht="30" customHeight="1" x14ac:dyDescent="0.35">
      <c r="A3241" s="869"/>
      <c r="B3241" s="1335"/>
      <c r="C3241" s="1336"/>
      <c r="D3241" s="1337"/>
      <c r="E3241" s="864"/>
      <c r="F3241" s="865"/>
      <c r="G3241" s="865"/>
      <c r="H3241" s="865"/>
      <c r="I3241" s="865"/>
      <c r="J3241" s="865"/>
      <c r="K3241" s="864">
        <f>SUM(K3238:K3240)</f>
        <v>146.92781248310123</v>
      </c>
      <c r="L3241" s="866" t="s">
        <v>8</v>
      </c>
      <c r="M3241" s="173"/>
      <c r="N3241" s="419"/>
      <c r="O3241" s="203"/>
      <c r="P3241" s="218"/>
      <c r="Q3241" s="68"/>
      <c r="R3241" s="217"/>
    </row>
    <row r="3242" spans="1:25" ht="30" customHeight="1" x14ac:dyDescent="0.35">
      <c r="A3242" s="241"/>
      <c r="B3242" s="506"/>
      <c r="C3242" s="506"/>
      <c r="D3242" s="506"/>
      <c r="E3242" s="453"/>
      <c r="F3242" s="1029" t="s">
        <v>302</v>
      </c>
      <c r="G3242" s="1058" t="s">
        <v>303</v>
      </c>
      <c r="H3242" s="1058"/>
      <c r="I3242" s="1058"/>
      <c r="J3242" s="1058"/>
      <c r="K3242" s="612">
        <v>1.07</v>
      </c>
      <c r="L3242" s="243"/>
      <c r="M3242" s="173"/>
      <c r="N3242" s="419"/>
      <c r="O3242" s="203"/>
      <c r="P3242" s="218"/>
      <c r="Q3242" s="68"/>
      <c r="R3242" s="217"/>
    </row>
    <row r="3243" spans="1:25" ht="30" customHeight="1" x14ac:dyDescent="0.35">
      <c r="A3243" s="241"/>
      <c r="B3243" s="506"/>
      <c r="C3243" s="506"/>
      <c r="D3243" s="506"/>
      <c r="E3243" s="453"/>
      <c r="F3243" s="1030"/>
      <c r="G3243" s="1073" t="s">
        <v>2374</v>
      </c>
      <c r="H3243" s="1073"/>
      <c r="I3243" s="1073"/>
      <c r="J3243" s="1073"/>
      <c r="K3243" s="612">
        <v>1.08</v>
      </c>
      <c r="L3243" s="243"/>
      <c r="M3243" s="173"/>
      <c r="N3243" s="68"/>
      <c r="O3243" s="203"/>
      <c r="P3243" s="218"/>
      <c r="Q3243" s="68"/>
      <c r="R3243" s="217"/>
      <c r="T3243" s="27"/>
      <c r="U3243" s="171"/>
    </row>
    <row r="3244" spans="1:25" ht="30" customHeight="1" x14ac:dyDescent="0.35">
      <c r="A3244" s="869"/>
      <c r="B3244" s="865"/>
      <c r="C3244" s="870"/>
      <c r="D3244" s="870"/>
      <c r="E3244" s="870"/>
      <c r="F3244" s="870"/>
      <c r="G3244" s="870"/>
      <c r="H3244" s="870"/>
      <c r="I3244" s="870"/>
      <c r="J3244" s="870" t="s">
        <v>2356</v>
      </c>
      <c r="K3244" s="871">
        <f>+K3241*K3242/K3243</f>
        <v>145.56736977492437</v>
      </c>
      <c r="L3244" s="866" t="s">
        <v>8</v>
      </c>
      <c r="M3244" s="173"/>
      <c r="N3244" s="68"/>
      <c r="O3244" s="203"/>
      <c r="P3244" s="218"/>
      <c r="Q3244" s="68"/>
      <c r="R3244" s="217"/>
      <c r="U3244" s="171"/>
    </row>
    <row r="3245" spans="1:25" ht="30" customHeight="1" x14ac:dyDescent="0.35">
      <c r="A3245" s="869"/>
      <c r="B3245" s="865"/>
      <c r="C3245" s="870"/>
      <c r="D3245" s="870"/>
      <c r="E3245" s="870"/>
      <c r="F3245" s="870"/>
      <c r="G3245" s="592" t="s">
        <v>2358</v>
      </c>
      <c r="H3245" s="870"/>
      <c r="I3245" s="870"/>
      <c r="J3245" s="583">
        <f>VLOOKUP(B3236,'Mil Cost Premiums for PUCs'!$A$4:$R$272,18,FALSE)</f>
        <v>1.3319480854780448</v>
      </c>
      <c r="K3245" s="871">
        <f>+K3244*J3245</f>
        <v>193.88817947978512</v>
      </c>
      <c r="L3245" s="866" t="s">
        <v>8</v>
      </c>
      <c r="M3245" s="173"/>
      <c r="N3245" s="68"/>
      <c r="O3245" s="207"/>
      <c r="P3245" s="27"/>
      <c r="Q3245" s="27"/>
      <c r="R3245" s="27"/>
      <c r="S3245" s="27"/>
      <c r="U3245" s="27"/>
      <c r="V3245" s="27"/>
      <c r="W3245" s="27"/>
      <c r="X3245" s="27"/>
    </row>
    <row r="3246" spans="1:25" ht="60" customHeight="1" x14ac:dyDescent="0.35">
      <c r="A3246" s="1064" t="s">
        <v>1497</v>
      </c>
      <c r="B3246" s="1065"/>
      <c r="C3246" s="1065"/>
      <c r="D3246" s="1065"/>
      <c r="E3246" s="1065"/>
      <c r="F3246" s="1065"/>
      <c r="G3246" s="1065"/>
      <c r="H3246" s="1065"/>
      <c r="I3246" s="1065"/>
      <c r="J3246" s="1065"/>
      <c r="K3246" s="1065"/>
      <c r="L3246" s="1066"/>
      <c r="M3246" s="173"/>
      <c r="N3246" s="68"/>
      <c r="T3246" s="213"/>
      <c r="U3246" s="208"/>
      <c r="V3246" s="208"/>
      <c r="W3246" s="208"/>
      <c r="X3246" s="208"/>
      <c r="Y3246" s="27"/>
    </row>
    <row r="3247" spans="1:25" ht="30" customHeight="1" x14ac:dyDescent="0.35">
      <c r="A3247" s="1077" t="s">
        <v>306</v>
      </c>
      <c r="B3247" s="1042"/>
      <c r="C3247" s="1043"/>
      <c r="D3247" s="1067" t="s">
        <v>1498</v>
      </c>
      <c r="E3247" s="1065"/>
      <c r="F3247" s="1065"/>
      <c r="G3247" s="1065"/>
      <c r="H3247" s="1065"/>
      <c r="I3247" s="1065"/>
      <c r="J3247" s="1065"/>
      <c r="K3247" s="1065"/>
      <c r="L3247" s="1066"/>
      <c r="M3247" s="173"/>
      <c r="N3247" s="68"/>
      <c r="T3247" s="51"/>
      <c r="Y3247" s="208"/>
    </row>
    <row r="3248" spans="1:25" ht="30" customHeight="1" x14ac:dyDescent="0.35">
      <c r="A3248" s="1077" t="s">
        <v>307</v>
      </c>
      <c r="B3248" s="1042"/>
      <c r="C3248" s="1043"/>
      <c r="D3248" s="1067" t="s">
        <v>1499</v>
      </c>
      <c r="E3248" s="1065"/>
      <c r="F3248" s="1065"/>
      <c r="G3248" s="1065"/>
      <c r="H3248" s="1065"/>
      <c r="I3248" s="1065"/>
      <c r="J3248" s="1065"/>
      <c r="K3248" s="1065"/>
      <c r="L3248" s="1066"/>
      <c r="M3248" s="173"/>
      <c r="N3248" s="68"/>
      <c r="P3248" s="75"/>
      <c r="Q3248" s="75"/>
      <c r="R3248" s="75"/>
      <c r="S3248" s="213"/>
    </row>
    <row r="3249" spans="1:25" s="27" customFormat="1" ht="30" customHeight="1" x14ac:dyDescent="0.35">
      <c r="A3249" s="1077" t="s">
        <v>308</v>
      </c>
      <c r="B3249" s="1042"/>
      <c r="C3249" s="1043"/>
      <c r="D3249" s="1067" t="s">
        <v>3096</v>
      </c>
      <c r="E3249" s="1065"/>
      <c r="F3249" s="1065"/>
      <c r="G3249" s="1065"/>
      <c r="H3249" s="1065"/>
      <c r="I3249" s="1065"/>
      <c r="J3249" s="1065"/>
      <c r="K3249" s="1065"/>
      <c r="L3249" s="1066"/>
      <c r="M3249" s="173"/>
      <c r="N3249" s="68"/>
      <c r="O3249" s="205"/>
      <c r="P3249" s="171"/>
      <c r="Q3249" s="171"/>
      <c r="R3249" s="171"/>
      <c r="S3249" s="51"/>
      <c r="T3249" s="203"/>
      <c r="U3249" s="203"/>
      <c r="V3249" s="203"/>
      <c r="W3249" s="203"/>
      <c r="X3249" s="203"/>
      <c r="Y3249" s="203"/>
    </row>
    <row r="3250" spans="1:25" s="208" customFormat="1" ht="60" customHeight="1" x14ac:dyDescent="0.35">
      <c r="A3250" s="1077" t="s">
        <v>309</v>
      </c>
      <c r="B3250" s="1042"/>
      <c r="C3250" s="1043"/>
      <c r="D3250" s="1067" t="s">
        <v>3097</v>
      </c>
      <c r="E3250" s="1065"/>
      <c r="F3250" s="1065"/>
      <c r="G3250" s="1065"/>
      <c r="H3250" s="1065"/>
      <c r="I3250" s="1065"/>
      <c r="J3250" s="1065"/>
      <c r="K3250" s="1065"/>
      <c r="L3250" s="1066"/>
      <c r="M3250" s="173"/>
      <c r="N3250" s="68"/>
      <c r="O3250" s="203"/>
      <c r="P3250" s="218"/>
      <c r="Q3250" s="68"/>
      <c r="R3250" s="217"/>
      <c r="S3250" s="203"/>
      <c r="T3250" s="203"/>
      <c r="U3250" s="203"/>
      <c r="V3250" s="203"/>
      <c r="W3250" s="203"/>
      <c r="X3250" s="203"/>
      <c r="Y3250" s="203"/>
    </row>
    <row r="3251" spans="1:25" ht="30" customHeight="1" x14ac:dyDescent="0.35">
      <c r="A3251" s="1077" t="s">
        <v>311</v>
      </c>
      <c r="B3251" s="1042"/>
      <c r="C3251" s="1043"/>
      <c r="D3251" s="1067" t="s">
        <v>3098</v>
      </c>
      <c r="E3251" s="1065"/>
      <c r="F3251" s="1065"/>
      <c r="G3251" s="1065"/>
      <c r="H3251" s="1065"/>
      <c r="I3251" s="1065"/>
      <c r="J3251" s="1065"/>
      <c r="K3251" s="1065"/>
      <c r="L3251" s="1066"/>
      <c r="M3251" s="173"/>
      <c r="N3251" s="68"/>
      <c r="O3251" s="203"/>
      <c r="P3251" s="218"/>
      <c r="Q3251" s="68"/>
      <c r="R3251" s="217"/>
      <c r="T3251" s="208"/>
      <c r="U3251" s="208"/>
      <c r="V3251" s="208"/>
      <c r="W3251" s="208"/>
      <c r="X3251" s="208"/>
    </row>
    <row r="3252" spans="1:25" ht="30" customHeight="1" x14ac:dyDescent="0.35">
      <c r="A3252" s="1077" t="s">
        <v>313</v>
      </c>
      <c r="B3252" s="1042"/>
      <c r="C3252" s="1043"/>
      <c r="D3252" s="1067" t="s">
        <v>314</v>
      </c>
      <c r="E3252" s="1065"/>
      <c r="F3252" s="1065"/>
      <c r="G3252" s="1065"/>
      <c r="H3252" s="1065"/>
      <c r="I3252" s="1065"/>
      <c r="J3252" s="1065"/>
      <c r="K3252" s="1065"/>
      <c r="L3252" s="1066"/>
      <c r="M3252" s="173"/>
      <c r="N3252" s="68"/>
      <c r="O3252" s="203"/>
      <c r="P3252" s="218"/>
      <c r="Q3252" s="68"/>
      <c r="R3252" s="217"/>
      <c r="Y3252" s="208"/>
    </row>
    <row r="3253" spans="1:25" ht="30" customHeight="1" x14ac:dyDescent="0.35">
      <c r="A3253" s="1077" t="s">
        <v>315</v>
      </c>
      <c r="B3253" s="1042"/>
      <c r="C3253" s="1043"/>
      <c r="D3253" s="1067" t="s">
        <v>1358</v>
      </c>
      <c r="E3253" s="1065"/>
      <c r="F3253" s="1065"/>
      <c r="G3253" s="1065"/>
      <c r="H3253" s="1065"/>
      <c r="I3253" s="1065"/>
      <c r="J3253" s="1065"/>
      <c r="K3253" s="1065"/>
      <c r="L3253" s="1066"/>
      <c r="M3253" s="173"/>
      <c r="N3253" s="68"/>
      <c r="O3253" s="208"/>
      <c r="P3253" s="218"/>
      <c r="Q3253" s="68"/>
      <c r="R3253" s="217"/>
      <c r="S3253" s="208"/>
    </row>
    <row r="3254" spans="1:25" ht="75" customHeight="1" x14ac:dyDescent="0.35">
      <c r="A3254" s="1077" t="s">
        <v>316</v>
      </c>
      <c r="B3254" s="1042"/>
      <c r="C3254" s="1043"/>
      <c r="D3254" s="1067" t="s">
        <v>373</v>
      </c>
      <c r="E3254" s="1065"/>
      <c r="F3254" s="1065"/>
      <c r="G3254" s="1065"/>
      <c r="H3254" s="1065"/>
      <c r="I3254" s="1065"/>
      <c r="J3254" s="1065"/>
      <c r="K3254" s="1065"/>
      <c r="L3254" s="1066"/>
      <c r="M3254" s="363"/>
      <c r="N3254" s="68"/>
      <c r="O3254" s="203"/>
      <c r="P3254" s="218"/>
      <c r="Q3254" s="68"/>
      <c r="R3254" s="217"/>
    </row>
    <row r="3255" spans="1:25" s="208" customFormat="1" ht="45" customHeight="1" thickBot="1" x14ac:dyDescent="0.4">
      <c r="A3255" s="1077" t="s">
        <v>318</v>
      </c>
      <c r="B3255" s="1042"/>
      <c r="C3255" s="1043"/>
      <c r="D3255" s="1068" t="s">
        <v>3099</v>
      </c>
      <c r="E3255" s="1069"/>
      <c r="F3255" s="1069"/>
      <c r="G3255" s="1069"/>
      <c r="H3255" s="1069"/>
      <c r="I3255" s="1069"/>
      <c r="J3255" s="1069"/>
      <c r="K3255" s="1069"/>
      <c r="L3255" s="1070"/>
      <c r="M3255" s="173"/>
      <c r="N3255" s="68"/>
      <c r="O3255" s="203"/>
      <c r="P3255" s="218"/>
      <c r="Q3255" s="68"/>
      <c r="R3255" s="217"/>
      <c r="S3255" s="203"/>
      <c r="T3255" s="203"/>
      <c r="U3255" s="203"/>
      <c r="V3255" s="203"/>
      <c r="W3255" s="203"/>
      <c r="X3255" s="203"/>
      <c r="Y3255" s="203"/>
    </row>
    <row r="3256" spans="1:25" ht="30" customHeight="1" thickBot="1" x14ac:dyDescent="0.4">
      <c r="A3256" s="481"/>
      <c r="B3256" s="482"/>
      <c r="C3256" s="482"/>
      <c r="D3256" s="482"/>
      <c r="E3256" s="482"/>
      <c r="F3256" s="482"/>
      <c r="G3256" s="482"/>
      <c r="H3256" s="482"/>
      <c r="I3256" s="482"/>
      <c r="J3256" s="482"/>
      <c r="K3256" s="482"/>
      <c r="L3256" s="483"/>
      <c r="M3256" s="173"/>
      <c r="N3256" s="214"/>
      <c r="O3256" s="203"/>
      <c r="P3256" s="218"/>
      <c r="Q3256" s="68"/>
      <c r="R3256" s="217"/>
    </row>
    <row r="3257" spans="1:25" ht="30" customHeight="1" x14ac:dyDescent="0.35">
      <c r="A3257" s="465" t="s">
        <v>278</v>
      </c>
      <c r="B3257" s="539">
        <v>7352</v>
      </c>
      <c r="C3257" s="1060" t="s">
        <v>2181</v>
      </c>
      <c r="D3257" s="1061"/>
      <c r="E3257" s="541" t="s">
        <v>280</v>
      </c>
      <c r="F3257" s="542" t="s">
        <v>8</v>
      </c>
      <c r="G3257" s="543" t="s">
        <v>285</v>
      </c>
      <c r="H3257" s="558">
        <v>31349</v>
      </c>
      <c r="I3257" s="541" t="s">
        <v>281</v>
      </c>
      <c r="J3257" s="1019" t="s">
        <v>2637</v>
      </c>
      <c r="K3257" s="1019"/>
      <c r="L3257" s="1020"/>
      <c r="M3257" s="173"/>
      <c r="N3257" s="208"/>
      <c r="O3257" s="171"/>
      <c r="P3257" s="216"/>
      <c r="Q3257" s="419"/>
      <c r="R3257" s="219"/>
    </row>
    <row r="3258" spans="1:25" ht="30" customHeight="1" x14ac:dyDescent="0.35">
      <c r="A3258" s="545" t="s">
        <v>288</v>
      </c>
      <c r="B3258" s="1051" t="s">
        <v>282</v>
      </c>
      <c r="C3258" s="1051"/>
      <c r="D3258" s="1051"/>
      <c r="E3258" s="530" t="s">
        <v>289</v>
      </c>
      <c r="F3258" s="561" t="s">
        <v>290</v>
      </c>
      <c r="G3258" s="1052"/>
      <c r="H3258" s="1053"/>
      <c r="I3258" s="1052" t="s">
        <v>405</v>
      </c>
      <c r="J3258" s="1053"/>
      <c r="K3258" s="595" t="s">
        <v>1500</v>
      </c>
      <c r="L3258" s="739"/>
      <c r="M3258" s="173"/>
      <c r="N3258" s="289"/>
      <c r="O3258" s="171"/>
      <c r="P3258" s="216"/>
      <c r="Q3258" s="419"/>
      <c r="R3258" s="219"/>
    </row>
    <row r="3259" spans="1:25" ht="30" customHeight="1" x14ac:dyDescent="0.35">
      <c r="A3259" s="562" t="s">
        <v>293</v>
      </c>
      <c r="B3259" s="1057" t="s">
        <v>3101</v>
      </c>
      <c r="C3259" s="1057"/>
      <c r="D3259" s="1057"/>
      <c r="E3259" s="563">
        <v>120000</v>
      </c>
      <c r="F3259" s="444">
        <v>360</v>
      </c>
      <c r="G3259" s="1415"/>
      <c r="H3259" s="1416"/>
      <c r="I3259" s="1343" t="s">
        <v>2638</v>
      </c>
      <c r="J3259" s="1344"/>
      <c r="K3259" s="444">
        <f>F3259</f>
        <v>360</v>
      </c>
      <c r="L3259" s="564" t="s">
        <v>8</v>
      </c>
      <c r="M3259" s="173"/>
      <c r="O3259" s="203"/>
      <c r="P3259" s="218"/>
      <c r="Q3259" s="68"/>
      <c r="R3259" s="217"/>
    </row>
    <row r="3260" spans="1:25" ht="30" customHeight="1" thickBot="1" x14ac:dyDescent="0.4">
      <c r="A3260" s="241"/>
      <c r="B3260" s="1059" t="s">
        <v>3100</v>
      </c>
      <c r="C3260" s="1059"/>
      <c r="D3260" s="1059"/>
      <c r="E3260" s="565"/>
      <c r="F3260" s="566"/>
      <c r="G3260" s="566"/>
      <c r="H3260" s="567"/>
      <c r="I3260" s="458"/>
      <c r="J3260" s="510" t="s">
        <v>2363</v>
      </c>
      <c r="K3260" s="585">
        <f>+K3259</f>
        <v>360</v>
      </c>
      <c r="L3260" s="243" t="s">
        <v>8</v>
      </c>
      <c r="M3260" s="173"/>
      <c r="O3260" s="203"/>
      <c r="P3260" s="218"/>
      <c r="Q3260" s="68"/>
      <c r="R3260" s="217"/>
    </row>
    <row r="3261" spans="1:25" ht="30" customHeight="1" thickBot="1" x14ac:dyDescent="0.4">
      <c r="A3261" s="481"/>
      <c r="B3261" s="482"/>
      <c r="C3261" s="482"/>
      <c r="D3261" s="482"/>
      <c r="E3261" s="482"/>
      <c r="F3261" s="482"/>
      <c r="G3261" s="482"/>
      <c r="H3261" s="482"/>
      <c r="I3261" s="482"/>
      <c r="J3261" s="482"/>
      <c r="K3261" s="482"/>
      <c r="L3261" s="483"/>
      <c r="M3261" s="173"/>
      <c r="N3261" s="421"/>
      <c r="O3261" s="203"/>
      <c r="P3261" s="218"/>
      <c r="Q3261" s="68"/>
      <c r="R3261" s="217"/>
      <c r="T3261" s="208"/>
      <c r="U3261" s="208"/>
      <c r="V3261" s="208"/>
      <c r="W3261" s="208"/>
      <c r="X3261" s="208"/>
    </row>
    <row r="3262" spans="1:25" ht="30" customHeight="1" x14ac:dyDescent="0.35">
      <c r="A3262" s="465" t="s">
        <v>278</v>
      </c>
      <c r="B3262" s="539">
        <v>7353</v>
      </c>
      <c r="C3262" s="1060" t="s">
        <v>1501</v>
      </c>
      <c r="D3262" s="1061"/>
      <c r="E3262" s="541" t="s">
        <v>280</v>
      </c>
      <c r="F3262" s="542" t="s">
        <v>8</v>
      </c>
      <c r="G3262" s="543" t="s">
        <v>285</v>
      </c>
      <c r="H3262" s="569">
        <v>5667</v>
      </c>
      <c r="I3262" s="541" t="s">
        <v>281</v>
      </c>
      <c r="J3262" s="1019" t="s">
        <v>2372</v>
      </c>
      <c r="K3262" s="1019"/>
      <c r="L3262" s="1020"/>
      <c r="M3262" s="173"/>
      <c r="N3262" s="68"/>
      <c r="O3262" s="203"/>
      <c r="P3262" s="218"/>
      <c r="Q3262" s="68"/>
      <c r="R3262" s="217"/>
      <c r="Y3262" s="208"/>
    </row>
    <row r="3263" spans="1:25" ht="30" customHeight="1" x14ac:dyDescent="0.35">
      <c r="A3263" s="545" t="s">
        <v>288</v>
      </c>
      <c r="B3263" s="1051" t="s">
        <v>282</v>
      </c>
      <c r="C3263" s="1051"/>
      <c r="D3263" s="1051"/>
      <c r="E3263" s="561" t="s">
        <v>290</v>
      </c>
      <c r="F3263" s="509" t="s">
        <v>289</v>
      </c>
      <c r="G3263" s="1094" t="s">
        <v>323</v>
      </c>
      <c r="H3263" s="1095"/>
      <c r="I3263" s="1052" t="s">
        <v>405</v>
      </c>
      <c r="J3263" s="1053"/>
      <c r="K3263" s="1012" t="s">
        <v>292</v>
      </c>
      <c r="L3263" s="1013"/>
      <c r="M3263" s="173"/>
      <c r="N3263" s="68"/>
      <c r="O3263" s="208"/>
      <c r="P3263" s="218"/>
      <c r="Q3263" s="68"/>
      <c r="R3263" s="217"/>
      <c r="S3263" s="208"/>
    </row>
    <row r="3264" spans="1:25" ht="30" customHeight="1" x14ac:dyDescent="0.35">
      <c r="A3264" s="241">
        <v>73046</v>
      </c>
      <c r="B3264" s="1082" t="s">
        <v>2250</v>
      </c>
      <c r="C3264" s="1083"/>
      <c r="D3264" s="1093"/>
      <c r="E3264" s="453">
        <v>310</v>
      </c>
      <c r="F3264" s="694">
        <v>90000</v>
      </c>
      <c r="G3264" s="462"/>
      <c r="H3264" s="462"/>
      <c r="I3264" s="1091">
        <f>+'2021 MILCON Inflation Table'!F19</f>
        <v>0.96211202832457809</v>
      </c>
      <c r="J3264" s="1092"/>
      <c r="K3264" s="463">
        <f>+E3264*I3264</f>
        <v>298.25472878061919</v>
      </c>
      <c r="L3264" s="564" t="s">
        <v>8</v>
      </c>
      <c r="M3264" s="173"/>
      <c r="N3264" s="68"/>
      <c r="O3264" s="203"/>
      <c r="P3264" s="218"/>
      <c r="Q3264" s="68"/>
      <c r="R3264" s="217"/>
    </row>
    <row r="3265" spans="1:25" s="208" customFormat="1" ht="30" customHeight="1" thickBot="1" x14ac:dyDescent="0.4">
      <c r="A3265" s="241"/>
      <c r="B3265" s="1031"/>
      <c r="C3265" s="1032"/>
      <c r="D3265" s="1033"/>
      <c r="E3265" s="553"/>
      <c r="F3265" s="706"/>
      <c r="G3265" s="553"/>
      <c r="H3265" s="707"/>
      <c r="I3265" s="458"/>
      <c r="J3265" s="510" t="s">
        <v>2356</v>
      </c>
      <c r="K3265" s="459">
        <f>AVERAGE(K3264:K3264)</f>
        <v>298.25472878061919</v>
      </c>
      <c r="L3265" s="564" t="s">
        <v>8</v>
      </c>
      <c r="M3265" s="173"/>
      <c r="N3265" s="68"/>
      <c r="O3265" s="171"/>
      <c r="P3265" s="216"/>
      <c r="Q3265" s="419"/>
      <c r="R3265" s="219"/>
      <c r="S3265" s="203"/>
      <c r="T3265" s="203"/>
      <c r="U3265" s="203"/>
      <c r="V3265" s="203"/>
      <c r="W3265" s="203"/>
      <c r="X3265" s="203"/>
      <c r="Y3265" s="203"/>
    </row>
    <row r="3266" spans="1:25" ht="30" customHeight="1" thickBot="1" x14ac:dyDescent="0.4">
      <c r="A3266" s="481"/>
      <c r="B3266" s="482"/>
      <c r="C3266" s="482"/>
      <c r="D3266" s="482"/>
      <c r="E3266" s="482"/>
      <c r="F3266" s="482"/>
      <c r="G3266" s="482"/>
      <c r="H3266" s="482"/>
      <c r="I3266" s="482"/>
      <c r="J3266" s="482"/>
      <c r="K3266" s="482"/>
      <c r="L3266" s="483"/>
      <c r="M3266" s="173"/>
      <c r="N3266" s="419"/>
      <c r="O3266" s="171"/>
      <c r="P3266" s="216"/>
      <c r="Q3266" s="419"/>
      <c r="R3266" s="219"/>
    </row>
    <row r="3267" spans="1:25" ht="30" customHeight="1" x14ac:dyDescent="0.35">
      <c r="A3267" s="465" t="s">
        <v>278</v>
      </c>
      <c r="B3267" s="539">
        <v>7361</v>
      </c>
      <c r="C3267" s="1060" t="s">
        <v>1504</v>
      </c>
      <c r="D3267" s="1061"/>
      <c r="E3267" s="541" t="s">
        <v>280</v>
      </c>
      <c r="F3267" s="542" t="s">
        <v>8</v>
      </c>
      <c r="G3267" s="543" t="s">
        <v>285</v>
      </c>
      <c r="H3267" s="569">
        <v>8275</v>
      </c>
      <c r="I3267" s="541" t="s">
        <v>281</v>
      </c>
      <c r="J3267" s="1019" t="s">
        <v>346</v>
      </c>
      <c r="K3267" s="1019"/>
      <c r="L3267" s="1020"/>
      <c r="M3267" s="173"/>
      <c r="N3267" s="419"/>
      <c r="O3267" s="203"/>
      <c r="P3267" s="218"/>
      <c r="Q3267" s="68"/>
      <c r="R3267" s="217"/>
    </row>
    <row r="3268" spans="1:25" ht="30" customHeight="1" x14ac:dyDescent="0.35">
      <c r="A3268" s="545" t="s">
        <v>288</v>
      </c>
      <c r="B3268" s="1051" t="s">
        <v>282</v>
      </c>
      <c r="C3268" s="1051"/>
      <c r="D3268" s="1051"/>
      <c r="E3268" s="561" t="s">
        <v>290</v>
      </c>
      <c r="F3268" s="509" t="s">
        <v>289</v>
      </c>
      <c r="G3268" s="1094" t="s">
        <v>323</v>
      </c>
      <c r="H3268" s="1095"/>
      <c r="I3268" s="1052" t="s">
        <v>405</v>
      </c>
      <c r="J3268" s="1053"/>
      <c r="K3268" s="1012" t="s">
        <v>292</v>
      </c>
      <c r="L3268" s="1013"/>
      <c r="M3268" s="173"/>
      <c r="N3268" s="68"/>
      <c r="O3268" s="203"/>
      <c r="P3268" s="218"/>
      <c r="Q3268" s="68"/>
      <c r="R3268" s="217"/>
    </row>
    <row r="3269" spans="1:25" ht="30" customHeight="1" x14ac:dyDescent="0.35">
      <c r="A3269" s="241">
        <v>73017</v>
      </c>
      <c r="B3269" s="1031" t="s">
        <v>1505</v>
      </c>
      <c r="C3269" s="1032"/>
      <c r="D3269" s="1033"/>
      <c r="E3269" s="453">
        <v>344</v>
      </c>
      <c r="F3269" s="694">
        <v>23000</v>
      </c>
      <c r="G3269" s="726"/>
      <c r="H3269" s="462"/>
      <c r="I3269" s="1091">
        <f>+'2021 MILCON Inflation Table'!$F$17</f>
        <v>1</v>
      </c>
      <c r="J3269" s="1092"/>
      <c r="K3269" s="463">
        <f>+E3269*I3269</f>
        <v>344</v>
      </c>
      <c r="L3269" s="564" t="s">
        <v>8</v>
      </c>
      <c r="M3269" s="173"/>
      <c r="N3269" s="68"/>
      <c r="O3269" s="203"/>
      <c r="P3269" s="218"/>
      <c r="Q3269" s="68"/>
      <c r="R3269" s="217"/>
      <c r="T3269" s="208"/>
      <c r="U3269" s="208"/>
      <c r="V3269" s="208"/>
      <c r="W3269" s="208"/>
      <c r="X3269" s="208"/>
    </row>
    <row r="3270" spans="1:25" ht="30" customHeight="1" thickBot="1" x14ac:dyDescent="0.4">
      <c r="A3270" s="241"/>
      <c r="B3270" s="1031"/>
      <c r="C3270" s="1032"/>
      <c r="D3270" s="1033"/>
      <c r="E3270" s="553"/>
      <c r="F3270" s="706"/>
      <c r="G3270" s="553"/>
      <c r="H3270" s="707"/>
      <c r="I3270" s="458"/>
      <c r="J3270" s="510" t="s">
        <v>2356</v>
      </c>
      <c r="K3270" s="459">
        <f>SUM(K3269:K3269)</f>
        <v>344</v>
      </c>
      <c r="L3270" s="564" t="s">
        <v>8</v>
      </c>
      <c r="M3270" s="173"/>
      <c r="N3270" s="68"/>
      <c r="O3270" s="203"/>
      <c r="P3270" s="218"/>
      <c r="Q3270" s="68"/>
      <c r="R3270" s="217"/>
      <c r="Y3270" s="208"/>
    </row>
    <row r="3271" spans="1:25" ht="30" customHeight="1" thickBot="1" x14ac:dyDescent="0.4">
      <c r="A3271" s="481"/>
      <c r="B3271" s="482"/>
      <c r="C3271" s="482"/>
      <c r="D3271" s="482"/>
      <c r="E3271" s="482"/>
      <c r="F3271" s="482"/>
      <c r="G3271" s="482"/>
      <c r="H3271" s="482"/>
      <c r="I3271" s="482"/>
      <c r="J3271" s="482"/>
      <c r="K3271" s="482"/>
      <c r="L3271" s="483"/>
      <c r="M3271" s="173"/>
      <c r="N3271" s="68"/>
      <c r="O3271" s="208"/>
      <c r="P3271" s="218"/>
      <c r="Q3271" s="68"/>
      <c r="R3271" s="217"/>
      <c r="S3271" s="208"/>
    </row>
    <row r="3272" spans="1:25" ht="30" customHeight="1" x14ac:dyDescent="0.35">
      <c r="A3272" s="856" t="s">
        <v>278</v>
      </c>
      <c r="B3272" s="857">
        <v>7362</v>
      </c>
      <c r="C3272" s="1341" t="s">
        <v>1506</v>
      </c>
      <c r="D3272" s="1342"/>
      <c r="E3272" s="858" t="s">
        <v>280</v>
      </c>
      <c r="F3272" s="872" t="s">
        <v>8</v>
      </c>
      <c r="G3272" s="543" t="s">
        <v>285</v>
      </c>
      <c r="H3272" s="873">
        <v>5779</v>
      </c>
      <c r="I3272" s="858" t="s">
        <v>281</v>
      </c>
      <c r="J3272" s="1019" t="s">
        <v>2371</v>
      </c>
      <c r="K3272" s="1019"/>
      <c r="L3272" s="1020"/>
      <c r="M3272" s="173"/>
      <c r="N3272" s="68"/>
      <c r="O3272" s="203"/>
      <c r="P3272" s="218"/>
      <c r="Q3272" s="68"/>
      <c r="R3272" s="217"/>
    </row>
    <row r="3273" spans="1:25" s="208" customFormat="1" ht="30" customHeight="1" x14ac:dyDescent="0.35">
      <c r="A3273" s="861" t="s">
        <v>298</v>
      </c>
      <c r="B3273" s="1330" t="s">
        <v>321</v>
      </c>
      <c r="C3273" s="1331"/>
      <c r="D3273" s="1332"/>
      <c r="E3273" s="284" t="s">
        <v>290</v>
      </c>
      <c r="F3273" s="284" t="s">
        <v>322</v>
      </c>
      <c r="G3273" s="1333" t="s">
        <v>323</v>
      </c>
      <c r="H3273" s="1334"/>
      <c r="I3273" s="862" t="s">
        <v>1490</v>
      </c>
      <c r="J3273" s="862"/>
      <c r="K3273" s="1012" t="s">
        <v>292</v>
      </c>
      <c r="L3273" s="1013"/>
      <c r="M3273" s="363"/>
      <c r="N3273" s="68"/>
      <c r="O3273" s="203"/>
      <c r="P3273" s="218"/>
      <c r="Q3273" s="68"/>
      <c r="R3273" s="217"/>
      <c r="S3273" s="203"/>
      <c r="T3273" s="203"/>
      <c r="U3273" s="203"/>
      <c r="V3273" s="203"/>
      <c r="W3273" s="203"/>
      <c r="X3273" s="203"/>
      <c r="Y3273" s="203"/>
    </row>
    <row r="3274" spans="1:25" ht="30" customHeight="1" x14ac:dyDescent="0.35">
      <c r="A3274" s="863" t="s">
        <v>1491</v>
      </c>
      <c r="B3274" s="1335" t="s">
        <v>1492</v>
      </c>
      <c r="C3274" s="1336"/>
      <c r="D3274" s="1337"/>
      <c r="E3274" s="864">
        <v>128</v>
      </c>
      <c r="F3274" s="285" t="s">
        <v>8</v>
      </c>
      <c r="G3274" s="286"/>
      <c r="H3274" s="287"/>
      <c r="I3274" s="865">
        <v>1.04</v>
      </c>
      <c r="J3274" s="865"/>
      <c r="K3274" s="864">
        <f>+E3274*I3274</f>
        <v>133.12</v>
      </c>
      <c r="L3274" s="866" t="s">
        <v>8</v>
      </c>
      <c r="M3274" s="173"/>
      <c r="N3274" s="419"/>
      <c r="O3274" s="203"/>
      <c r="P3274" s="218"/>
      <c r="Q3274" s="68"/>
      <c r="R3274" s="217"/>
    </row>
    <row r="3275" spans="1:25" ht="30" customHeight="1" x14ac:dyDescent="0.35">
      <c r="A3275" s="867" t="s">
        <v>521</v>
      </c>
      <c r="B3275" s="1335" t="s">
        <v>1507</v>
      </c>
      <c r="C3275" s="1336"/>
      <c r="D3275" s="1337"/>
      <c r="E3275" s="864">
        <v>4.4800000000000004</v>
      </c>
      <c r="F3275" s="865" t="s">
        <v>8</v>
      </c>
      <c r="G3275" s="868">
        <v>0.121</v>
      </c>
      <c r="H3275" s="865" t="s">
        <v>1494</v>
      </c>
      <c r="I3275" s="865">
        <v>1.04</v>
      </c>
      <c r="J3275" s="865"/>
      <c r="K3275" s="864">
        <f>+E3275*G3275*I3275</f>
        <v>0.56376320000000002</v>
      </c>
      <c r="L3275" s="866" t="s">
        <v>8</v>
      </c>
      <c r="M3275" s="173"/>
      <c r="N3275" s="419"/>
      <c r="O3275" s="171"/>
      <c r="P3275" s="216"/>
      <c r="Q3275" s="419"/>
      <c r="R3275" s="219"/>
    </row>
    <row r="3276" spans="1:25" ht="30" customHeight="1" x14ac:dyDescent="0.35">
      <c r="A3276" s="869"/>
      <c r="B3276" s="1335"/>
      <c r="C3276" s="1336"/>
      <c r="D3276" s="1337"/>
      <c r="E3276" s="864"/>
      <c r="F3276" s="865"/>
      <c r="G3276" s="865"/>
      <c r="H3276" s="865"/>
      <c r="I3276" s="865"/>
      <c r="J3276" s="865" t="s">
        <v>335</v>
      </c>
      <c r="K3276" s="864">
        <f>SUM(K3274:K3275)</f>
        <v>133.68376320000002</v>
      </c>
      <c r="L3276" s="866" t="s">
        <v>8</v>
      </c>
      <c r="M3276" s="173"/>
      <c r="N3276" s="68"/>
      <c r="O3276" s="171"/>
      <c r="P3276" s="216"/>
      <c r="Q3276" s="419"/>
      <c r="R3276" s="219"/>
    </row>
    <row r="3277" spans="1:25" ht="30" customHeight="1" x14ac:dyDescent="0.35">
      <c r="A3277" s="241"/>
      <c r="B3277" s="506"/>
      <c r="C3277" s="506"/>
      <c r="D3277" s="506"/>
      <c r="E3277" s="453"/>
      <c r="F3277" s="1029" t="s">
        <v>302</v>
      </c>
      <c r="G3277" s="1058" t="s">
        <v>303</v>
      </c>
      <c r="H3277" s="1058"/>
      <c r="I3277" s="1058"/>
      <c r="J3277" s="1058"/>
      <c r="K3277" s="612">
        <v>1.07</v>
      </c>
      <c r="L3277" s="243"/>
      <c r="M3277" s="173"/>
      <c r="N3277" s="68"/>
      <c r="O3277" s="171"/>
      <c r="P3277" s="216"/>
      <c r="Q3277" s="419"/>
      <c r="R3277" s="219"/>
    </row>
    <row r="3278" spans="1:25" ht="30" customHeight="1" x14ac:dyDescent="0.35">
      <c r="A3278" s="241"/>
      <c r="B3278" s="506"/>
      <c r="C3278" s="506"/>
      <c r="D3278" s="506"/>
      <c r="E3278" s="453"/>
      <c r="F3278" s="1030"/>
      <c r="G3278" s="1073" t="s">
        <v>2374</v>
      </c>
      <c r="H3278" s="1073"/>
      <c r="I3278" s="1073"/>
      <c r="J3278" s="1073"/>
      <c r="K3278" s="612">
        <v>1.08</v>
      </c>
      <c r="L3278" s="243"/>
      <c r="M3278" s="363"/>
      <c r="N3278" s="68"/>
      <c r="O3278" s="171"/>
      <c r="P3278" s="216"/>
      <c r="Q3278" s="419"/>
      <c r="R3278" s="219"/>
    </row>
    <row r="3279" spans="1:25" ht="30" customHeight="1" x14ac:dyDescent="0.35">
      <c r="A3279" s="869"/>
      <c r="B3279" s="865"/>
      <c r="C3279" s="870"/>
      <c r="D3279" s="870"/>
      <c r="E3279" s="870"/>
      <c r="F3279" s="870"/>
      <c r="G3279" s="870"/>
      <c r="H3279" s="870"/>
      <c r="I3279" s="870"/>
      <c r="J3279" s="865" t="s">
        <v>2356</v>
      </c>
      <c r="K3279" s="871">
        <f>+K3276*K3277/K3278</f>
        <v>132.44595057777781</v>
      </c>
      <c r="L3279" s="866" t="s">
        <v>8</v>
      </c>
      <c r="M3279" s="173"/>
      <c r="N3279" s="68"/>
      <c r="O3279" s="203"/>
      <c r="P3279" s="218"/>
      <c r="Q3279" s="68"/>
      <c r="R3279" s="217"/>
      <c r="U3279" s="27"/>
      <c r="V3279" s="27"/>
      <c r="W3279" s="27"/>
      <c r="X3279" s="27"/>
    </row>
    <row r="3280" spans="1:25" ht="30" customHeight="1" x14ac:dyDescent="0.35">
      <c r="A3280" s="869"/>
      <c r="B3280" s="865"/>
      <c r="C3280" s="870"/>
      <c r="D3280" s="870"/>
      <c r="E3280" s="870"/>
      <c r="F3280" s="870"/>
      <c r="G3280" s="171"/>
      <c r="H3280" s="870"/>
      <c r="I3280" s="874" t="s">
        <v>2359</v>
      </c>
      <c r="J3280" s="583">
        <f>VLOOKUP(B3272,'Mil Cost Premiums for PUCs'!$A$4:$R$272,18,FALSE)</f>
        <v>1.3045524833281539</v>
      </c>
      <c r="K3280" s="871">
        <f>+K3279*J3280</f>
        <v>172.78269373299798</v>
      </c>
      <c r="L3280" s="866" t="s">
        <v>8</v>
      </c>
      <c r="M3280" s="173"/>
      <c r="N3280" s="68"/>
      <c r="O3280" s="203"/>
      <c r="P3280" s="218"/>
      <c r="Q3280" s="68"/>
      <c r="R3280" s="217"/>
      <c r="T3280" s="213"/>
      <c r="U3280" s="208"/>
      <c r="V3280" s="208"/>
      <c r="W3280" s="208"/>
      <c r="X3280" s="208"/>
      <c r="Y3280" s="27"/>
    </row>
    <row r="3281" spans="1:25" ht="60" customHeight="1" x14ac:dyDescent="0.35">
      <c r="A3281" s="1064" t="s">
        <v>305</v>
      </c>
      <c r="B3281" s="1065"/>
      <c r="C3281" s="1065"/>
      <c r="D3281" s="1065"/>
      <c r="E3281" s="1065"/>
      <c r="F3281" s="1065"/>
      <c r="G3281" s="1065"/>
      <c r="H3281" s="1065"/>
      <c r="I3281" s="1065"/>
      <c r="J3281" s="1065"/>
      <c r="K3281" s="1065"/>
      <c r="L3281" s="1066"/>
      <c r="M3281" s="173"/>
      <c r="N3281" s="68"/>
      <c r="T3281" s="51"/>
      <c r="Y3281" s="208"/>
    </row>
    <row r="3282" spans="1:25" ht="30" customHeight="1" x14ac:dyDescent="0.35">
      <c r="A3282" s="1077" t="s">
        <v>306</v>
      </c>
      <c r="B3282" s="1042"/>
      <c r="C3282" s="1043"/>
      <c r="D3282" s="1067" t="s">
        <v>1508</v>
      </c>
      <c r="E3282" s="1065"/>
      <c r="F3282" s="1065"/>
      <c r="G3282" s="1065"/>
      <c r="H3282" s="1065"/>
      <c r="I3282" s="1065"/>
      <c r="J3282" s="1065"/>
      <c r="K3282" s="1065"/>
      <c r="L3282" s="1066"/>
      <c r="M3282" s="173"/>
      <c r="N3282" s="68"/>
      <c r="P3282" s="75"/>
      <c r="Q3282" s="75"/>
      <c r="R3282" s="75"/>
      <c r="S3282" s="213"/>
      <c r="T3282" s="51"/>
      <c r="U3282" s="171"/>
    </row>
    <row r="3283" spans="1:25" s="27" customFormat="1" ht="30" customHeight="1" x14ac:dyDescent="0.35">
      <c r="A3283" s="1077" t="s">
        <v>307</v>
      </c>
      <c r="B3283" s="1042"/>
      <c r="C3283" s="1043"/>
      <c r="D3283" s="1067" t="s">
        <v>1509</v>
      </c>
      <c r="E3283" s="1065"/>
      <c r="F3283" s="1065"/>
      <c r="G3283" s="1065"/>
      <c r="H3283" s="1065"/>
      <c r="I3283" s="1065"/>
      <c r="J3283" s="1065"/>
      <c r="K3283" s="1065"/>
      <c r="L3283" s="1066"/>
      <c r="M3283" s="173"/>
      <c r="N3283" s="68"/>
      <c r="O3283" s="205"/>
      <c r="P3283" s="171"/>
      <c r="Q3283" s="171"/>
      <c r="R3283" s="171"/>
      <c r="S3283" s="51"/>
      <c r="U3283" s="171"/>
      <c r="V3283" s="203"/>
      <c r="W3283" s="203"/>
      <c r="X3283" s="203"/>
      <c r="Y3283" s="203"/>
    </row>
    <row r="3284" spans="1:25" s="208" customFormat="1" ht="30" customHeight="1" x14ac:dyDescent="0.35">
      <c r="A3284" s="1077" t="s">
        <v>308</v>
      </c>
      <c r="B3284" s="1042"/>
      <c r="C3284" s="1043"/>
      <c r="D3284" s="1067" t="s">
        <v>3104</v>
      </c>
      <c r="E3284" s="1065"/>
      <c r="F3284" s="1065"/>
      <c r="G3284" s="1065"/>
      <c r="H3284" s="1065"/>
      <c r="I3284" s="1065"/>
      <c r="J3284" s="1065"/>
      <c r="K3284" s="1065"/>
      <c r="L3284" s="1066"/>
      <c r="M3284" s="173"/>
      <c r="N3284" s="419"/>
      <c r="O3284" s="205"/>
      <c r="P3284" s="171"/>
      <c r="Q3284" s="171"/>
      <c r="R3284" s="171"/>
      <c r="S3284" s="51"/>
      <c r="T3284" s="203"/>
      <c r="U3284" s="203"/>
      <c r="V3284" s="203"/>
      <c r="W3284" s="203"/>
      <c r="X3284" s="203"/>
      <c r="Y3284" s="203"/>
    </row>
    <row r="3285" spans="1:25" ht="60" customHeight="1" x14ac:dyDescent="0.35">
      <c r="A3285" s="1077" t="s">
        <v>309</v>
      </c>
      <c r="B3285" s="1042"/>
      <c r="C3285" s="1043"/>
      <c r="D3285" s="1067" t="s">
        <v>3103</v>
      </c>
      <c r="E3285" s="1065"/>
      <c r="F3285" s="1065"/>
      <c r="G3285" s="1065"/>
      <c r="H3285" s="1065"/>
      <c r="I3285" s="1065"/>
      <c r="J3285" s="1065"/>
      <c r="K3285" s="1065"/>
      <c r="L3285" s="1066"/>
      <c r="M3285" s="173"/>
      <c r="N3285" s="164"/>
      <c r="O3285" s="207"/>
      <c r="P3285" s="27"/>
      <c r="Q3285" s="27"/>
      <c r="R3285" s="27"/>
      <c r="S3285" s="27"/>
      <c r="T3285" s="208"/>
      <c r="U3285" s="208"/>
      <c r="V3285" s="208"/>
      <c r="W3285" s="208"/>
      <c r="X3285" s="208"/>
    </row>
    <row r="3286" spans="1:25" ht="30" customHeight="1" x14ac:dyDescent="0.35">
      <c r="A3286" s="1077" t="s">
        <v>311</v>
      </c>
      <c r="B3286" s="1042"/>
      <c r="C3286" s="1043"/>
      <c r="D3286" s="1067" t="s">
        <v>1510</v>
      </c>
      <c r="E3286" s="1065"/>
      <c r="F3286" s="1065"/>
      <c r="G3286" s="1065"/>
      <c r="H3286" s="1065"/>
      <c r="I3286" s="1065"/>
      <c r="J3286" s="1065"/>
      <c r="K3286" s="1065"/>
      <c r="L3286" s="1066"/>
      <c r="M3286" s="173"/>
      <c r="N3286" s="419"/>
      <c r="O3286" s="203"/>
      <c r="P3286" s="218"/>
      <c r="Q3286" s="68"/>
      <c r="R3286" s="217"/>
      <c r="Y3286" s="208"/>
    </row>
    <row r="3287" spans="1:25" ht="30" customHeight="1" x14ac:dyDescent="0.35">
      <c r="A3287" s="1077" t="s">
        <v>313</v>
      </c>
      <c r="B3287" s="1042"/>
      <c r="C3287" s="1043"/>
      <c r="D3287" s="1067" t="s">
        <v>314</v>
      </c>
      <c r="E3287" s="1065"/>
      <c r="F3287" s="1065"/>
      <c r="G3287" s="1065"/>
      <c r="H3287" s="1065"/>
      <c r="I3287" s="1065"/>
      <c r="J3287" s="1065"/>
      <c r="K3287" s="1065"/>
      <c r="L3287" s="1066"/>
      <c r="M3287" s="363"/>
      <c r="N3287" s="416"/>
      <c r="O3287" s="69"/>
      <c r="P3287" s="374"/>
      <c r="Q3287" s="69"/>
      <c r="R3287" s="69"/>
      <c r="S3287" s="69"/>
      <c r="T3287" s="69"/>
      <c r="U3287" s="69"/>
      <c r="V3287" s="69"/>
      <c r="W3287" s="69"/>
      <c r="X3287" s="69"/>
      <c r="Y3287" s="69"/>
    </row>
    <row r="3288" spans="1:25" ht="30" customHeight="1" x14ac:dyDescent="0.35">
      <c r="A3288" s="1077" t="s">
        <v>315</v>
      </c>
      <c r="B3288" s="1042"/>
      <c r="C3288" s="1043"/>
      <c r="D3288" s="1067" t="s">
        <v>1511</v>
      </c>
      <c r="E3288" s="1065"/>
      <c r="F3288" s="1065"/>
      <c r="G3288" s="1065"/>
      <c r="H3288" s="1065"/>
      <c r="I3288" s="1065"/>
      <c r="J3288" s="1065"/>
      <c r="K3288" s="1065"/>
      <c r="L3288" s="1066"/>
      <c r="M3288" s="173"/>
      <c r="N3288" s="68"/>
      <c r="O3288" s="203"/>
      <c r="P3288" s="218"/>
      <c r="Q3288" s="68"/>
      <c r="R3288" s="217"/>
    </row>
    <row r="3289" spans="1:25" s="208" customFormat="1" ht="75" customHeight="1" x14ac:dyDescent="0.35">
      <c r="A3289" s="1077" t="s">
        <v>316</v>
      </c>
      <c r="B3289" s="1042"/>
      <c r="C3289" s="1043"/>
      <c r="D3289" s="1067" t="s">
        <v>373</v>
      </c>
      <c r="E3289" s="1065"/>
      <c r="F3289" s="1065"/>
      <c r="G3289" s="1065"/>
      <c r="H3289" s="1065"/>
      <c r="I3289" s="1065"/>
      <c r="J3289" s="1065"/>
      <c r="K3289" s="1065"/>
      <c r="L3289" s="1066"/>
      <c r="M3289" s="173"/>
      <c r="N3289" s="68"/>
      <c r="O3289" s="203"/>
      <c r="P3289" s="218"/>
      <c r="Q3289" s="68"/>
      <c r="R3289" s="217"/>
      <c r="S3289" s="203"/>
      <c r="T3289" s="203"/>
      <c r="U3289" s="203"/>
      <c r="V3289" s="203"/>
      <c r="W3289" s="203"/>
      <c r="X3289" s="203"/>
      <c r="Y3289" s="203"/>
    </row>
    <row r="3290" spans="1:25" s="69" customFormat="1" ht="45" customHeight="1" thickBot="1" x14ac:dyDescent="0.4">
      <c r="A3290" s="1077" t="s">
        <v>318</v>
      </c>
      <c r="B3290" s="1042"/>
      <c r="C3290" s="1043"/>
      <c r="D3290" s="1068" t="s">
        <v>3102</v>
      </c>
      <c r="E3290" s="1069"/>
      <c r="F3290" s="1069"/>
      <c r="G3290" s="1069"/>
      <c r="H3290" s="1069"/>
      <c r="I3290" s="1069"/>
      <c r="J3290" s="1069"/>
      <c r="K3290" s="1069"/>
      <c r="L3290" s="1070"/>
      <c r="M3290" s="173"/>
      <c r="N3290" s="68"/>
      <c r="O3290" s="203"/>
      <c r="P3290" s="218"/>
      <c r="Q3290" s="68"/>
      <c r="R3290" s="217"/>
      <c r="S3290" s="203"/>
      <c r="T3290" s="203"/>
      <c r="U3290" s="203"/>
      <c r="V3290" s="203"/>
      <c r="W3290" s="203"/>
      <c r="X3290" s="203"/>
      <c r="Y3290" s="203"/>
    </row>
    <row r="3291" spans="1:25" ht="30" customHeight="1" thickBot="1" x14ac:dyDescent="0.4">
      <c r="A3291" s="481"/>
      <c r="B3291" s="482"/>
      <c r="C3291" s="482"/>
      <c r="D3291" s="482"/>
      <c r="E3291" s="482"/>
      <c r="F3291" s="482"/>
      <c r="G3291" s="482"/>
      <c r="H3291" s="482"/>
      <c r="I3291" s="482"/>
      <c r="J3291" s="482"/>
      <c r="K3291" s="482"/>
      <c r="L3291" s="483"/>
      <c r="M3291" s="173"/>
      <c r="N3291" s="68"/>
      <c r="O3291" s="171"/>
      <c r="P3291" s="216"/>
      <c r="Q3291" s="419"/>
      <c r="R3291" s="219"/>
    </row>
    <row r="3292" spans="1:25" ht="30" customHeight="1" x14ac:dyDescent="0.35">
      <c r="A3292" s="465" t="s">
        <v>278</v>
      </c>
      <c r="B3292" s="539">
        <v>7371</v>
      </c>
      <c r="C3292" s="1060" t="s">
        <v>1512</v>
      </c>
      <c r="D3292" s="1061"/>
      <c r="E3292" s="541" t="s">
        <v>280</v>
      </c>
      <c r="F3292" s="542" t="s">
        <v>8</v>
      </c>
      <c r="G3292" s="543" t="s">
        <v>285</v>
      </c>
      <c r="H3292" s="569">
        <v>11865</v>
      </c>
      <c r="I3292" s="541" t="s">
        <v>281</v>
      </c>
      <c r="J3292" s="1019" t="s">
        <v>415</v>
      </c>
      <c r="K3292" s="1019"/>
      <c r="L3292" s="1020"/>
      <c r="M3292" s="373"/>
      <c r="O3292" s="171"/>
      <c r="P3292" s="216"/>
      <c r="Q3292" s="419"/>
      <c r="R3292" s="219"/>
    </row>
    <row r="3293" spans="1:25" ht="30" customHeight="1" x14ac:dyDescent="0.35">
      <c r="A3293" s="545" t="s">
        <v>288</v>
      </c>
      <c r="B3293" s="1051" t="s">
        <v>282</v>
      </c>
      <c r="C3293" s="1051"/>
      <c r="D3293" s="1051"/>
      <c r="E3293" s="561" t="s">
        <v>290</v>
      </c>
      <c r="F3293" s="509" t="s">
        <v>289</v>
      </c>
      <c r="G3293" s="1094" t="s">
        <v>323</v>
      </c>
      <c r="H3293" s="1095"/>
      <c r="I3293" s="1052" t="s">
        <v>405</v>
      </c>
      <c r="J3293" s="1053"/>
      <c r="K3293" s="1012" t="s">
        <v>292</v>
      </c>
      <c r="L3293" s="1013"/>
      <c r="M3293" s="173"/>
      <c r="O3293" s="203"/>
      <c r="P3293" s="218"/>
      <c r="Q3293" s="68"/>
      <c r="R3293" s="217"/>
    </row>
    <row r="3294" spans="1:25" ht="30" customHeight="1" x14ac:dyDescent="0.35">
      <c r="A3294" s="241">
        <v>74017</v>
      </c>
      <c r="B3294" s="1031" t="s">
        <v>2318</v>
      </c>
      <c r="C3294" s="1032"/>
      <c r="D3294" s="1033"/>
      <c r="E3294" s="453">
        <v>241</v>
      </c>
      <c r="F3294" s="694">
        <v>23000</v>
      </c>
      <c r="G3294" s="726"/>
      <c r="H3294" s="462"/>
      <c r="I3294" s="1091">
        <f>+'2021 MILCON Inflation Table'!$F$16</f>
        <v>1.0201832129291724</v>
      </c>
      <c r="J3294" s="1092"/>
      <c r="K3294" s="463">
        <f>+E3294*I3294</f>
        <v>245.86415431593053</v>
      </c>
      <c r="L3294" s="564" t="s">
        <v>8</v>
      </c>
      <c r="M3294" s="173"/>
      <c r="O3294" s="203"/>
      <c r="P3294" s="218"/>
      <c r="Q3294" s="68"/>
      <c r="R3294" s="217"/>
    </row>
    <row r="3295" spans="1:25" ht="30" customHeight="1" thickBot="1" x14ac:dyDescent="0.4">
      <c r="A3295" s="241"/>
      <c r="B3295" s="1031"/>
      <c r="C3295" s="1032"/>
      <c r="D3295" s="1033"/>
      <c r="E3295" s="553"/>
      <c r="F3295" s="706"/>
      <c r="G3295" s="553"/>
      <c r="H3295" s="707"/>
      <c r="I3295" s="458"/>
      <c r="J3295" s="510" t="s">
        <v>2356</v>
      </c>
      <c r="K3295" s="459">
        <f>SUM(K3294:K3294)</f>
        <v>245.86415431593053</v>
      </c>
      <c r="L3295" s="564" t="s">
        <v>8</v>
      </c>
      <c r="M3295" s="173"/>
      <c r="O3295" s="203"/>
      <c r="P3295" s="218"/>
      <c r="Q3295" s="68"/>
      <c r="R3295" s="217"/>
      <c r="T3295" s="208"/>
      <c r="U3295" s="208"/>
      <c r="V3295" s="208"/>
      <c r="W3295" s="208"/>
      <c r="X3295" s="208"/>
    </row>
    <row r="3296" spans="1:25" ht="30" customHeight="1" thickBot="1" x14ac:dyDescent="0.4">
      <c r="A3296" s="481"/>
      <c r="B3296" s="482"/>
      <c r="C3296" s="482"/>
      <c r="D3296" s="482"/>
      <c r="E3296" s="482"/>
      <c r="F3296" s="482"/>
      <c r="G3296" s="482"/>
      <c r="H3296" s="482"/>
      <c r="I3296" s="482"/>
      <c r="J3296" s="482"/>
      <c r="K3296" s="482"/>
      <c r="L3296" s="483"/>
      <c r="M3296" s="173"/>
      <c r="N3296" s="230"/>
      <c r="O3296" s="203"/>
      <c r="P3296" s="218"/>
      <c r="Q3296" s="68"/>
      <c r="R3296" s="217"/>
      <c r="Y3296" s="208"/>
    </row>
    <row r="3297" spans="1:25" ht="30" customHeight="1" x14ac:dyDescent="0.35">
      <c r="A3297" s="465" t="s">
        <v>278</v>
      </c>
      <c r="B3297" s="539">
        <v>7372</v>
      </c>
      <c r="C3297" s="1017" t="s">
        <v>1513</v>
      </c>
      <c r="D3297" s="1018"/>
      <c r="E3297" s="541" t="s">
        <v>280</v>
      </c>
      <c r="F3297" s="542" t="s">
        <v>8</v>
      </c>
      <c r="G3297" s="543" t="s">
        <v>285</v>
      </c>
      <c r="H3297" s="555">
        <v>7595</v>
      </c>
      <c r="I3297" s="541" t="s">
        <v>281</v>
      </c>
      <c r="J3297" s="1019" t="s">
        <v>2371</v>
      </c>
      <c r="K3297" s="1019"/>
      <c r="L3297" s="1020"/>
      <c r="M3297" s="173"/>
      <c r="N3297" s="68"/>
      <c r="O3297" s="208"/>
      <c r="P3297" s="218"/>
      <c r="Q3297" s="68"/>
      <c r="R3297" s="217"/>
      <c r="S3297" s="208"/>
    </row>
    <row r="3298" spans="1:25" ht="30" customHeight="1" x14ac:dyDescent="0.35">
      <c r="A3298" s="588" t="s">
        <v>298</v>
      </c>
      <c r="B3298" s="1038" t="s">
        <v>321</v>
      </c>
      <c r="C3298" s="1039"/>
      <c r="D3298" s="1040"/>
      <c r="E3298" s="23" t="s">
        <v>290</v>
      </c>
      <c r="F3298" s="23" t="s">
        <v>322</v>
      </c>
      <c r="G3298" s="1034" t="s">
        <v>323</v>
      </c>
      <c r="H3298" s="1035"/>
      <c r="I3298" s="509" t="s">
        <v>299</v>
      </c>
      <c r="J3298" s="509"/>
      <c r="K3298" s="1012" t="s">
        <v>292</v>
      </c>
      <c r="L3298" s="1013"/>
      <c r="M3298" s="173"/>
      <c r="N3298" s="68"/>
      <c r="O3298" s="203"/>
      <c r="P3298" s="218"/>
      <c r="Q3298" s="68"/>
      <c r="R3298" s="217"/>
    </row>
    <row r="3299" spans="1:25" s="208" customFormat="1" ht="45" customHeight="1" x14ac:dyDescent="0.35">
      <c r="A3299" s="717" t="s">
        <v>1514</v>
      </c>
      <c r="B3299" s="1031" t="s">
        <v>1515</v>
      </c>
      <c r="C3299" s="1032"/>
      <c r="D3299" s="1033"/>
      <c r="E3299" s="453">
        <v>128</v>
      </c>
      <c r="F3299" s="3" t="s">
        <v>8</v>
      </c>
      <c r="G3299" s="496"/>
      <c r="H3299" s="498"/>
      <c r="I3299" s="446">
        <v>1.05</v>
      </c>
      <c r="J3299" s="446"/>
      <c r="K3299" s="453">
        <f>+E3299*I3299</f>
        <v>134.4</v>
      </c>
      <c r="L3299" s="243" t="s">
        <v>8</v>
      </c>
      <c r="M3299" s="173"/>
      <c r="N3299" s="68"/>
      <c r="O3299" s="203"/>
      <c r="P3299" s="218"/>
      <c r="Q3299" s="68"/>
      <c r="R3299" s="217"/>
      <c r="S3299" s="203"/>
      <c r="T3299" s="203"/>
      <c r="U3299" s="203"/>
      <c r="V3299" s="203"/>
      <c r="W3299" s="203"/>
      <c r="X3299" s="203"/>
      <c r="Y3299" s="203"/>
    </row>
    <row r="3300" spans="1:25" ht="30" customHeight="1" x14ac:dyDescent="0.35">
      <c r="A3300" s="832" t="s">
        <v>397</v>
      </c>
      <c r="B3300" s="1102" t="s">
        <v>1493</v>
      </c>
      <c r="C3300" s="1102"/>
      <c r="D3300" s="1102"/>
      <c r="E3300" s="453">
        <v>4.0199999999999996</v>
      </c>
      <c r="F3300" s="446" t="s">
        <v>8</v>
      </c>
      <c r="G3300" s="446"/>
      <c r="H3300" s="446"/>
      <c r="I3300" s="446">
        <v>1.05</v>
      </c>
      <c r="J3300" s="446"/>
      <c r="K3300" s="453">
        <f>+E3300*I3300</f>
        <v>4.2210000000000001</v>
      </c>
      <c r="L3300" s="243" t="s">
        <v>8</v>
      </c>
      <c r="M3300" s="173"/>
      <c r="N3300" s="419"/>
      <c r="O3300" s="203"/>
      <c r="P3300" s="218"/>
      <c r="Q3300" s="68"/>
      <c r="R3300" s="217"/>
    </row>
    <row r="3301" spans="1:25" ht="30" customHeight="1" x14ac:dyDescent="0.35">
      <c r="A3301" s="241"/>
      <c r="B3301" s="1102"/>
      <c r="C3301" s="1102"/>
      <c r="D3301" s="1102"/>
      <c r="E3301" s="453"/>
      <c r="F3301" s="446"/>
      <c r="G3301" s="454"/>
      <c r="H3301" s="446"/>
      <c r="I3301" s="446"/>
      <c r="J3301" s="446" t="s">
        <v>335</v>
      </c>
      <c r="K3301" s="453">
        <f>SUM(K3299:K3300)</f>
        <v>138.62100000000001</v>
      </c>
      <c r="L3301" s="243" t="s">
        <v>8</v>
      </c>
      <c r="M3301" s="173"/>
      <c r="N3301" s="419"/>
      <c r="O3301" s="171"/>
      <c r="P3301" s="216"/>
      <c r="Q3301" s="419"/>
      <c r="R3301" s="219"/>
    </row>
    <row r="3302" spans="1:25" ht="30" customHeight="1" x14ac:dyDescent="0.35">
      <c r="A3302" s="241"/>
      <c r="B3302" s="506"/>
      <c r="C3302" s="506"/>
      <c r="D3302" s="506"/>
      <c r="E3302" s="453"/>
      <c r="F3302" s="1029" t="s">
        <v>302</v>
      </c>
      <c r="G3302" s="1058" t="s">
        <v>303</v>
      </c>
      <c r="H3302" s="1058"/>
      <c r="I3302" s="1058"/>
      <c r="J3302" s="1058"/>
      <c r="K3302" s="612">
        <v>1.07</v>
      </c>
      <c r="L3302" s="243"/>
      <c r="M3302" s="173"/>
      <c r="N3302" s="68"/>
      <c r="O3302" s="171"/>
      <c r="P3302" s="216"/>
      <c r="Q3302" s="419"/>
      <c r="R3302" s="219"/>
    </row>
    <row r="3303" spans="1:25" ht="30" customHeight="1" x14ac:dyDescent="0.35">
      <c r="A3303" s="241"/>
      <c r="B3303" s="506"/>
      <c r="C3303" s="506"/>
      <c r="D3303" s="506"/>
      <c r="E3303" s="453"/>
      <c r="F3303" s="1030"/>
      <c r="G3303" s="1073" t="s">
        <v>2374</v>
      </c>
      <c r="H3303" s="1073"/>
      <c r="I3303" s="1073"/>
      <c r="J3303" s="1073"/>
      <c r="K3303" s="612">
        <v>1.08</v>
      </c>
      <c r="L3303" s="243"/>
      <c r="M3303" s="363"/>
      <c r="N3303" s="68"/>
      <c r="O3303" s="203"/>
      <c r="P3303" s="218"/>
      <c r="Q3303" s="68"/>
      <c r="R3303" s="217"/>
    </row>
    <row r="3304" spans="1:25" ht="30" customHeight="1" x14ac:dyDescent="0.35">
      <c r="A3304" s="241"/>
      <c r="B3304" s="446"/>
      <c r="C3304" s="458"/>
      <c r="D3304" s="458"/>
      <c r="E3304" s="458"/>
      <c r="F3304" s="458"/>
      <c r="G3304" s="458"/>
      <c r="H3304" s="458"/>
      <c r="I3304" s="458"/>
      <c r="J3304" s="446" t="s">
        <v>2356</v>
      </c>
      <c r="K3304" s="591">
        <f>+K3301*K3302/K3303</f>
        <v>137.33747222222223</v>
      </c>
      <c r="L3304" s="243" t="s">
        <v>8</v>
      </c>
      <c r="M3304" s="173"/>
      <c r="N3304" s="68"/>
      <c r="O3304" s="203"/>
      <c r="P3304" s="218"/>
      <c r="Q3304" s="68"/>
      <c r="R3304" s="217"/>
    </row>
    <row r="3305" spans="1:25" ht="30" customHeight="1" thickBot="1" x14ac:dyDescent="0.4">
      <c r="A3305" s="241"/>
      <c r="B3305" s="446"/>
      <c r="C3305" s="458"/>
      <c r="D3305" s="458"/>
      <c r="E3305" s="458"/>
      <c r="F3305" s="458"/>
      <c r="G3305" s="592" t="s">
        <v>2358</v>
      </c>
      <c r="H3305" s="458"/>
      <c r="I3305" s="458"/>
      <c r="J3305" s="583">
        <f>VLOOKUP(B3297,'Mil Cost Premiums for PUCs'!$A$4:$R$272,18,FALSE)</f>
        <v>1.3319480854780448</v>
      </c>
      <c r="K3305" s="591">
        <f>+K3304*J3305</f>
        <v>182.92638319078307</v>
      </c>
      <c r="L3305" s="243" t="s">
        <v>8</v>
      </c>
      <c r="M3305" s="173"/>
      <c r="N3305" s="68"/>
      <c r="O3305" s="203"/>
      <c r="P3305" s="218"/>
      <c r="Q3305" s="68"/>
      <c r="R3305" s="217"/>
      <c r="T3305" s="208"/>
      <c r="U3305" s="208"/>
      <c r="V3305" s="208"/>
      <c r="W3305" s="208"/>
      <c r="X3305" s="208"/>
    </row>
    <row r="3306" spans="1:25" ht="30" customHeight="1" thickBot="1" x14ac:dyDescent="0.4">
      <c r="A3306" s="481"/>
      <c r="B3306" s="482"/>
      <c r="C3306" s="482"/>
      <c r="D3306" s="482"/>
      <c r="E3306" s="482"/>
      <c r="F3306" s="482"/>
      <c r="G3306" s="482"/>
      <c r="H3306" s="482"/>
      <c r="I3306" s="482"/>
      <c r="J3306" s="482"/>
      <c r="K3306" s="482"/>
      <c r="L3306" s="483"/>
      <c r="M3306" s="173"/>
      <c r="N3306" s="68"/>
      <c r="O3306" s="203"/>
      <c r="P3306" s="218"/>
      <c r="Q3306" s="68"/>
      <c r="R3306" s="217"/>
      <c r="Y3306" s="208"/>
    </row>
    <row r="3307" spans="1:25" ht="30" customHeight="1" x14ac:dyDescent="0.35">
      <c r="A3307" s="465" t="s">
        <v>278</v>
      </c>
      <c r="B3307" s="539">
        <v>7380</v>
      </c>
      <c r="C3307" s="1096" t="s">
        <v>3105</v>
      </c>
      <c r="D3307" s="1097"/>
      <c r="E3307" s="543" t="s">
        <v>285</v>
      </c>
      <c r="F3307" s="854">
        <v>6040</v>
      </c>
      <c r="G3307" s="541" t="s">
        <v>280</v>
      </c>
      <c r="H3307" s="542" t="s">
        <v>8</v>
      </c>
      <c r="I3307" s="541" t="s">
        <v>281</v>
      </c>
      <c r="J3307" s="1098" t="s">
        <v>2902</v>
      </c>
      <c r="K3307" s="1099"/>
      <c r="L3307" s="1100"/>
      <c r="M3307" s="173"/>
      <c r="N3307" s="68"/>
      <c r="O3307" s="208"/>
      <c r="P3307" s="218"/>
      <c r="Q3307" s="68"/>
      <c r="R3307" s="217"/>
      <c r="S3307" s="208"/>
    </row>
    <row r="3308" spans="1:25" ht="30" customHeight="1" x14ac:dyDescent="0.35">
      <c r="A3308" s="545"/>
      <c r="B3308" s="1021" t="s">
        <v>2921</v>
      </c>
      <c r="C3308" s="1021"/>
      <c r="D3308" s="1021"/>
      <c r="E3308" s="509" t="s">
        <v>290</v>
      </c>
      <c r="F3308" s="509" t="s">
        <v>322</v>
      </c>
      <c r="G3308" s="1034" t="s">
        <v>323</v>
      </c>
      <c r="H3308" s="1035"/>
      <c r="I3308" s="509" t="s">
        <v>327</v>
      </c>
      <c r="J3308" s="509" t="s">
        <v>419</v>
      </c>
      <c r="K3308" s="1012" t="s">
        <v>2356</v>
      </c>
      <c r="L3308" s="1013"/>
      <c r="M3308" s="173"/>
      <c r="N3308" s="68"/>
      <c r="O3308" s="203"/>
      <c r="P3308" s="218"/>
      <c r="Q3308" s="68"/>
      <c r="R3308" s="217"/>
    </row>
    <row r="3309" spans="1:25" s="208" customFormat="1" ht="30" customHeight="1" thickBot="1" x14ac:dyDescent="0.4">
      <c r="A3309" s="546"/>
      <c r="B3309" s="1265" t="s">
        <v>4</v>
      </c>
      <c r="C3309" s="1265"/>
      <c r="D3309" s="1265"/>
      <c r="E3309" s="547"/>
      <c r="F3309" s="548"/>
      <c r="G3309" s="1015"/>
      <c r="H3309" s="1016"/>
      <c r="I3309" s="549"/>
      <c r="J3309" s="550"/>
      <c r="K3309" s="551" t="str">
        <f>B3309</f>
        <v>N/A</v>
      </c>
      <c r="L3309" s="552" t="s">
        <v>8</v>
      </c>
      <c r="M3309" s="173"/>
      <c r="N3309" s="68"/>
      <c r="O3309" s="203"/>
      <c r="P3309" s="218"/>
      <c r="Q3309" s="68"/>
      <c r="R3309" s="217"/>
      <c r="S3309" s="203"/>
      <c r="T3309" s="203"/>
      <c r="U3309" s="203"/>
      <c r="V3309" s="203"/>
      <c r="W3309" s="203"/>
      <c r="X3309" s="203"/>
      <c r="Y3309" s="203"/>
    </row>
    <row r="3310" spans="1:25" ht="30" customHeight="1" thickBot="1" x14ac:dyDescent="0.4">
      <c r="A3310" s="1412"/>
      <c r="B3310" s="1413"/>
      <c r="C3310" s="1413"/>
      <c r="D3310" s="1413"/>
      <c r="E3310" s="1413"/>
      <c r="F3310" s="1413"/>
      <c r="G3310" s="1413"/>
      <c r="H3310" s="1413"/>
      <c r="I3310" s="1413"/>
      <c r="J3310" s="1413"/>
      <c r="K3310" s="1413"/>
      <c r="L3310" s="1414"/>
      <c r="M3310" s="173"/>
      <c r="N3310" s="419"/>
      <c r="O3310" s="203"/>
      <c r="P3310" s="218"/>
      <c r="Q3310" s="68"/>
      <c r="R3310" s="217"/>
    </row>
    <row r="3311" spans="1:25" ht="30" customHeight="1" x14ac:dyDescent="0.35">
      <c r="A3311" s="465" t="s">
        <v>278</v>
      </c>
      <c r="B3311" s="539">
        <v>7381</v>
      </c>
      <c r="C3311" s="1017" t="s">
        <v>1517</v>
      </c>
      <c r="D3311" s="1018"/>
      <c r="E3311" s="541" t="s">
        <v>280</v>
      </c>
      <c r="F3311" s="542" t="s">
        <v>8</v>
      </c>
      <c r="G3311" s="543" t="s">
        <v>285</v>
      </c>
      <c r="H3311" s="875">
        <v>430</v>
      </c>
      <c r="I3311" s="541" t="s">
        <v>281</v>
      </c>
      <c r="J3311" s="1019" t="s">
        <v>2371</v>
      </c>
      <c r="K3311" s="1019"/>
      <c r="L3311" s="1020"/>
      <c r="M3311" s="173"/>
      <c r="N3311" s="419"/>
      <c r="O3311" s="171"/>
      <c r="P3311" s="216"/>
      <c r="Q3311" s="419"/>
      <c r="R3311" s="219"/>
    </row>
    <row r="3312" spans="1:25" ht="30" customHeight="1" x14ac:dyDescent="0.35">
      <c r="A3312" s="588" t="s">
        <v>298</v>
      </c>
      <c r="B3312" s="1038" t="s">
        <v>321</v>
      </c>
      <c r="C3312" s="1039"/>
      <c r="D3312" s="1040"/>
      <c r="E3312" s="23" t="s">
        <v>290</v>
      </c>
      <c r="F3312" s="23" t="s">
        <v>322</v>
      </c>
      <c r="G3312" s="1034" t="s">
        <v>323</v>
      </c>
      <c r="H3312" s="1035"/>
      <c r="I3312" s="509" t="s">
        <v>299</v>
      </c>
      <c r="J3312" s="509"/>
      <c r="K3312" s="1012" t="s">
        <v>292</v>
      </c>
      <c r="L3312" s="1013"/>
      <c r="M3312" s="173"/>
      <c r="N3312" s="68"/>
      <c r="O3312" s="171"/>
      <c r="P3312" s="216"/>
      <c r="Q3312" s="419"/>
      <c r="R3312" s="219"/>
    </row>
    <row r="3313" spans="1:25" ht="30" customHeight="1" x14ac:dyDescent="0.35">
      <c r="A3313" s="717" t="s">
        <v>1518</v>
      </c>
      <c r="B3313" s="1031" t="s">
        <v>1519</v>
      </c>
      <c r="C3313" s="1032"/>
      <c r="D3313" s="1033"/>
      <c r="E3313" s="453">
        <v>81.5</v>
      </c>
      <c r="F3313" s="3" t="s">
        <v>8</v>
      </c>
      <c r="G3313" s="496"/>
      <c r="H3313" s="498"/>
      <c r="I3313" s="665">
        <v>1.06</v>
      </c>
      <c r="J3313" s="446"/>
      <c r="K3313" s="453">
        <f>+E3313*I3313</f>
        <v>86.39</v>
      </c>
      <c r="L3313" s="243" t="s">
        <v>8</v>
      </c>
      <c r="M3313" s="173"/>
      <c r="N3313" s="68"/>
      <c r="O3313" s="203"/>
      <c r="P3313" s="218"/>
      <c r="Q3313" s="68"/>
      <c r="R3313" s="217"/>
      <c r="Y3313" s="208"/>
    </row>
    <row r="3314" spans="1:25" ht="30" customHeight="1" x14ac:dyDescent="0.35">
      <c r="A3314" s="241"/>
      <c r="B3314" s="506"/>
      <c r="C3314" s="506"/>
      <c r="D3314" s="506"/>
      <c r="E3314" s="453"/>
      <c r="F3314" s="1029" t="s">
        <v>302</v>
      </c>
      <c r="G3314" s="1058" t="s">
        <v>303</v>
      </c>
      <c r="H3314" s="1058"/>
      <c r="I3314" s="1058"/>
      <c r="J3314" s="1058"/>
      <c r="K3314" s="612">
        <v>1.07</v>
      </c>
      <c r="L3314" s="243"/>
      <c r="M3314" s="173"/>
      <c r="N3314" s="68"/>
      <c r="O3314" s="208"/>
      <c r="P3314" s="218"/>
      <c r="Q3314" s="68"/>
      <c r="R3314" s="217"/>
      <c r="S3314" s="208"/>
    </row>
    <row r="3315" spans="1:25" ht="30" customHeight="1" x14ac:dyDescent="0.35">
      <c r="A3315" s="241"/>
      <c r="B3315" s="506"/>
      <c r="C3315" s="506"/>
      <c r="D3315" s="506"/>
      <c r="E3315" s="453"/>
      <c r="F3315" s="1030"/>
      <c r="G3315" s="1073" t="s">
        <v>2374</v>
      </c>
      <c r="H3315" s="1073"/>
      <c r="I3315" s="1073"/>
      <c r="J3315" s="1073"/>
      <c r="K3315" s="612">
        <v>1.08</v>
      </c>
      <c r="L3315" s="243"/>
      <c r="M3315" s="173"/>
      <c r="N3315" s="68"/>
      <c r="O3315" s="203"/>
      <c r="P3315" s="218"/>
      <c r="Q3315" s="68"/>
      <c r="R3315" s="217"/>
    </row>
    <row r="3316" spans="1:25" s="208" customFormat="1" ht="30" customHeight="1" x14ac:dyDescent="0.35">
      <c r="A3316" s="241"/>
      <c r="B3316" s="446"/>
      <c r="C3316" s="458"/>
      <c r="D3316" s="458"/>
      <c r="E3316" s="458"/>
      <c r="F3316" s="458"/>
      <c r="G3316" s="458"/>
      <c r="H3316" s="458"/>
      <c r="I3316" s="458"/>
      <c r="J3316" s="446" t="s">
        <v>2356</v>
      </c>
      <c r="K3316" s="591">
        <f>+K3313*K3314/K3315</f>
        <v>85.590092592592597</v>
      </c>
      <c r="L3316" s="243" t="s">
        <v>8</v>
      </c>
      <c r="M3316" s="173"/>
      <c r="N3316" s="68"/>
      <c r="O3316" s="203"/>
      <c r="P3316" s="218"/>
      <c r="Q3316" s="68"/>
      <c r="R3316" s="217"/>
      <c r="S3316" s="203"/>
      <c r="T3316" s="203"/>
      <c r="U3316" s="203"/>
      <c r="V3316" s="203"/>
      <c r="W3316" s="203"/>
      <c r="X3316" s="203"/>
      <c r="Y3316" s="203"/>
    </row>
    <row r="3317" spans="1:25" ht="30" customHeight="1" thickBot="1" x14ac:dyDescent="0.4">
      <c r="A3317" s="241"/>
      <c r="B3317" s="446"/>
      <c r="C3317" s="458"/>
      <c r="D3317" s="458"/>
      <c r="E3317" s="458"/>
      <c r="F3317" s="458"/>
      <c r="G3317" s="592" t="s">
        <v>2358</v>
      </c>
      <c r="H3317" s="458"/>
      <c r="I3317" s="458"/>
      <c r="J3317" s="583">
        <f>VLOOKUP(B3311,'Mil Cost Premiums for PUCs'!$A$4:$R$272,18,FALSE)</f>
        <v>1.0209999999999999</v>
      </c>
      <c r="K3317" s="591">
        <f>+K3316*J3317</f>
        <v>87.387484537037039</v>
      </c>
      <c r="L3317" s="243" t="s">
        <v>8</v>
      </c>
      <c r="M3317" s="173"/>
      <c r="N3317" s="68"/>
      <c r="O3317" s="203"/>
      <c r="P3317" s="218"/>
      <c r="Q3317" s="68"/>
      <c r="R3317" s="217"/>
    </row>
    <row r="3318" spans="1:25" ht="30" customHeight="1" thickBot="1" x14ac:dyDescent="0.4">
      <c r="A3318" s="481"/>
      <c r="B3318" s="482"/>
      <c r="C3318" s="482"/>
      <c r="D3318" s="482"/>
      <c r="E3318" s="482"/>
      <c r="F3318" s="482"/>
      <c r="G3318" s="482"/>
      <c r="H3318" s="482"/>
      <c r="I3318" s="482"/>
      <c r="J3318" s="482"/>
      <c r="K3318" s="482"/>
      <c r="L3318" s="483"/>
      <c r="M3318" s="407"/>
      <c r="N3318" s="68"/>
      <c r="O3318" s="203"/>
      <c r="P3318" s="218"/>
      <c r="Q3318" s="68"/>
      <c r="R3318" s="217"/>
    </row>
    <row r="3319" spans="1:25" ht="30" customHeight="1" x14ac:dyDescent="0.35">
      <c r="A3319" s="465" t="s">
        <v>278</v>
      </c>
      <c r="B3319" s="539">
        <v>7382</v>
      </c>
      <c r="C3319" s="1017" t="s">
        <v>1520</v>
      </c>
      <c r="D3319" s="1018"/>
      <c r="E3319" s="541" t="s">
        <v>280</v>
      </c>
      <c r="F3319" s="542" t="s">
        <v>8</v>
      </c>
      <c r="G3319" s="543" t="s">
        <v>285</v>
      </c>
      <c r="H3319" s="569">
        <v>3883</v>
      </c>
      <c r="I3319" s="541" t="s">
        <v>281</v>
      </c>
      <c r="J3319" s="1019" t="s">
        <v>2371</v>
      </c>
      <c r="K3319" s="1019"/>
      <c r="L3319" s="1020"/>
      <c r="M3319" s="173"/>
      <c r="N3319" s="68"/>
      <c r="O3319" s="203"/>
      <c r="P3319" s="218"/>
      <c r="Q3319" s="68"/>
      <c r="R3319" s="217"/>
    </row>
    <row r="3320" spans="1:25" ht="30" customHeight="1" x14ac:dyDescent="0.35">
      <c r="A3320" s="588" t="s">
        <v>298</v>
      </c>
      <c r="B3320" s="1038" t="s">
        <v>321</v>
      </c>
      <c r="C3320" s="1039"/>
      <c r="D3320" s="1040"/>
      <c r="E3320" s="23" t="s">
        <v>290</v>
      </c>
      <c r="F3320" s="23" t="s">
        <v>322</v>
      </c>
      <c r="G3320" s="1034" t="s">
        <v>323</v>
      </c>
      <c r="H3320" s="1035"/>
      <c r="I3320" s="509" t="s">
        <v>299</v>
      </c>
      <c r="J3320" s="509"/>
      <c r="K3320" s="1012" t="s">
        <v>292</v>
      </c>
      <c r="L3320" s="1013"/>
      <c r="M3320" s="173"/>
      <c r="N3320" s="68"/>
      <c r="O3320" s="203"/>
      <c r="P3320" s="218"/>
      <c r="Q3320" s="68"/>
      <c r="R3320" s="217"/>
      <c r="T3320" s="208"/>
      <c r="U3320" s="208"/>
      <c r="V3320" s="208"/>
      <c r="W3320" s="208"/>
      <c r="X3320" s="208"/>
    </row>
    <row r="3321" spans="1:25" ht="30" customHeight="1" x14ac:dyDescent="0.35">
      <c r="A3321" s="717" t="s">
        <v>518</v>
      </c>
      <c r="B3321" s="1031" t="s">
        <v>1379</v>
      </c>
      <c r="C3321" s="1032"/>
      <c r="D3321" s="1033"/>
      <c r="E3321" s="453">
        <v>143</v>
      </c>
      <c r="F3321" s="3" t="s">
        <v>8</v>
      </c>
      <c r="G3321" s="496"/>
      <c r="H3321" s="498"/>
      <c r="I3321" s="446">
        <v>1.04</v>
      </c>
      <c r="J3321" s="446"/>
      <c r="K3321" s="453">
        <f>+E3321*I3321</f>
        <v>148.72</v>
      </c>
      <c r="L3321" s="243" t="s">
        <v>8</v>
      </c>
      <c r="M3321" s="173"/>
      <c r="N3321" s="68"/>
      <c r="O3321" s="203"/>
      <c r="P3321" s="218"/>
      <c r="Q3321" s="68"/>
      <c r="R3321" s="217"/>
      <c r="Y3321" s="208"/>
    </row>
    <row r="3322" spans="1:25" ht="30" customHeight="1" x14ac:dyDescent="0.35">
      <c r="A3322" s="241" t="s">
        <v>521</v>
      </c>
      <c r="B3322" s="1102" t="s">
        <v>1521</v>
      </c>
      <c r="C3322" s="1102"/>
      <c r="D3322" s="1102"/>
      <c r="E3322" s="453">
        <v>4.4800000000000004</v>
      </c>
      <c r="F3322" s="446" t="s">
        <v>8</v>
      </c>
      <c r="G3322" s="454"/>
      <c r="H3322" s="446"/>
      <c r="I3322" s="446">
        <v>1.04</v>
      </c>
      <c r="J3322" s="446"/>
      <c r="K3322" s="453">
        <f>+E3322*I3322</f>
        <v>4.6592000000000002</v>
      </c>
      <c r="L3322" s="243" t="s">
        <v>8</v>
      </c>
      <c r="M3322" s="173"/>
      <c r="N3322" s="68"/>
      <c r="O3322" s="208"/>
      <c r="P3322" s="218"/>
      <c r="Q3322" s="68"/>
      <c r="R3322" s="217"/>
      <c r="S3322" s="208"/>
    </row>
    <row r="3323" spans="1:25" ht="30" customHeight="1" x14ac:dyDescent="0.35">
      <c r="A3323" s="241"/>
      <c r="B3323" s="446"/>
      <c r="C3323" s="458"/>
      <c r="D3323" s="458"/>
      <c r="E3323" s="458"/>
      <c r="F3323" s="458"/>
      <c r="G3323" s="458"/>
      <c r="H3323" s="458"/>
      <c r="I3323" s="458"/>
      <c r="J3323" s="446" t="s">
        <v>335</v>
      </c>
      <c r="K3323" s="591">
        <f>SUM(K3321:K3322)</f>
        <v>153.3792</v>
      </c>
      <c r="L3323" s="243" t="s">
        <v>8</v>
      </c>
      <c r="M3323" s="173"/>
      <c r="N3323" s="68"/>
      <c r="O3323" s="203"/>
      <c r="P3323" s="218"/>
      <c r="Q3323" s="68"/>
      <c r="R3323" s="217"/>
    </row>
    <row r="3324" spans="1:25" s="208" customFormat="1" ht="30" customHeight="1" x14ac:dyDescent="0.35">
      <c r="A3324" s="241"/>
      <c r="B3324" s="506"/>
      <c r="C3324" s="506"/>
      <c r="D3324" s="506"/>
      <c r="E3324" s="453"/>
      <c r="F3324" s="1029" t="s">
        <v>302</v>
      </c>
      <c r="G3324" s="1058" t="s">
        <v>303</v>
      </c>
      <c r="H3324" s="1058"/>
      <c r="I3324" s="1058"/>
      <c r="J3324" s="1058"/>
      <c r="K3324" s="612">
        <v>1.07</v>
      </c>
      <c r="L3324" s="243"/>
      <c r="M3324" s="173"/>
      <c r="N3324" s="68"/>
      <c r="O3324" s="203"/>
      <c r="P3324" s="218"/>
      <c r="Q3324" s="68"/>
      <c r="R3324" s="217"/>
      <c r="S3324" s="203"/>
      <c r="T3324" s="203"/>
      <c r="U3324" s="203"/>
      <c r="V3324" s="203"/>
      <c r="W3324" s="203"/>
      <c r="X3324" s="203"/>
      <c r="Y3324" s="203"/>
    </row>
    <row r="3325" spans="1:25" ht="30" customHeight="1" x14ac:dyDescent="0.35">
      <c r="A3325" s="241"/>
      <c r="B3325" s="506"/>
      <c r="C3325" s="506"/>
      <c r="D3325" s="506"/>
      <c r="E3325" s="453"/>
      <c r="F3325" s="1030"/>
      <c r="G3325" s="1073" t="s">
        <v>2374</v>
      </c>
      <c r="H3325" s="1073"/>
      <c r="I3325" s="1073"/>
      <c r="J3325" s="1073"/>
      <c r="K3325" s="612">
        <v>1.08</v>
      </c>
      <c r="L3325" s="243"/>
      <c r="M3325" s="173"/>
      <c r="N3325" s="419"/>
      <c r="O3325" s="203"/>
      <c r="P3325" s="218"/>
      <c r="Q3325" s="68"/>
      <c r="R3325" s="217"/>
    </row>
    <row r="3326" spans="1:25" ht="30" customHeight="1" x14ac:dyDescent="0.35">
      <c r="A3326" s="241"/>
      <c r="B3326" s="506"/>
      <c r="C3326" s="506"/>
      <c r="D3326" s="506"/>
      <c r="E3326" s="453"/>
      <c r="F3326" s="488"/>
      <c r="G3326" s="590"/>
      <c r="H3326" s="590"/>
      <c r="I3326" s="590"/>
      <c r="J3326" s="446" t="s">
        <v>2356</v>
      </c>
      <c r="K3326" s="460">
        <f>+K3323*K3324/K3325</f>
        <v>151.95902222222222</v>
      </c>
      <c r="L3326" s="243" t="s">
        <v>8</v>
      </c>
      <c r="M3326" s="173"/>
      <c r="N3326" s="419"/>
      <c r="O3326" s="203"/>
      <c r="P3326" s="218"/>
      <c r="Q3326" s="68"/>
      <c r="R3326" s="217"/>
    </row>
    <row r="3327" spans="1:25" ht="30" customHeight="1" thickBot="1" x14ac:dyDescent="0.4">
      <c r="A3327" s="241"/>
      <c r="B3327" s="446"/>
      <c r="C3327" s="458"/>
      <c r="D3327" s="458"/>
      <c r="E3327" s="458"/>
      <c r="F3327" s="458"/>
      <c r="G3327" s="592" t="s">
        <v>2358</v>
      </c>
      <c r="H3327" s="458"/>
      <c r="I3327" s="458"/>
      <c r="J3327" s="583">
        <f>VLOOKUP(B3319,'Mil Cost Premiums for PUCs'!$A$4:$R$272,18,FALSE)</f>
        <v>1.0209999999999999</v>
      </c>
      <c r="K3327" s="591">
        <f>+K3326*J3327</f>
        <v>155.15016168888886</v>
      </c>
      <c r="L3327" s="243" t="s">
        <v>8</v>
      </c>
      <c r="M3327" s="173"/>
      <c r="N3327" s="68"/>
      <c r="O3327" s="203"/>
      <c r="P3327" s="218"/>
      <c r="Q3327" s="68"/>
      <c r="R3327" s="217"/>
    </row>
    <row r="3328" spans="1:25" ht="30" customHeight="1" thickBot="1" x14ac:dyDescent="0.4">
      <c r="A3328" s="481"/>
      <c r="B3328" s="482"/>
      <c r="C3328" s="482"/>
      <c r="D3328" s="482"/>
      <c r="E3328" s="482"/>
      <c r="F3328" s="482"/>
      <c r="G3328" s="482"/>
      <c r="H3328" s="482"/>
      <c r="I3328" s="482"/>
      <c r="J3328" s="482"/>
      <c r="K3328" s="482"/>
      <c r="L3328" s="483"/>
      <c r="M3328" s="173"/>
      <c r="N3328" s="68"/>
      <c r="O3328" s="203"/>
      <c r="P3328" s="218"/>
      <c r="Q3328" s="68"/>
      <c r="R3328" s="217"/>
    </row>
    <row r="3329" spans="1:25" ht="30" customHeight="1" x14ac:dyDescent="0.35">
      <c r="A3329" s="465" t="s">
        <v>278</v>
      </c>
      <c r="B3329" s="539">
        <v>7383</v>
      </c>
      <c r="C3329" s="1060" t="s">
        <v>1522</v>
      </c>
      <c r="D3329" s="1061"/>
      <c r="E3329" s="541" t="s">
        <v>280</v>
      </c>
      <c r="F3329" s="542" t="s">
        <v>8</v>
      </c>
      <c r="G3329" s="543" t="s">
        <v>285</v>
      </c>
      <c r="H3329" s="875">
        <v>2490</v>
      </c>
      <c r="I3329" s="541" t="s">
        <v>281</v>
      </c>
      <c r="J3329" s="1019" t="s">
        <v>1213</v>
      </c>
      <c r="K3329" s="1019"/>
      <c r="L3329" s="1020"/>
      <c r="M3329" s="173"/>
      <c r="N3329" s="68"/>
      <c r="O3329" s="203"/>
      <c r="P3329" s="218"/>
      <c r="Q3329" s="68"/>
      <c r="R3329" s="217"/>
    </row>
    <row r="3330" spans="1:25" ht="30" customHeight="1" x14ac:dyDescent="0.35">
      <c r="A3330" s="545" t="s">
        <v>288</v>
      </c>
      <c r="B3330" s="1051" t="s">
        <v>282</v>
      </c>
      <c r="C3330" s="1051"/>
      <c r="D3330" s="1051"/>
      <c r="E3330" s="530" t="s">
        <v>289</v>
      </c>
      <c r="F3330" s="561" t="s">
        <v>290</v>
      </c>
      <c r="G3330" s="840"/>
      <c r="H3330" s="75"/>
      <c r="I3330" s="1052" t="s">
        <v>405</v>
      </c>
      <c r="J3330" s="1053"/>
      <c r="K3330" s="1012" t="s">
        <v>292</v>
      </c>
      <c r="L3330" s="1013"/>
      <c r="M3330" s="173"/>
      <c r="N3330" s="68"/>
      <c r="O3330" s="171"/>
      <c r="P3330" s="216"/>
      <c r="Q3330" s="419"/>
      <c r="R3330" s="219"/>
    </row>
    <row r="3331" spans="1:25" ht="30" customHeight="1" x14ac:dyDescent="0.35">
      <c r="A3331" s="562">
        <v>62010</v>
      </c>
      <c r="B3331" s="1057" t="s">
        <v>1312</v>
      </c>
      <c r="C3331" s="1057"/>
      <c r="D3331" s="1057"/>
      <c r="E3331" s="563">
        <v>6000</v>
      </c>
      <c r="F3331" s="441">
        <v>235</v>
      </c>
      <c r="G3331" s="434"/>
      <c r="H3331" s="783"/>
      <c r="I3331" s="1091">
        <f>+'2021 MILCON Inflation Table'!F8</f>
        <v>1.3794561933534744</v>
      </c>
      <c r="J3331" s="1092"/>
      <c r="K3331" s="463">
        <f>+F3331*I3331</f>
        <v>324.1722054380665</v>
      </c>
      <c r="L3331" s="564" t="s">
        <v>8</v>
      </c>
      <c r="M3331" s="173"/>
      <c r="N3331" s="68"/>
      <c r="O3331" s="171"/>
      <c r="P3331" s="216"/>
      <c r="Q3331" s="419"/>
      <c r="R3331" s="219"/>
      <c r="T3331" s="27"/>
      <c r="U3331" s="171"/>
    </row>
    <row r="3332" spans="1:25" ht="30" customHeight="1" thickBot="1" x14ac:dyDescent="0.4">
      <c r="A3332" s="241"/>
      <c r="B3332" s="1059"/>
      <c r="C3332" s="1059"/>
      <c r="D3332" s="1059"/>
      <c r="E3332" s="565"/>
      <c r="F3332" s="566"/>
      <c r="G3332" s="566"/>
      <c r="H3332" s="567"/>
      <c r="I3332" s="458"/>
      <c r="J3332" s="510" t="s">
        <v>2356</v>
      </c>
      <c r="K3332" s="459">
        <f>+K3331</f>
        <v>324.1722054380665</v>
      </c>
      <c r="L3332" s="243" t="s">
        <v>8</v>
      </c>
      <c r="M3332" s="173"/>
      <c r="N3332" s="68"/>
      <c r="O3332" s="203"/>
      <c r="P3332" s="218"/>
      <c r="Q3332" s="68"/>
      <c r="R3332" s="217"/>
      <c r="U3332" s="171"/>
    </row>
    <row r="3333" spans="1:25" ht="30" customHeight="1" thickBot="1" x14ac:dyDescent="0.4">
      <c r="A3333" s="481"/>
      <c r="B3333" s="482"/>
      <c r="C3333" s="482"/>
      <c r="D3333" s="482"/>
      <c r="E3333" s="482"/>
      <c r="F3333" s="482"/>
      <c r="G3333" s="482"/>
      <c r="H3333" s="482"/>
      <c r="I3333" s="482"/>
      <c r="J3333" s="482"/>
      <c r="K3333" s="482"/>
      <c r="L3333" s="483"/>
      <c r="M3333" s="173"/>
      <c r="N3333" s="68"/>
      <c r="O3333" s="207"/>
      <c r="P3333" s="27"/>
      <c r="Q3333" s="27"/>
      <c r="R3333" s="27"/>
      <c r="S3333" s="27"/>
      <c r="U3333" s="27"/>
      <c r="V3333" s="27"/>
      <c r="W3333" s="27"/>
      <c r="X3333" s="27"/>
    </row>
    <row r="3334" spans="1:25" ht="30" customHeight="1" x14ac:dyDescent="0.35">
      <c r="A3334" s="465" t="s">
        <v>278</v>
      </c>
      <c r="B3334" s="539">
        <v>7384</v>
      </c>
      <c r="C3334" s="1017" t="s">
        <v>1523</v>
      </c>
      <c r="D3334" s="1018"/>
      <c r="E3334" s="541" t="s">
        <v>280</v>
      </c>
      <c r="F3334" s="542" t="s">
        <v>8</v>
      </c>
      <c r="G3334" s="543" t="s">
        <v>285</v>
      </c>
      <c r="H3334" s="555">
        <v>335</v>
      </c>
      <c r="I3334" s="541" t="s">
        <v>281</v>
      </c>
      <c r="J3334" s="1019" t="s">
        <v>2371</v>
      </c>
      <c r="K3334" s="1019"/>
      <c r="L3334" s="1020"/>
      <c r="M3334" s="173"/>
      <c r="N3334" s="68"/>
      <c r="T3334" s="213"/>
      <c r="U3334" s="208"/>
      <c r="V3334" s="208"/>
      <c r="W3334" s="208"/>
      <c r="X3334" s="208"/>
      <c r="Y3334" s="27"/>
    </row>
    <row r="3335" spans="1:25" ht="30" customHeight="1" x14ac:dyDescent="0.35">
      <c r="A3335" s="588" t="s">
        <v>298</v>
      </c>
      <c r="B3335" s="1038" t="s">
        <v>321</v>
      </c>
      <c r="C3335" s="1039"/>
      <c r="D3335" s="1040"/>
      <c r="E3335" s="23" t="s">
        <v>290</v>
      </c>
      <c r="F3335" s="23" t="s">
        <v>322</v>
      </c>
      <c r="G3335" s="1034" t="s">
        <v>323</v>
      </c>
      <c r="H3335" s="1035"/>
      <c r="I3335" s="509" t="s">
        <v>299</v>
      </c>
      <c r="J3335" s="509"/>
      <c r="K3335" s="595" t="s">
        <v>292</v>
      </c>
      <c r="L3335" s="739"/>
      <c r="M3335" s="173"/>
      <c r="N3335" s="68"/>
      <c r="T3335" s="51"/>
      <c r="Y3335" s="208"/>
    </row>
    <row r="3336" spans="1:25" ht="30" customHeight="1" x14ac:dyDescent="0.35">
      <c r="A3336" s="717" t="s">
        <v>493</v>
      </c>
      <c r="B3336" s="1031" t="s">
        <v>1524</v>
      </c>
      <c r="C3336" s="1032"/>
      <c r="D3336" s="1033"/>
      <c r="E3336" s="453">
        <f>+(18.6+47)/2</f>
        <v>32.799999999999997</v>
      </c>
      <c r="F3336" s="3" t="s">
        <v>8</v>
      </c>
      <c r="G3336" s="446"/>
      <c r="H3336" s="446"/>
      <c r="I3336" s="446">
        <v>1.02</v>
      </c>
      <c r="J3336" s="446"/>
      <c r="K3336" s="453">
        <f>+E3336*I3336</f>
        <v>33.455999999999996</v>
      </c>
      <c r="L3336" s="243" t="s">
        <v>8</v>
      </c>
      <c r="M3336" s="173"/>
      <c r="N3336" s="68"/>
      <c r="P3336" s="75"/>
      <c r="Q3336" s="75"/>
      <c r="R3336" s="75"/>
      <c r="S3336" s="213"/>
      <c r="T3336" s="27"/>
      <c r="U3336" s="171"/>
    </row>
    <row r="3337" spans="1:25" s="27" customFormat="1" ht="30" customHeight="1" x14ac:dyDescent="0.35">
      <c r="A3337" s="717" t="s">
        <v>493</v>
      </c>
      <c r="B3337" s="1082" t="s">
        <v>1525</v>
      </c>
      <c r="C3337" s="1083"/>
      <c r="D3337" s="1093"/>
      <c r="E3337" s="453">
        <f>+(92+253)/2</f>
        <v>172.5</v>
      </c>
      <c r="F3337" s="3" t="s">
        <v>10</v>
      </c>
      <c r="G3337" s="876">
        <f>1/H3334</f>
        <v>2.9850746268656717E-3</v>
      </c>
      <c r="H3337" s="446" t="s">
        <v>531</v>
      </c>
      <c r="I3337" s="446">
        <v>1.02</v>
      </c>
      <c r="J3337" s="446">
        <v>2</v>
      </c>
      <c r="K3337" s="453">
        <f>E3337*G3337*I3337*J3337</f>
        <v>1.0504477611940299</v>
      </c>
      <c r="L3337" s="243" t="s">
        <v>8</v>
      </c>
      <c r="M3337" s="173"/>
      <c r="N3337" s="68"/>
      <c r="O3337" s="205"/>
      <c r="P3337" s="171"/>
      <c r="Q3337" s="171"/>
      <c r="R3337" s="171"/>
      <c r="S3337" s="51"/>
      <c r="T3337" s="203"/>
      <c r="U3337" s="171"/>
      <c r="V3337" s="203"/>
      <c r="W3337" s="203"/>
      <c r="X3337" s="203"/>
      <c r="Y3337" s="203"/>
    </row>
    <row r="3338" spans="1:25" s="208" customFormat="1" ht="30" customHeight="1" x14ac:dyDescent="0.35">
      <c r="A3338" s="848" t="s">
        <v>1457</v>
      </c>
      <c r="B3338" s="1102" t="s">
        <v>1526</v>
      </c>
      <c r="C3338" s="1102"/>
      <c r="D3338" s="1102"/>
      <c r="E3338" s="453">
        <v>71.5</v>
      </c>
      <c r="F3338" s="446" t="s">
        <v>8</v>
      </c>
      <c r="G3338" s="454"/>
      <c r="H3338" s="446"/>
      <c r="I3338" s="446">
        <v>1.02</v>
      </c>
      <c r="J3338" s="446"/>
      <c r="K3338" s="453">
        <f>+E3338*I3338</f>
        <v>72.930000000000007</v>
      </c>
      <c r="L3338" s="243" t="s">
        <v>8</v>
      </c>
      <c r="M3338" s="173"/>
      <c r="N3338" s="68"/>
      <c r="O3338" s="207"/>
      <c r="P3338" s="27"/>
      <c r="Q3338" s="27"/>
      <c r="R3338" s="27"/>
      <c r="S3338" s="27"/>
      <c r="T3338" s="203"/>
      <c r="U3338" s="27"/>
      <c r="V3338" s="27"/>
      <c r="W3338" s="27"/>
      <c r="X3338" s="27"/>
      <c r="Y3338" s="203"/>
    </row>
    <row r="3339" spans="1:25" ht="30" customHeight="1" x14ac:dyDescent="0.35">
      <c r="A3339" s="848"/>
      <c r="B3339" s="506"/>
      <c r="C3339" s="506"/>
      <c r="D3339" s="506"/>
      <c r="E3339" s="453"/>
      <c r="F3339" s="446"/>
      <c r="G3339" s="454"/>
      <c r="H3339" s="446"/>
      <c r="I3339" s="446"/>
      <c r="J3339" s="548" t="s">
        <v>1527</v>
      </c>
      <c r="K3339" s="453">
        <f>((K3336+K3337)+K3338)/2</f>
        <v>53.718223880597016</v>
      </c>
      <c r="L3339" s="243" t="s">
        <v>8</v>
      </c>
      <c r="M3339" s="173"/>
      <c r="N3339" s="419"/>
      <c r="T3339" s="51"/>
      <c r="Y3339" s="208"/>
    </row>
    <row r="3340" spans="1:25" ht="30" customHeight="1" x14ac:dyDescent="0.35">
      <c r="A3340" s="241"/>
      <c r="B3340" s="506"/>
      <c r="C3340" s="506"/>
      <c r="D3340" s="506"/>
      <c r="E3340" s="453"/>
      <c r="F3340" s="1029" t="s">
        <v>302</v>
      </c>
      <c r="G3340" s="1058" t="s">
        <v>303</v>
      </c>
      <c r="H3340" s="1058"/>
      <c r="I3340" s="1058"/>
      <c r="J3340" s="1058"/>
      <c r="K3340" s="612">
        <v>1.07</v>
      </c>
      <c r="L3340" s="243"/>
      <c r="M3340" s="363"/>
      <c r="N3340" s="68"/>
      <c r="P3340" s="75"/>
      <c r="Q3340" s="75"/>
      <c r="R3340" s="75"/>
      <c r="S3340" s="213"/>
    </row>
    <row r="3341" spans="1:25" ht="30" customHeight="1" x14ac:dyDescent="0.35">
      <c r="A3341" s="241"/>
      <c r="B3341" s="506"/>
      <c r="C3341" s="506"/>
      <c r="D3341" s="506"/>
      <c r="E3341" s="453"/>
      <c r="F3341" s="1030"/>
      <c r="G3341" s="1073" t="s">
        <v>2374</v>
      </c>
      <c r="H3341" s="1073"/>
      <c r="I3341" s="1073"/>
      <c r="J3341" s="1073"/>
      <c r="K3341" s="612">
        <v>1.08</v>
      </c>
      <c r="L3341" s="243"/>
      <c r="M3341" s="363"/>
      <c r="N3341" s="68"/>
      <c r="P3341" s="171"/>
      <c r="Q3341" s="171"/>
      <c r="R3341" s="171"/>
      <c r="S3341" s="51"/>
    </row>
    <row r="3342" spans="1:25" s="208" customFormat="1" ht="30" customHeight="1" x14ac:dyDescent="0.35">
      <c r="A3342" s="241"/>
      <c r="B3342" s="446"/>
      <c r="C3342" s="458"/>
      <c r="D3342" s="458"/>
      <c r="E3342" s="458"/>
      <c r="F3342" s="458"/>
      <c r="G3342" s="458"/>
      <c r="H3342" s="458"/>
      <c r="I3342" s="458"/>
      <c r="J3342" s="458" t="s">
        <v>2356</v>
      </c>
      <c r="K3342" s="591">
        <f>+K3339*K3340/K3341</f>
        <v>53.220832918739632</v>
      </c>
      <c r="L3342" s="243" t="s">
        <v>8</v>
      </c>
      <c r="M3342" s="173"/>
      <c r="N3342" s="68"/>
      <c r="O3342" s="203"/>
      <c r="P3342" s="218"/>
      <c r="Q3342" s="68"/>
      <c r="R3342" s="217"/>
      <c r="S3342" s="203"/>
      <c r="T3342" s="203"/>
      <c r="U3342" s="203"/>
      <c r="V3342" s="203"/>
      <c r="W3342" s="203"/>
      <c r="X3342" s="203"/>
      <c r="Y3342" s="203"/>
    </row>
    <row r="3343" spans="1:25" ht="30" customHeight="1" thickBot="1" x14ac:dyDescent="0.4">
      <c r="A3343" s="241"/>
      <c r="B3343" s="446"/>
      <c r="C3343" s="458"/>
      <c r="D3343" s="458"/>
      <c r="E3343" s="458"/>
      <c r="F3343" s="458"/>
      <c r="G3343" s="592" t="s">
        <v>2358</v>
      </c>
      <c r="H3343" s="458"/>
      <c r="I3343" s="458"/>
      <c r="J3343" s="583">
        <f>VLOOKUP(B3334,'Mil Cost Premiums for PUCs'!$A$4:$R$272,18,FALSE)</f>
        <v>1.0209999999999999</v>
      </c>
      <c r="K3343" s="591">
        <f>+K3342*J3343</f>
        <v>54.33847041003316</v>
      </c>
      <c r="L3343" s="243" t="s">
        <v>8</v>
      </c>
      <c r="M3343" s="173"/>
      <c r="N3343" s="214"/>
      <c r="O3343" s="203"/>
      <c r="P3343" s="218"/>
      <c r="Q3343" s="68"/>
      <c r="R3343" s="217"/>
      <c r="T3343" s="208"/>
      <c r="U3343" s="208"/>
      <c r="V3343" s="208"/>
      <c r="W3343" s="208"/>
      <c r="X3343" s="208"/>
    </row>
    <row r="3344" spans="1:25" ht="30" customHeight="1" thickBot="1" x14ac:dyDescent="0.4">
      <c r="A3344" s="481"/>
      <c r="B3344" s="482"/>
      <c r="C3344" s="482"/>
      <c r="D3344" s="482"/>
      <c r="E3344" s="482"/>
      <c r="F3344" s="482"/>
      <c r="G3344" s="482"/>
      <c r="H3344" s="482"/>
      <c r="I3344" s="482"/>
      <c r="J3344" s="482"/>
      <c r="K3344" s="482"/>
      <c r="L3344" s="483"/>
      <c r="M3344" s="173"/>
      <c r="N3344" s="208"/>
      <c r="O3344" s="203"/>
      <c r="P3344" s="218"/>
      <c r="Q3344" s="68"/>
      <c r="R3344" s="217"/>
      <c r="Y3344" s="208"/>
    </row>
    <row r="3345" spans="1:25" ht="30" customHeight="1" x14ac:dyDescent="0.35">
      <c r="A3345" s="465" t="s">
        <v>278</v>
      </c>
      <c r="B3345" s="539">
        <v>7385</v>
      </c>
      <c r="C3345" s="1017" t="s">
        <v>1528</v>
      </c>
      <c r="D3345" s="1018"/>
      <c r="E3345" s="541" t="s">
        <v>280</v>
      </c>
      <c r="F3345" s="542" t="s">
        <v>8</v>
      </c>
      <c r="G3345" s="543" t="s">
        <v>285</v>
      </c>
      <c r="H3345" s="555">
        <v>671</v>
      </c>
      <c r="I3345" s="541" t="s">
        <v>281</v>
      </c>
      <c r="J3345" s="1019" t="s">
        <v>2371</v>
      </c>
      <c r="K3345" s="1019"/>
      <c r="L3345" s="1020"/>
      <c r="M3345" s="173"/>
      <c r="O3345" s="208"/>
      <c r="P3345" s="218"/>
      <c r="Q3345" s="68"/>
      <c r="R3345" s="217"/>
      <c r="S3345" s="208"/>
    </row>
    <row r="3346" spans="1:25" ht="30" customHeight="1" x14ac:dyDescent="0.35">
      <c r="A3346" s="588" t="s">
        <v>298</v>
      </c>
      <c r="B3346" s="1038" t="s">
        <v>321</v>
      </c>
      <c r="C3346" s="1039"/>
      <c r="D3346" s="1040"/>
      <c r="E3346" s="23" t="s">
        <v>290</v>
      </c>
      <c r="F3346" s="23" t="s">
        <v>322</v>
      </c>
      <c r="G3346" s="1034" t="s">
        <v>323</v>
      </c>
      <c r="H3346" s="1035"/>
      <c r="I3346" s="509" t="s">
        <v>299</v>
      </c>
      <c r="J3346" s="509"/>
      <c r="K3346" s="595" t="s">
        <v>292</v>
      </c>
      <c r="L3346" s="739"/>
      <c r="M3346" s="173"/>
      <c r="O3346" s="203"/>
      <c r="P3346" s="218"/>
      <c r="Q3346" s="68"/>
      <c r="R3346" s="217"/>
    </row>
    <row r="3347" spans="1:25" s="208" customFormat="1" ht="30" customHeight="1" x14ac:dyDescent="0.35">
      <c r="A3347" s="717" t="s">
        <v>1529</v>
      </c>
      <c r="B3347" s="1031" t="s">
        <v>1530</v>
      </c>
      <c r="C3347" s="1032"/>
      <c r="D3347" s="1033"/>
      <c r="E3347" s="453">
        <v>157</v>
      </c>
      <c r="F3347" s="3" t="s">
        <v>8</v>
      </c>
      <c r="G3347" s="493"/>
      <c r="H3347" s="495"/>
      <c r="I3347" s="446">
        <v>1.04</v>
      </c>
      <c r="J3347" s="446"/>
      <c r="K3347" s="453">
        <f>+E3347*I3347</f>
        <v>163.28</v>
      </c>
      <c r="L3347" s="243" t="s">
        <v>8</v>
      </c>
      <c r="M3347" s="173"/>
      <c r="N3347" s="203"/>
      <c r="O3347" s="203"/>
      <c r="P3347" s="218"/>
      <c r="Q3347" s="68"/>
      <c r="R3347" s="217"/>
      <c r="S3347" s="203"/>
      <c r="T3347" s="203"/>
      <c r="U3347" s="203"/>
      <c r="V3347" s="203"/>
      <c r="W3347" s="203"/>
      <c r="X3347" s="203"/>
      <c r="Y3347" s="203"/>
    </row>
    <row r="3348" spans="1:25" ht="30" customHeight="1" x14ac:dyDescent="0.35">
      <c r="A3348" s="241" t="s">
        <v>521</v>
      </c>
      <c r="B3348" s="1102" t="s">
        <v>1531</v>
      </c>
      <c r="C3348" s="1102"/>
      <c r="D3348" s="1102"/>
      <c r="E3348" s="453">
        <v>4.84</v>
      </c>
      <c r="F3348" s="446" t="s">
        <v>8</v>
      </c>
      <c r="G3348" s="454"/>
      <c r="H3348" s="446"/>
      <c r="I3348" s="446">
        <v>1.04</v>
      </c>
      <c r="J3348" s="446"/>
      <c r="K3348" s="453">
        <f>+E3348*I3348</f>
        <v>5.0335999999999999</v>
      </c>
      <c r="L3348" s="243" t="s">
        <v>8</v>
      </c>
      <c r="M3348" s="173"/>
      <c r="N3348" s="214"/>
      <c r="O3348" s="203"/>
      <c r="P3348" s="218"/>
      <c r="Q3348" s="68"/>
      <c r="R3348" s="217"/>
    </row>
    <row r="3349" spans="1:25" ht="30" customHeight="1" x14ac:dyDescent="0.35">
      <c r="A3349" s="241"/>
      <c r="B3349" s="446"/>
      <c r="C3349" s="458"/>
      <c r="D3349" s="458"/>
      <c r="E3349" s="458"/>
      <c r="F3349" s="458"/>
      <c r="G3349" s="458"/>
      <c r="H3349" s="458"/>
      <c r="I3349" s="458"/>
      <c r="J3349" s="446" t="s">
        <v>335</v>
      </c>
      <c r="K3349" s="591">
        <f>SUM(K3347:K3348)</f>
        <v>168.31360000000001</v>
      </c>
      <c r="L3349" s="243" t="s">
        <v>8</v>
      </c>
      <c r="M3349" s="173"/>
      <c r="N3349" s="208"/>
      <c r="O3349" s="171"/>
      <c r="P3349" s="216"/>
      <c r="Q3349" s="419"/>
      <c r="R3349" s="219"/>
    </row>
    <row r="3350" spans="1:25" ht="30" customHeight="1" x14ac:dyDescent="0.35">
      <c r="A3350" s="241"/>
      <c r="B3350" s="506"/>
      <c r="C3350" s="506"/>
      <c r="D3350" s="506"/>
      <c r="E3350" s="453"/>
      <c r="F3350" s="1029" t="s">
        <v>302</v>
      </c>
      <c r="G3350" s="1058" t="s">
        <v>303</v>
      </c>
      <c r="H3350" s="1058"/>
      <c r="I3350" s="1058"/>
      <c r="J3350" s="1058"/>
      <c r="K3350" s="612">
        <v>1.07</v>
      </c>
      <c r="L3350" s="243"/>
      <c r="M3350" s="173"/>
      <c r="O3350" s="171"/>
      <c r="P3350" s="216"/>
      <c r="Q3350" s="419"/>
      <c r="R3350" s="219"/>
    </row>
    <row r="3351" spans="1:25" ht="30" customHeight="1" x14ac:dyDescent="0.35">
      <c r="A3351" s="241"/>
      <c r="B3351" s="506"/>
      <c r="C3351" s="506"/>
      <c r="D3351" s="506"/>
      <c r="E3351" s="453"/>
      <c r="F3351" s="1030"/>
      <c r="G3351" s="1073" t="s">
        <v>2374</v>
      </c>
      <c r="H3351" s="1073"/>
      <c r="I3351" s="1073"/>
      <c r="J3351" s="1073"/>
      <c r="K3351" s="612">
        <v>1.08</v>
      </c>
      <c r="L3351" s="243"/>
      <c r="M3351" s="173"/>
      <c r="O3351" s="203"/>
      <c r="P3351" s="218"/>
      <c r="Q3351" s="68"/>
      <c r="R3351" s="217"/>
    </row>
    <row r="3352" spans="1:25" ht="30" customHeight="1" x14ac:dyDescent="0.35">
      <c r="A3352" s="241"/>
      <c r="B3352" s="446"/>
      <c r="C3352" s="458"/>
      <c r="D3352" s="458"/>
      <c r="E3352" s="458"/>
      <c r="F3352" s="458"/>
      <c r="G3352" s="458"/>
      <c r="H3352" s="458"/>
      <c r="I3352" s="458"/>
      <c r="J3352" s="458" t="s">
        <v>2356</v>
      </c>
      <c r="K3352" s="591">
        <f>+K3349*K3350/K3351</f>
        <v>166.75514074074076</v>
      </c>
      <c r="L3352" s="243" t="s">
        <v>8</v>
      </c>
      <c r="M3352" s="173"/>
      <c r="O3352" s="203"/>
      <c r="P3352" s="218"/>
      <c r="Q3352" s="68"/>
      <c r="R3352" s="217"/>
    </row>
    <row r="3353" spans="1:25" ht="30" customHeight="1" thickBot="1" x14ac:dyDescent="0.4">
      <c r="A3353" s="241"/>
      <c r="B3353" s="446"/>
      <c r="C3353" s="458"/>
      <c r="D3353" s="458"/>
      <c r="E3353" s="458"/>
      <c r="F3353" s="458"/>
      <c r="G3353" s="592" t="s">
        <v>2358</v>
      </c>
      <c r="H3353" s="458"/>
      <c r="I3353" s="458"/>
      <c r="J3353" s="583">
        <f>VLOOKUP(B3345,'Mil Cost Premiums for PUCs'!$A$4:$R$272,18,FALSE)</f>
        <v>1.1141416296059998</v>
      </c>
      <c r="K3353" s="591">
        <f>+K3352*J3353</f>
        <v>185.78884425006677</v>
      </c>
      <c r="L3353" s="243" t="s">
        <v>8</v>
      </c>
      <c r="M3353" s="173"/>
      <c r="N3353" s="68"/>
      <c r="O3353" s="203"/>
      <c r="P3353" s="218"/>
      <c r="Q3353" s="68"/>
      <c r="R3353" s="217"/>
      <c r="T3353" s="208"/>
      <c r="U3353" s="208"/>
      <c r="V3353" s="208"/>
      <c r="W3353" s="208"/>
      <c r="X3353" s="208"/>
    </row>
    <row r="3354" spans="1:25" ht="30" customHeight="1" thickBot="1" x14ac:dyDescent="0.4">
      <c r="A3354" s="481"/>
      <c r="B3354" s="482"/>
      <c r="C3354" s="482"/>
      <c r="D3354" s="482"/>
      <c r="E3354" s="482"/>
      <c r="F3354" s="482"/>
      <c r="G3354" s="482"/>
      <c r="H3354" s="482"/>
      <c r="I3354" s="482"/>
      <c r="J3354" s="482"/>
      <c r="K3354" s="482"/>
      <c r="L3354" s="483"/>
      <c r="M3354" s="173"/>
      <c r="N3354" s="421"/>
      <c r="O3354" s="203"/>
      <c r="P3354" s="218"/>
      <c r="Q3354" s="68"/>
      <c r="R3354" s="217"/>
      <c r="Y3354" s="208"/>
    </row>
    <row r="3355" spans="1:25" ht="30" customHeight="1" x14ac:dyDescent="0.35">
      <c r="A3355" s="465" t="s">
        <v>278</v>
      </c>
      <c r="B3355" s="539">
        <v>7386</v>
      </c>
      <c r="C3355" s="1017" t="s">
        <v>1532</v>
      </c>
      <c r="D3355" s="1018"/>
      <c r="E3355" s="541" t="s">
        <v>280</v>
      </c>
      <c r="F3355" s="542" t="s">
        <v>8</v>
      </c>
      <c r="G3355" s="543" t="s">
        <v>285</v>
      </c>
      <c r="H3355" s="555">
        <v>31689</v>
      </c>
      <c r="I3355" s="541" t="s">
        <v>281</v>
      </c>
      <c r="J3355" s="1019" t="s">
        <v>2371</v>
      </c>
      <c r="K3355" s="1019"/>
      <c r="L3355" s="1020"/>
      <c r="M3355" s="173"/>
      <c r="N3355" s="68"/>
      <c r="O3355" s="208"/>
      <c r="P3355" s="218"/>
      <c r="Q3355" s="68"/>
      <c r="R3355" s="217"/>
      <c r="S3355" s="208"/>
    </row>
    <row r="3356" spans="1:25" ht="30" customHeight="1" x14ac:dyDescent="0.35">
      <c r="A3356" s="588" t="s">
        <v>298</v>
      </c>
      <c r="B3356" s="1038" t="s">
        <v>321</v>
      </c>
      <c r="C3356" s="1039"/>
      <c r="D3356" s="1040"/>
      <c r="E3356" s="23" t="s">
        <v>290</v>
      </c>
      <c r="F3356" s="23" t="s">
        <v>322</v>
      </c>
      <c r="G3356" s="1034" t="s">
        <v>323</v>
      </c>
      <c r="H3356" s="1035"/>
      <c r="I3356" s="509" t="s">
        <v>299</v>
      </c>
      <c r="J3356" s="509"/>
      <c r="K3356" s="595" t="s">
        <v>292</v>
      </c>
      <c r="L3356" s="739"/>
      <c r="M3356" s="173"/>
      <c r="N3356" s="68"/>
      <c r="O3356" s="203"/>
      <c r="P3356" s="218"/>
      <c r="Q3356" s="68"/>
      <c r="R3356" s="217"/>
    </row>
    <row r="3357" spans="1:25" s="208" customFormat="1" ht="30" customHeight="1" x14ac:dyDescent="0.35">
      <c r="A3357" s="717" t="s">
        <v>2410</v>
      </c>
      <c r="B3357" s="1031" t="s">
        <v>1533</v>
      </c>
      <c r="C3357" s="1032"/>
      <c r="D3357" s="1033"/>
      <c r="E3357" s="453">
        <v>160</v>
      </c>
      <c r="F3357" s="3" t="s">
        <v>8</v>
      </c>
      <c r="G3357" s="493"/>
      <c r="H3357" s="495"/>
      <c r="I3357" s="446">
        <v>1.04</v>
      </c>
      <c r="J3357" s="446"/>
      <c r="K3357" s="453">
        <f>+E3357*I3357</f>
        <v>166.4</v>
      </c>
      <c r="L3357" s="243" t="s">
        <v>8</v>
      </c>
      <c r="M3357" s="173"/>
      <c r="N3357" s="68"/>
      <c r="O3357" s="203"/>
      <c r="P3357" s="218"/>
      <c r="Q3357" s="68"/>
      <c r="R3357" s="217"/>
      <c r="S3357" s="203"/>
      <c r="T3357" s="203"/>
      <c r="U3357" s="203"/>
      <c r="V3357" s="203"/>
      <c r="W3357" s="203"/>
      <c r="X3357" s="203"/>
      <c r="Y3357" s="203"/>
    </row>
    <row r="3358" spans="1:25" ht="30" customHeight="1" x14ac:dyDescent="0.35">
      <c r="A3358" s="241" t="s">
        <v>521</v>
      </c>
      <c r="B3358" s="1102" t="s">
        <v>3106</v>
      </c>
      <c r="C3358" s="1102"/>
      <c r="D3358" s="1102"/>
      <c r="E3358" s="453">
        <v>3.87</v>
      </c>
      <c r="F3358" s="446" t="s">
        <v>8</v>
      </c>
      <c r="G3358" s="454"/>
      <c r="H3358" s="446"/>
      <c r="I3358" s="446">
        <v>1.04</v>
      </c>
      <c r="J3358" s="446"/>
      <c r="K3358" s="453">
        <f>+E3358*I3358</f>
        <v>4.0247999999999999</v>
      </c>
      <c r="L3358" s="243" t="s">
        <v>8</v>
      </c>
      <c r="M3358" s="173"/>
      <c r="N3358" s="68"/>
      <c r="O3358" s="203"/>
      <c r="P3358" s="218"/>
      <c r="Q3358" s="68"/>
      <c r="R3358" s="217"/>
    </row>
    <row r="3359" spans="1:25" ht="30" customHeight="1" x14ac:dyDescent="0.35">
      <c r="A3359" s="241"/>
      <c r="B3359" s="446"/>
      <c r="C3359" s="458"/>
      <c r="D3359" s="458"/>
      <c r="E3359" s="458"/>
      <c r="F3359" s="458"/>
      <c r="G3359" s="458"/>
      <c r="H3359" s="458"/>
      <c r="I3359" s="458"/>
      <c r="J3359" s="446" t="s">
        <v>335</v>
      </c>
      <c r="K3359" s="591">
        <f>SUM(K3357:K3358)</f>
        <v>170.4248</v>
      </c>
      <c r="L3359" s="243" t="s">
        <v>8</v>
      </c>
      <c r="M3359" s="173"/>
      <c r="N3359" s="419"/>
      <c r="O3359" s="203"/>
      <c r="P3359" s="218"/>
      <c r="Q3359" s="68"/>
      <c r="R3359" s="217"/>
    </row>
    <row r="3360" spans="1:25" ht="30" customHeight="1" x14ac:dyDescent="0.35">
      <c r="A3360" s="241"/>
      <c r="B3360" s="506"/>
      <c r="C3360" s="506"/>
      <c r="D3360" s="506"/>
      <c r="E3360" s="453"/>
      <c r="F3360" s="1029" t="s">
        <v>302</v>
      </c>
      <c r="G3360" s="1058" t="s">
        <v>303</v>
      </c>
      <c r="H3360" s="1058"/>
      <c r="I3360" s="1058"/>
      <c r="J3360" s="1058"/>
      <c r="K3360" s="612">
        <v>1.07</v>
      </c>
      <c r="L3360" s="243"/>
      <c r="M3360" s="173"/>
      <c r="N3360" s="419"/>
      <c r="O3360" s="171"/>
      <c r="P3360" s="216"/>
      <c r="Q3360" s="419"/>
      <c r="R3360" s="219"/>
    </row>
    <row r="3361" spans="1:25" ht="30" customHeight="1" x14ac:dyDescent="0.35">
      <c r="A3361" s="241"/>
      <c r="B3361" s="506"/>
      <c r="C3361" s="506"/>
      <c r="D3361" s="506"/>
      <c r="E3361" s="453"/>
      <c r="F3361" s="1030"/>
      <c r="G3361" s="1073" t="s">
        <v>2374</v>
      </c>
      <c r="H3361" s="1073"/>
      <c r="I3361" s="1073"/>
      <c r="J3361" s="1073"/>
      <c r="K3361" s="612">
        <v>1.08</v>
      </c>
      <c r="L3361" s="243"/>
      <c r="M3361" s="173"/>
      <c r="N3361" s="68"/>
      <c r="O3361" s="171"/>
      <c r="P3361" s="216"/>
      <c r="Q3361" s="419"/>
      <c r="R3361" s="219"/>
    </row>
    <row r="3362" spans="1:25" ht="30" customHeight="1" x14ac:dyDescent="0.35">
      <c r="A3362" s="241"/>
      <c r="B3362" s="446"/>
      <c r="C3362" s="458"/>
      <c r="D3362" s="458"/>
      <c r="E3362" s="458"/>
      <c r="F3362" s="458"/>
      <c r="G3362" s="458"/>
      <c r="H3362" s="458"/>
      <c r="I3362" s="458"/>
      <c r="J3362" s="446" t="s">
        <v>2356</v>
      </c>
      <c r="K3362" s="591">
        <f>+K3359*K3360/K3361</f>
        <v>168.84679259259261</v>
      </c>
      <c r="L3362" s="243" t="s">
        <v>8</v>
      </c>
      <c r="M3362" s="173"/>
      <c r="N3362" s="68"/>
      <c r="O3362" s="203"/>
      <c r="P3362" s="218"/>
      <c r="Q3362" s="68"/>
      <c r="R3362" s="217"/>
    </row>
    <row r="3363" spans="1:25" ht="30" customHeight="1" thickBot="1" x14ac:dyDescent="0.4">
      <c r="A3363" s="241"/>
      <c r="B3363" s="446"/>
      <c r="C3363" s="458"/>
      <c r="D3363" s="458"/>
      <c r="E3363" s="458"/>
      <c r="F3363" s="458"/>
      <c r="G3363" s="592" t="s">
        <v>2358</v>
      </c>
      <c r="H3363" s="458"/>
      <c r="I3363" s="458"/>
      <c r="J3363" s="583">
        <f>VLOOKUP(B3355,'Mil Cost Premiums for PUCs'!$A$4:$R$272,18,FALSE)</f>
        <v>1.3319480854780448</v>
      </c>
      <c r="K3363" s="591">
        <f>+K3362*J3363</f>
        <v>224.89516213281223</v>
      </c>
      <c r="L3363" s="243" t="s">
        <v>8</v>
      </c>
      <c r="M3363" s="173"/>
      <c r="N3363" s="68"/>
      <c r="O3363" s="203"/>
      <c r="P3363" s="218"/>
      <c r="Q3363" s="68"/>
      <c r="R3363" s="217"/>
    </row>
    <row r="3364" spans="1:25" ht="30" customHeight="1" thickBot="1" x14ac:dyDescent="0.4">
      <c r="A3364" s="481"/>
      <c r="B3364" s="482"/>
      <c r="C3364" s="482"/>
      <c r="D3364" s="482"/>
      <c r="E3364" s="482"/>
      <c r="F3364" s="482"/>
      <c r="G3364" s="482"/>
      <c r="H3364" s="482"/>
      <c r="I3364" s="482"/>
      <c r="J3364" s="482"/>
      <c r="K3364" s="482"/>
      <c r="L3364" s="483"/>
      <c r="M3364" s="173"/>
      <c r="N3364" s="68"/>
      <c r="O3364" s="203"/>
      <c r="P3364" s="218"/>
      <c r="Q3364" s="68"/>
      <c r="R3364" s="217"/>
      <c r="T3364" s="208"/>
      <c r="U3364" s="208"/>
      <c r="V3364" s="208"/>
      <c r="W3364" s="208"/>
      <c r="X3364" s="208"/>
    </row>
    <row r="3365" spans="1:25" ht="30" customHeight="1" x14ac:dyDescent="0.35">
      <c r="A3365" s="465" t="s">
        <v>278</v>
      </c>
      <c r="B3365" s="539">
        <v>7387</v>
      </c>
      <c r="C3365" s="1017" t="s">
        <v>1534</v>
      </c>
      <c r="D3365" s="1018"/>
      <c r="E3365" s="541" t="s">
        <v>280</v>
      </c>
      <c r="F3365" s="542" t="s">
        <v>8</v>
      </c>
      <c r="G3365" s="543" t="s">
        <v>285</v>
      </c>
      <c r="H3365" s="555">
        <v>6635</v>
      </c>
      <c r="I3365" s="541" t="s">
        <v>281</v>
      </c>
      <c r="J3365" s="1019" t="s">
        <v>2371</v>
      </c>
      <c r="K3365" s="1019"/>
      <c r="L3365" s="1020"/>
      <c r="M3365" s="173"/>
      <c r="N3365" s="68"/>
      <c r="O3365" s="203"/>
      <c r="P3365" s="218"/>
      <c r="Q3365" s="68"/>
      <c r="R3365" s="217"/>
      <c r="Y3365" s="208"/>
    </row>
    <row r="3366" spans="1:25" ht="30" customHeight="1" x14ac:dyDescent="0.35">
      <c r="A3366" s="588" t="s">
        <v>298</v>
      </c>
      <c r="B3366" s="1038" t="s">
        <v>321</v>
      </c>
      <c r="C3366" s="1039"/>
      <c r="D3366" s="1040"/>
      <c r="E3366" s="23" t="s">
        <v>290</v>
      </c>
      <c r="F3366" s="23" t="s">
        <v>322</v>
      </c>
      <c r="G3366" s="1034" t="s">
        <v>323</v>
      </c>
      <c r="H3366" s="1035"/>
      <c r="I3366" s="509" t="s">
        <v>299</v>
      </c>
      <c r="J3366" s="509"/>
      <c r="K3366" s="595" t="s">
        <v>292</v>
      </c>
      <c r="L3366" s="739"/>
      <c r="M3366" s="173"/>
      <c r="N3366" s="68"/>
      <c r="O3366" s="208"/>
      <c r="P3366" s="218"/>
      <c r="Q3366" s="68"/>
      <c r="R3366" s="217"/>
      <c r="S3366" s="208"/>
    </row>
    <row r="3367" spans="1:25" ht="30" customHeight="1" x14ac:dyDescent="0.35">
      <c r="A3367" s="717" t="s">
        <v>1454</v>
      </c>
      <c r="B3367" s="1031" t="s">
        <v>1455</v>
      </c>
      <c r="C3367" s="1032"/>
      <c r="D3367" s="1033"/>
      <c r="E3367" s="453">
        <v>88</v>
      </c>
      <c r="F3367" s="3" t="s">
        <v>8</v>
      </c>
      <c r="G3367" s="496"/>
      <c r="H3367" s="498"/>
      <c r="I3367" s="446">
        <v>1.04</v>
      </c>
      <c r="J3367" s="665"/>
      <c r="K3367" s="453">
        <f>+E3367*I3367</f>
        <v>91.52000000000001</v>
      </c>
      <c r="L3367" s="243" t="s">
        <v>8</v>
      </c>
      <c r="M3367" s="173"/>
      <c r="N3367" s="68"/>
      <c r="O3367" s="203"/>
      <c r="P3367" s="218"/>
      <c r="Q3367" s="68"/>
      <c r="R3367" s="217"/>
    </row>
    <row r="3368" spans="1:25" s="208" customFormat="1" ht="30" customHeight="1" x14ac:dyDescent="0.35">
      <c r="A3368" s="717" t="s">
        <v>375</v>
      </c>
      <c r="B3368" s="1031" t="s">
        <v>1535</v>
      </c>
      <c r="C3368" s="1032"/>
      <c r="D3368" s="1033"/>
      <c r="E3368" s="453">
        <v>53.5</v>
      </c>
      <c r="F3368" s="3" t="s">
        <v>8</v>
      </c>
      <c r="G3368" s="496"/>
      <c r="H3368" s="498"/>
      <c r="I3368" s="446">
        <v>1.03</v>
      </c>
      <c r="J3368" s="665"/>
      <c r="K3368" s="453">
        <f>+E3368*I3368</f>
        <v>55.105000000000004</v>
      </c>
      <c r="L3368" s="243" t="s">
        <v>8</v>
      </c>
      <c r="M3368" s="173"/>
      <c r="N3368" s="68"/>
      <c r="O3368" s="203"/>
      <c r="P3368" s="218"/>
      <c r="Q3368" s="68"/>
      <c r="R3368" s="217"/>
      <c r="S3368" s="203"/>
      <c r="T3368" s="203"/>
      <c r="U3368" s="203"/>
      <c r="V3368" s="203"/>
      <c r="W3368" s="203"/>
      <c r="X3368" s="203"/>
      <c r="Y3368" s="203"/>
    </row>
    <row r="3369" spans="1:25" ht="30" customHeight="1" x14ac:dyDescent="0.35">
      <c r="A3369" s="717" t="s">
        <v>1340</v>
      </c>
      <c r="B3369" s="1031" t="s">
        <v>1341</v>
      </c>
      <c r="C3369" s="1032"/>
      <c r="D3369" s="1033"/>
      <c r="E3369" s="453">
        <v>118</v>
      </c>
      <c r="F3369" s="3" t="s">
        <v>8</v>
      </c>
      <c r="G3369" s="496"/>
      <c r="H3369" s="498"/>
      <c r="I3369" s="446">
        <v>1.05</v>
      </c>
      <c r="J3369" s="446"/>
      <c r="K3369" s="453">
        <f>+E3369*I3369</f>
        <v>123.9</v>
      </c>
      <c r="L3369" s="243" t="s">
        <v>8</v>
      </c>
      <c r="M3369" s="173"/>
      <c r="N3369" s="419"/>
      <c r="O3369" s="203"/>
      <c r="P3369" s="218"/>
      <c r="Q3369" s="68"/>
      <c r="R3369" s="217"/>
    </row>
    <row r="3370" spans="1:25" ht="30" customHeight="1" x14ac:dyDescent="0.35">
      <c r="A3370" s="717" t="s">
        <v>1536</v>
      </c>
      <c r="B3370" s="1031" t="s">
        <v>1537</v>
      </c>
      <c r="C3370" s="1032"/>
      <c r="D3370" s="1033"/>
      <c r="E3370" s="453">
        <v>60</v>
      </c>
      <c r="F3370" s="3" t="s">
        <v>8</v>
      </c>
      <c r="G3370" s="496"/>
      <c r="H3370" s="498"/>
      <c r="I3370" s="446">
        <v>1.03</v>
      </c>
      <c r="J3370" s="446"/>
      <c r="K3370" s="453">
        <f>+E3370*I3370</f>
        <v>61.800000000000004</v>
      </c>
      <c r="L3370" s="243" t="s">
        <v>8</v>
      </c>
      <c r="M3370" s="173"/>
      <c r="N3370" s="419"/>
      <c r="O3370" s="171"/>
      <c r="P3370" s="216"/>
      <c r="Q3370" s="419"/>
      <c r="R3370" s="219"/>
    </row>
    <row r="3371" spans="1:25" ht="30" customHeight="1" x14ac:dyDescent="0.35">
      <c r="A3371" s="717"/>
      <c r="B3371" s="1031" t="s">
        <v>1538</v>
      </c>
      <c r="C3371" s="1032"/>
      <c r="D3371" s="1033"/>
      <c r="E3371" s="453"/>
      <c r="F3371" s="496"/>
      <c r="G3371" s="496"/>
      <c r="H3371" s="498"/>
      <c r="I3371" s="659"/>
      <c r="J3371" s="446" t="s">
        <v>304</v>
      </c>
      <c r="K3371" s="453">
        <f>AVERAGE(K3367:K3370)</f>
        <v>83.081249999999997</v>
      </c>
      <c r="L3371" s="243" t="s">
        <v>8</v>
      </c>
      <c r="M3371" s="173"/>
      <c r="N3371" s="68"/>
      <c r="O3371" s="171"/>
      <c r="P3371" s="216"/>
      <c r="Q3371" s="419"/>
      <c r="R3371" s="219"/>
    </row>
    <row r="3372" spans="1:25" ht="30" customHeight="1" x14ac:dyDescent="0.35">
      <c r="A3372" s="717" t="s">
        <v>360</v>
      </c>
      <c r="B3372" s="1102" t="s">
        <v>1516</v>
      </c>
      <c r="C3372" s="1102"/>
      <c r="D3372" s="1102"/>
      <c r="E3372" s="453">
        <v>3.71</v>
      </c>
      <c r="F3372" s="496" t="s">
        <v>8</v>
      </c>
      <c r="G3372" s="496"/>
      <c r="H3372" s="498"/>
      <c r="I3372" s="446">
        <v>1.03</v>
      </c>
      <c r="J3372" s="446"/>
      <c r="K3372" s="453">
        <f>+E3372*I3372</f>
        <v>3.8212999999999999</v>
      </c>
      <c r="L3372" s="243" t="s">
        <v>8</v>
      </c>
      <c r="M3372" s="173"/>
      <c r="N3372" s="68"/>
      <c r="O3372" s="203"/>
      <c r="P3372" s="218"/>
      <c r="Q3372" s="68"/>
      <c r="R3372" s="217"/>
    </row>
    <row r="3373" spans="1:25" ht="30" customHeight="1" x14ac:dyDescent="0.35">
      <c r="A3373" s="241"/>
      <c r="B3373" s="1102"/>
      <c r="C3373" s="1102"/>
      <c r="D3373" s="1102"/>
      <c r="E3373" s="453"/>
      <c r="F3373" s="446"/>
      <c r="G3373" s="454"/>
      <c r="H3373" s="446"/>
      <c r="I3373" s="446"/>
      <c r="J3373" s="446" t="s">
        <v>335</v>
      </c>
      <c r="K3373" s="607">
        <f>SUM(K3371:K3372)</f>
        <v>86.902549999999991</v>
      </c>
      <c r="L3373" s="243" t="s">
        <v>8</v>
      </c>
      <c r="M3373" s="173"/>
      <c r="N3373" s="68"/>
      <c r="O3373" s="203"/>
      <c r="P3373" s="218"/>
      <c r="Q3373" s="68"/>
      <c r="R3373" s="217"/>
    </row>
    <row r="3374" spans="1:25" ht="30" customHeight="1" x14ac:dyDescent="0.35">
      <c r="A3374" s="241"/>
      <c r="B3374" s="506"/>
      <c r="C3374" s="506"/>
      <c r="D3374" s="506"/>
      <c r="E3374" s="453"/>
      <c r="F3374" s="1029" t="s">
        <v>302</v>
      </c>
      <c r="G3374" s="1058" t="s">
        <v>303</v>
      </c>
      <c r="H3374" s="1058"/>
      <c r="I3374" s="1058"/>
      <c r="J3374" s="1058"/>
      <c r="K3374" s="612">
        <v>1.07</v>
      </c>
      <c r="L3374" s="243"/>
      <c r="M3374" s="173"/>
      <c r="N3374" s="68"/>
      <c r="O3374" s="203"/>
      <c r="P3374" s="218"/>
      <c r="Q3374" s="68"/>
      <c r="R3374" s="217"/>
      <c r="T3374" s="208"/>
      <c r="U3374" s="208"/>
      <c r="V3374" s="208"/>
      <c r="W3374" s="208"/>
      <c r="X3374" s="208"/>
    </row>
    <row r="3375" spans="1:25" ht="30" customHeight="1" x14ac:dyDescent="0.35">
      <c r="A3375" s="241"/>
      <c r="B3375" s="506"/>
      <c r="C3375" s="506"/>
      <c r="D3375" s="506"/>
      <c r="E3375" s="453"/>
      <c r="F3375" s="1030"/>
      <c r="G3375" s="1073" t="s">
        <v>2374</v>
      </c>
      <c r="H3375" s="1073"/>
      <c r="I3375" s="1073"/>
      <c r="J3375" s="1073"/>
      <c r="K3375" s="612">
        <v>1.08</v>
      </c>
      <c r="L3375" s="243"/>
      <c r="M3375" s="173"/>
      <c r="N3375" s="68"/>
      <c r="O3375" s="203"/>
      <c r="P3375" s="218"/>
      <c r="Q3375" s="68"/>
      <c r="R3375" s="217"/>
      <c r="Y3375" s="208"/>
    </row>
    <row r="3376" spans="1:25" ht="30" customHeight="1" x14ac:dyDescent="0.35">
      <c r="A3376" s="241"/>
      <c r="B3376" s="446"/>
      <c r="C3376" s="458"/>
      <c r="D3376" s="458"/>
      <c r="E3376" s="458"/>
      <c r="F3376" s="458"/>
      <c r="G3376" s="458"/>
      <c r="H3376" s="458"/>
      <c r="I3376" s="458"/>
      <c r="J3376" s="446" t="s">
        <v>2356</v>
      </c>
      <c r="K3376" s="591">
        <f>+K3373*K3374/K3375</f>
        <v>86.097896759259243</v>
      </c>
      <c r="L3376" s="243" t="s">
        <v>8</v>
      </c>
      <c r="M3376" s="173"/>
      <c r="N3376" s="68"/>
      <c r="O3376" s="208"/>
      <c r="P3376" s="218"/>
      <c r="Q3376" s="68"/>
      <c r="R3376" s="217"/>
      <c r="S3376" s="208"/>
    </row>
    <row r="3377" spans="1:25" ht="30" customHeight="1" thickBot="1" x14ac:dyDescent="0.4">
      <c r="A3377" s="241"/>
      <c r="B3377" s="446"/>
      <c r="C3377" s="458"/>
      <c r="D3377" s="458"/>
      <c r="E3377" s="458"/>
      <c r="F3377" s="458"/>
      <c r="G3377" s="592" t="s">
        <v>2358</v>
      </c>
      <c r="H3377" s="458"/>
      <c r="I3377" s="458"/>
      <c r="J3377" s="583">
        <f>VLOOKUP(B3365,'Mil Cost Premiums for PUCs'!$A$4:$R$272,18,FALSE)</f>
        <v>1.0209999999999999</v>
      </c>
      <c r="K3377" s="591">
        <f>+K3376*J3377</f>
        <v>87.905952591203672</v>
      </c>
      <c r="L3377" s="243" t="s">
        <v>8</v>
      </c>
      <c r="M3377" s="173"/>
      <c r="N3377" s="68"/>
      <c r="O3377" s="203"/>
      <c r="P3377" s="218"/>
      <c r="Q3377" s="68"/>
      <c r="R3377" s="217"/>
    </row>
    <row r="3378" spans="1:25" s="208" customFormat="1" ht="30" customHeight="1" thickBot="1" x14ac:dyDescent="0.4">
      <c r="A3378" s="481"/>
      <c r="B3378" s="482"/>
      <c r="C3378" s="482"/>
      <c r="D3378" s="482"/>
      <c r="E3378" s="482"/>
      <c r="F3378" s="482"/>
      <c r="G3378" s="482"/>
      <c r="H3378" s="482"/>
      <c r="I3378" s="482"/>
      <c r="J3378" s="482"/>
      <c r="K3378" s="482"/>
      <c r="L3378" s="483"/>
      <c r="M3378" s="173"/>
      <c r="N3378" s="68"/>
      <c r="O3378" s="203"/>
      <c r="P3378" s="218"/>
      <c r="Q3378" s="68"/>
      <c r="R3378" s="217"/>
      <c r="S3378" s="203"/>
      <c r="T3378" s="203"/>
      <c r="U3378" s="203"/>
      <c r="V3378" s="203"/>
      <c r="W3378" s="203"/>
      <c r="X3378" s="203"/>
      <c r="Y3378" s="203"/>
    </row>
    <row r="3379" spans="1:25" ht="30" customHeight="1" x14ac:dyDescent="0.35">
      <c r="A3379" s="465" t="s">
        <v>278</v>
      </c>
      <c r="B3379" s="539">
        <v>7388</v>
      </c>
      <c r="C3379" s="1060" t="s">
        <v>1539</v>
      </c>
      <c r="D3379" s="1061"/>
      <c r="E3379" s="541" t="s">
        <v>280</v>
      </c>
      <c r="F3379" s="542" t="s">
        <v>8</v>
      </c>
      <c r="G3379" s="543" t="s">
        <v>285</v>
      </c>
      <c r="H3379" s="569">
        <v>22334</v>
      </c>
      <c r="I3379" s="541" t="s">
        <v>281</v>
      </c>
      <c r="J3379" s="1019" t="s">
        <v>2637</v>
      </c>
      <c r="K3379" s="1019"/>
      <c r="L3379" s="1020"/>
      <c r="M3379" s="173"/>
      <c r="N3379" s="419"/>
      <c r="O3379" s="203"/>
      <c r="P3379" s="218"/>
      <c r="Q3379" s="68"/>
      <c r="R3379" s="217"/>
    </row>
    <row r="3380" spans="1:25" ht="30" customHeight="1" x14ac:dyDescent="0.35">
      <c r="A3380" s="545" t="s">
        <v>288</v>
      </c>
      <c r="B3380" s="1051" t="s">
        <v>282</v>
      </c>
      <c r="C3380" s="1051"/>
      <c r="D3380" s="1051"/>
      <c r="E3380" s="530" t="s">
        <v>290</v>
      </c>
      <c r="F3380" s="561" t="s">
        <v>2509</v>
      </c>
      <c r="G3380" s="1052"/>
      <c r="H3380" s="1053"/>
      <c r="I3380" s="1052" t="s">
        <v>405</v>
      </c>
      <c r="J3380" s="1053"/>
      <c r="K3380" s="595" t="s">
        <v>1500</v>
      </c>
      <c r="L3380" s="739"/>
      <c r="M3380" s="173"/>
      <c r="N3380" s="419"/>
      <c r="O3380" s="171"/>
      <c r="P3380" s="216"/>
      <c r="Q3380" s="419"/>
      <c r="R3380" s="219"/>
    </row>
    <row r="3381" spans="1:25" ht="30" customHeight="1" x14ac:dyDescent="0.35">
      <c r="A3381" s="241" t="s">
        <v>293</v>
      </c>
      <c r="B3381" s="1082" t="s">
        <v>3107</v>
      </c>
      <c r="C3381" s="1083"/>
      <c r="D3381" s="1093"/>
      <c r="E3381" s="453">
        <v>172</v>
      </c>
      <c r="F3381" s="694">
        <v>25000</v>
      </c>
      <c r="G3381" s="726"/>
      <c r="H3381" s="462"/>
      <c r="I3381" s="1343" t="s">
        <v>2638</v>
      </c>
      <c r="J3381" s="1344"/>
      <c r="K3381" s="444">
        <f>+E3381</f>
        <v>172</v>
      </c>
      <c r="L3381" s="564" t="s">
        <v>8</v>
      </c>
      <c r="M3381" s="173"/>
      <c r="N3381" s="68"/>
      <c r="O3381" s="171"/>
      <c r="P3381" s="216"/>
      <c r="Q3381" s="419"/>
      <c r="R3381" s="219"/>
    </row>
    <row r="3382" spans="1:25" ht="30" customHeight="1" thickBot="1" x14ac:dyDescent="0.4">
      <c r="A3382" s="241"/>
      <c r="B3382" s="1031" t="s">
        <v>1334</v>
      </c>
      <c r="C3382" s="1032"/>
      <c r="D3382" s="1033"/>
      <c r="E3382" s="553"/>
      <c r="F3382" s="706"/>
      <c r="G3382" s="553"/>
      <c r="H3382" s="707"/>
      <c r="I3382" s="458"/>
      <c r="J3382" s="510" t="s">
        <v>2356</v>
      </c>
      <c r="K3382" s="459">
        <f>SUM(K3381:K3381)</f>
        <v>172</v>
      </c>
      <c r="L3382" s="564" t="s">
        <v>8</v>
      </c>
      <c r="M3382" s="173"/>
      <c r="N3382" s="68"/>
      <c r="O3382" s="203"/>
      <c r="P3382" s="218"/>
      <c r="Q3382" s="68"/>
      <c r="R3382" s="217"/>
    </row>
    <row r="3383" spans="1:25" ht="30" customHeight="1" thickBot="1" x14ac:dyDescent="0.4">
      <c r="A3383" s="481"/>
      <c r="B3383" s="482"/>
      <c r="C3383" s="482"/>
      <c r="D3383" s="482"/>
      <c r="E3383" s="482"/>
      <c r="F3383" s="482"/>
      <c r="G3383" s="482"/>
      <c r="H3383" s="482"/>
      <c r="I3383" s="482"/>
      <c r="J3383" s="482"/>
      <c r="K3383" s="482"/>
      <c r="L3383" s="483"/>
      <c r="M3383" s="173"/>
      <c r="N3383" s="68"/>
      <c r="O3383" s="203"/>
      <c r="P3383" s="218"/>
      <c r="Q3383" s="68"/>
      <c r="R3383" s="217"/>
    </row>
    <row r="3384" spans="1:25" ht="30" customHeight="1" x14ac:dyDescent="0.35">
      <c r="A3384" s="465" t="s">
        <v>278</v>
      </c>
      <c r="B3384" s="539">
        <v>7389</v>
      </c>
      <c r="C3384" s="1060" t="s">
        <v>1540</v>
      </c>
      <c r="D3384" s="1061"/>
      <c r="E3384" s="541" t="s">
        <v>280</v>
      </c>
      <c r="F3384" s="542" t="s">
        <v>8</v>
      </c>
      <c r="G3384" s="543" t="s">
        <v>285</v>
      </c>
      <c r="H3384" s="569">
        <v>3614</v>
      </c>
      <c r="I3384" s="541" t="s">
        <v>281</v>
      </c>
      <c r="J3384" s="1019" t="s">
        <v>2371</v>
      </c>
      <c r="K3384" s="1019"/>
      <c r="L3384" s="1020"/>
      <c r="M3384" s="173"/>
      <c r="N3384" s="421"/>
      <c r="O3384" s="203"/>
      <c r="P3384" s="218"/>
      <c r="Q3384" s="68"/>
      <c r="R3384" s="217"/>
      <c r="T3384" s="208"/>
      <c r="U3384" s="208"/>
      <c r="V3384" s="208"/>
      <c r="W3384" s="208"/>
      <c r="X3384" s="208"/>
    </row>
    <row r="3385" spans="1:25" ht="30" customHeight="1" x14ac:dyDescent="0.35">
      <c r="A3385" s="588" t="s">
        <v>298</v>
      </c>
      <c r="B3385" s="1038" t="s">
        <v>321</v>
      </c>
      <c r="C3385" s="1039"/>
      <c r="D3385" s="1040"/>
      <c r="E3385" s="23" t="s">
        <v>290</v>
      </c>
      <c r="F3385" s="23" t="s">
        <v>322</v>
      </c>
      <c r="G3385" s="1012" t="s">
        <v>323</v>
      </c>
      <c r="H3385" s="1179"/>
      <c r="I3385" s="509" t="s">
        <v>299</v>
      </c>
      <c r="J3385" s="509"/>
      <c r="K3385" s="595" t="s">
        <v>292</v>
      </c>
      <c r="L3385" s="739"/>
      <c r="M3385" s="173"/>
      <c r="N3385" s="68"/>
      <c r="O3385" s="203"/>
      <c r="P3385" s="218"/>
      <c r="Q3385" s="68"/>
      <c r="R3385" s="217"/>
      <c r="Y3385" s="208"/>
    </row>
    <row r="3386" spans="1:25" ht="30" customHeight="1" x14ac:dyDescent="0.35">
      <c r="A3386" s="717" t="s">
        <v>1536</v>
      </c>
      <c r="B3386" s="1031" t="s">
        <v>2413</v>
      </c>
      <c r="C3386" s="1032"/>
      <c r="D3386" s="1033"/>
      <c r="E3386" s="453">
        <v>60</v>
      </c>
      <c r="F3386" s="3" t="s">
        <v>8</v>
      </c>
      <c r="G3386" s="493"/>
      <c r="H3386" s="495"/>
      <c r="I3386" s="446">
        <v>1.03</v>
      </c>
      <c r="J3386" s="446"/>
      <c r="K3386" s="453">
        <f>+E3386*I3386</f>
        <v>61.800000000000004</v>
      </c>
      <c r="L3386" s="243" t="s">
        <v>8</v>
      </c>
      <c r="M3386" s="173"/>
      <c r="N3386" s="68"/>
      <c r="O3386" s="208"/>
      <c r="P3386" s="218"/>
      <c r="Q3386" s="68"/>
      <c r="R3386" s="217"/>
      <c r="S3386" s="208"/>
    </row>
    <row r="3387" spans="1:25" ht="30" customHeight="1" x14ac:dyDescent="0.35">
      <c r="A3387" s="717" t="s">
        <v>1514</v>
      </c>
      <c r="B3387" s="1031" t="s">
        <v>1515</v>
      </c>
      <c r="C3387" s="1032"/>
      <c r="D3387" s="1033"/>
      <c r="E3387" s="453">
        <v>128</v>
      </c>
      <c r="F3387" s="3" t="s">
        <v>8</v>
      </c>
      <c r="G3387" s="493"/>
      <c r="H3387" s="495"/>
      <c r="I3387" s="446">
        <v>1.05</v>
      </c>
      <c r="J3387" s="446"/>
      <c r="K3387" s="453">
        <f>+E3387*I3387</f>
        <v>134.4</v>
      </c>
      <c r="L3387" s="243"/>
      <c r="M3387" s="173"/>
      <c r="N3387" s="68"/>
      <c r="O3387" s="203"/>
      <c r="P3387" s="218"/>
      <c r="Q3387" s="68"/>
      <c r="R3387" s="217"/>
    </row>
    <row r="3388" spans="1:25" s="208" customFormat="1" ht="30" customHeight="1" x14ac:dyDescent="0.35">
      <c r="A3388" s="241" t="s">
        <v>397</v>
      </c>
      <c r="B3388" s="1031" t="s">
        <v>2414</v>
      </c>
      <c r="C3388" s="1032"/>
      <c r="D3388" s="1033"/>
      <c r="E3388" s="453">
        <v>4.8600000000000003</v>
      </c>
      <c r="F3388" s="446" t="s">
        <v>8</v>
      </c>
      <c r="G3388" s="454"/>
      <c r="H3388" s="446"/>
      <c r="I3388" s="446">
        <v>1.05</v>
      </c>
      <c r="J3388" s="446"/>
      <c r="K3388" s="453">
        <f>+E3388*I3388</f>
        <v>5.1030000000000006</v>
      </c>
      <c r="L3388" s="243" t="s">
        <v>8</v>
      </c>
      <c r="M3388" s="173"/>
      <c r="N3388" s="68"/>
      <c r="O3388" s="203"/>
      <c r="P3388" s="218"/>
      <c r="Q3388" s="68"/>
      <c r="R3388" s="217"/>
      <c r="S3388" s="203"/>
      <c r="T3388" s="203"/>
      <c r="U3388" s="203"/>
      <c r="V3388" s="203"/>
      <c r="W3388" s="203"/>
      <c r="X3388" s="203"/>
      <c r="Y3388" s="203"/>
    </row>
    <row r="3389" spans="1:25" ht="30" customHeight="1" x14ac:dyDescent="0.35">
      <c r="A3389" s="241"/>
      <c r="B3389" s="446"/>
      <c r="C3389" s="458"/>
      <c r="D3389" s="458"/>
      <c r="E3389" s="458"/>
      <c r="F3389" s="458"/>
      <c r="G3389" s="458"/>
      <c r="H3389" s="458"/>
      <c r="I3389" s="458"/>
      <c r="J3389" s="446" t="s">
        <v>335</v>
      </c>
      <c r="K3389" s="591">
        <f>SUM(K3386:K3388)</f>
        <v>201.30300000000003</v>
      </c>
      <c r="L3389" s="243" t="s">
        <v>8</v>
      </c>
      <c r="M3389" s="173"/>
      <c r="N3389" s="419"/>
      <c r="O3389" s="203"/>
      <c r="P3389" s="218"/>
      <c r="Q3389" s="68"/>
      <c r="R3389" s="217"/>
    </row>
    <row r="3390" spans="1:25" ht="30" customHeight="1" x14ac:dyDescent="0.35">
      <c r="A3390" s="241"/>
      <c r="B3390" s="506"/>
      <c r="C3390" s="506"/>
      <c r="D3390" s="506"/>
      <c r="E3390" s="453"/>
      <c r="F3390" s="1029" t="s">
        <v>302</v>
      </c>
      <c r="G3390" s="1281" t="s">
        <v>303</v>
      </c>
      <c r="H3390" s="1296"/>
      <c r="I3390" s="1296"/>
      <c r="J3390" s="1297"/>
      <c r="K3390" s="612">
        <v>1.07</v>
      </c>
      <c r="L3390" s="243"/>
      <c r="M3390" s="363"/>
      <c r="N3390" s="419"/>
      <c r="O3390" s="171"/>
      <c r="P3390" s="216"/>
      <c r="Q3390" s="419"/>
      <c r="R3390" s="219"/>
    </row>
    <row r="3391" spans="1:25" ht="30" customHeight="1" x14ac:dyDescent="0.35">
      <c r="A3391" s="241"/>
      <c r="B3391" s="506"/>
      <c r="C3391" s="506"/>
      <c r="D3391" s="506"/>
      <c r="E3391" s="453"/>
      <c r="F3391" s="1030"/>
      <c r="G3391" s="1073" t="s">
        <v>2374</v>
      </c>
      <c r="H3391" s="1073"/>
      <c r="I3391" s="1073"/>
      <c r="J3391" s="1073"/>
      <c r="K3391" s="612">
        <v>1.08</v>
      </c>
      <c r="L3391" s="243"/>
      <c r="M3391" s="173"/>
      <c r="N3391" s="68"/>
      <c r="O3391" s="171"/>
      <c r="P3391" s="216"/>
      <c r="Q3391" s="419"/>
      <c r="R3391" s="219"/>
    </row>
    <row r="3392" spans="1:25" ht="30" customHeight="1" x14ac:dyDescent="0.35">
      <c r="A3392" s="241"/>
      <c r="B3392" s="446"/>
      <c r="C3392" s="458"/>
      <c r="D3392" s="458"/>
      <c r="E3392" s="458"/>
      <c r="F3392" s="458"/>
      <c r="G3392" s="458"/>
      <c r="H3392" s="458"/>
      <c r="I3392" s="458"/>
      <c r="J3392" s="446" t="s">
        <v>2356</v>
      </c>
      <c r="K3392" s="591">
        <f>+K3389*K3390/K3391</f>
        <v>199.43908333333337</v>
      </c>
      <c r="L3392" s="243" t="s">
        <v>8</v>
      </c>
      <c r="M3392" s="173"/>
      <c r="N3392" s="68"/>
      <c r="O3392" s="203"/>
      <c r="P3392" s="218"/>
      <c r="Q3392" s="68"/>
      <c r="R3392" s="217"/>
    </row>
    <row r="3393" spans="1:25" ht="30" customHeight="1" thickBot="1" x14ac:dyDescent="0.4">
      <c r="A3393" s="241"/>
      <c r="B3393" s="446"/>
      <c r="C3393" s="458"/>
      <c r="D3393" s="458"/>
      <c r="E3393" s="458"/>
      <c r="F3393" s="458"/>
      <c r="G3393" s="592" t="s">
        <v>2358</v>
      </c>
      <c r="H3393" s="458"/>
      <c r="I3393" s="458"/>
      <c r="J3393" s="583">
        <v>1.0209999999999999</v>
      </c>
      <c r="K3393" s="591">
        <f>+K3392*J3393</f>
        <v>203.62730408333334</v>
      </c>
      <c r="L3393" s="243" t="s">
        <v>8</v>
      </c>
      <c r="M3393" s="173"/>
      <c r="N3393" s="68"/>
      <c r="O3393" s="203"/>
      <c r="P3393" s="218"/>
      <c r="Q3393" s="68"/>
      <c r="R3393" s="217"/>
    </row>
    <row r="3394" spans="1:25" ht="30" customHeight="1" thickBot="1" x14ac:dyDescent="0.4">
      <c r="A3394" s="481"/>
      <c r="B3394" s="482"/>
      <c r="C3394" s="482"/>
      <c r="D3394" s="482"/>
      <c r="E3394" s="482"/>
      <c r="F3394" s="482"/>
      <c r="G3394" s="482"/>
      <c r="H3394" s="482"/>
      <c r="I3394" s="482"/>
      <c r="J3394" s="482"/>
      <c r="K3394" s="482"/>
      <c r="L3394" s="483"/>
      <c r="M3394" s="173"/>
      <c r="N3394" s="68"/>
      <c r="O3394" s="203"/>
      <c r="P3394" s="218"/>
      <c r="Q3394" s="68"/>
      <c r="R3394" s="217"/>
      <c r="T3394" s="208"/>
      <c r="U3394" s="208"/>
      <c r="V3394" s="208"/>
      <c r="W3394" s="208"/>
      <c r="X3394" s="208"/>
    </row>
    <row r="3395" spans="1:25" ht="30" customHeight="1" x14ac:dyDescent="0.35">
      <c r="A3395" s="465" t="s">
        <v>278</v>
      </c>
      <c r="B3395" s="539">
        <v>7411</v>
      </c>
      <c r="C3395" s="1017" t="s">
        <v>1541</v>
      </c>
      <c r="D3395" s="1018"/>
      <c r="E3395" s="541" t="s">
        <v>280</v>
      </c>
      <c r="F3395" s="542" t="s">
        <v>8</v>
      </c>
      <c r="G3395" s="543" t="s">
        <v>285</v>
      </c>
      <c r="H3395" s="555">
        <v>7183</v>
      </c>
      <c r="I3395" s="541" t="s">
        <v>281</v>
      </c>
      <c r="J3395" s="1019" t="s">
        <v>2371</v>
      </c>
      <c r="K3395" s="1019"/>
      <c r="L3395" s="1020"/>
      <c r="M3395" s="173"/>
      <c r="N3395" s="68"/>
      <c r="O3395" s="203"/>
      <c r="P3395" s="218"/>
      <c r="Q3395" s="68"/>
      <c r="R3395" s="217"/>
      <c r="Y3395" s="208"/>
    </row>
    <row r="3396" spans="1:25" ht="30" customHeight="1" x14ac:dyDescent="0.35">
      <c r="A3396" s="588" t="s">
        <v>298</v>
      </c>
      <c r="B3396" s="1038" t="s">
        <v>321</v>
      </c>
      <c r="C3396" s="1039"/>
      <c r="D3396" s="1040"/>
      <c r="E3396" s="23" t="s">
        <v>290</v>
      </c>
      <c r="F3396" s="23" t="s">
        <v>322</v>
      </c>
      <c r="G3396" s="1034" t="s">
        <v>323</v>
      </c>
      <c r="H3396" s="1035"/>
      <c r="I3396" s="509" t="s">
        <v>299</v>
      </c>
      <c r="J3396" s="509"/>
      <c r="K3396" s="595" t="s">
        <v>292</v>
      </c>
      <c r="L3396" s="739"/>
      <c r="M3396" s="173"/>
      <c r="N3396" s="68"/>
      <c r="O3396" s="208"/>
      <c r="P3396" s="218"/>
      <c r="Q3396" s="68"/>
      <c r="R3396" s="217"/>
      <c r="S3396" s="208"/>
    </row>
    <row r="3397" spans="1:25" ht="30" customHeight="1" x14ac:dyDescent="0.35">
      <c r="A3397" s="717" t="s">
        <v>1514</v>
      </c>
      <c r="B3397" s="1031" t="s">
        <v>1515</v>
      </c>
      <c r="C3397" s="1032"/>
      <c r="D3397" s="1033"/>
      <c r="E3397" s="453">
        <v>128</v>
      </c>
      <c r="F3397" s="3" t="s">
        <v>8</v>
      </c>
      <c r="G3397" s="493"/>
      <c r="H3397" s="495"/>
      <c r="I3397" s="446">
        <v>1.05</v>
      </c>
      <c r="J3397" s="446"/>
      <c r="K3397" s="453">
        <f>+E3397*I3397</f>
        <v>134.4</v>
      </c>
      <c r="L3397" s="243" t="s">
        <v>8</v>
      </c>
      <c r="M3397" s="173"/>
      <c r="N3397" s="71"/>
      <c r="O3397" s="203"/>
      <c r="P3397" s="218"/>
      <c r="Q3397" s="68"/>
      <c r="R3397" s="217"/>
    </row>
    <row r="3398" spans="1:25" s="208" customFormat="1" ht="30" customHeight="1" x14ac:dyDescent="0.35">
      <c r="A3398" s="241" t="s">
        <v>397</v>
      </c>
      <c r="B3398" s="1102" t="s">
        <v>1542</v>
      </c>
      <c r="C3398" s="1102"/>
      <c r="D3398" s="1102"/>
      <c r="E3398" s="453">
        <v>4.0199999999999996</v>
      </c>
      <c r="F3398" s="446" t="s">
        <v>8</v>
      </c>
      <c r="G3398" s="454"/>
      <c r="H3398" s="446"/>
      <c r="I3398" s="446">
        <v>1.05</v>
      </c>
      <c r="J3398" s="446"/>
      <c r="K3398" s="453">
        <f>+E3398*I3398</f>
        <v>4.2210000000000001</v>
      </c>
      <c r="L3398" s="243" t="s">
        <v>8</v>
      </c>
      <c r="M3398" s="173"/>
      <c r="N3398" s="68"/>
      <c r="O3398" s="203"/>
      <c r="P3398" s="218"/>
      <c r="Q3398" s="68"/>
      <c r="R3398" s="217"/>
      <c r="S3398" s="203"/>
      <c r="T3398" s="203"/>
      <c r="U3398" s="203"/>
      <c r="V3398" s="203"/>
      <c r="W3398" s="203"/>
      <c r="X3398" s="203"/>
      <c r="Y3398" s="203"/>
    </row>
    <row r="3399" spans="1:25" ht="30" customHeight="1" x14ac:dyDescent="0.35">
      <c r="A3399" s="241"/>
      <c r="B3399" s="446"/>
      <c r="C3399" s="458"/>
      <c r="D3399" s="458"/>
      <c r="E3399" s="458"/>
      <c r="F3399" s="458"/>
      <c r="G3399" s="458"/>
      <c r="H3399" s="458"/>
      <c r="I3399" s="458"/>
      <c r="J3399" s="446" t="s">
        <v>335</v>
      </c>
      <c r="K3399" s="591">
        <f>SUM(K3397:K3398)</f>
        <v>138.62100000000001</v>
      </c>
      <c r="L3399" s="243" t="s">
        <v>8</v>
      </c>
      <c r="M3399" s="173"/>
      <c r="N3399" s="419"/>
      <c r="O3399" s="203"/>
      <c r="P3399" s="218"/>
      <c r="Q3399" s="68"/>
      <c r="R3399" s="217"/>
    </row>
    <row r="3400" spans="1:25" ht="30" customHeight="1" x14ac:dyDescent="0.35">
      <c r="A3400" s="241"/>
      <c r="B3400" s="506"/>
      <c r="C3400" s="506"/>
      <c r="D3400" s="506"/>
      <c r="E3400" s="453"/>
      <c r="F3400" s="1029" t="s">
        <v>302</v>
      </c>
      <c r="G3400" s="1058" t="s">
        <v>303</v>
      </c>
      <c r="H3400" s="1058"/>
      <c r="I3400" s="1058"/>
      <c r="J3400" s="1058"/>
      <c r="K3400" s="612">
        <v>1.07</v>
      </c>
      <c r="L3400" s="243"/>
      <c r="M3400" s="173"/>
      <c r="N3400" s="419"/>
      <c r="O3400" s="171"/>
      <c r="P3400" s="216"/>
      <c r="Q3400" s="419"/>
      <c r="R3400" s="219"/>
    </row>
    <row r="3401" spans="1:25" ht="30" customHeight="1" x14ac:dyDescent="0.35">
      <c r="A3401" s="241"/>
      <c r="B3401" s="506"/>
      <c r="C3401" s="506"/>
      <c r="D3401" s="506"/>
      <c r="E3401" s="453"/>
      <c r="F3401" s="1030"/>
      <c r="G3401" s="1073" t="s">
        <v>2374</v>
      </c>
      <c r="H3401" s="1073"/>
      <c r="I3401" s="1073"/>
      <c r="J3401" s="1073"/>
      <c r="K3401" s="612">
        <v>1.08</v>
      </c>
      <c r="L3401" s="243"/>
      <c r="M3401" s="173"/>
      <c r="N3401" s="68"/>
      <c r="O3401" s="171"/>
      <c r="P3401" s="216"/>
      <c r="Q3401" s="419"/>
      <c r="R3401" s="219"/>
    </row>
    <row r="3402" spans="1:25" ht="30" customHeight="1" x14ac:dyDescent="0.35">
      <c r="A3402" s="241"/>
      <c r="B3402" s="446"/>
      <c r="C3402" s="458"/>
      <c r="D3402" s="458"/>
      <c r="E3402" s="458"/>
      <c r="F3402" s="458"/>
      <c r="G3402" s="458"/>
      <c r="H3402" s="458"/>
      <c r="I3402" s="458"/>
      <c r="J3402" s="446" t="s">
        <v>2356</v>
      </c>
      <c r="K3402" s="591">
        <f>+K3399*K3400/K3401</f>
        <v>137.33747222222223</v>
      </c>
      <c r="L3402" s="243" t="s">
        <v>8</v>
      </c>
      <c r="M3402" s="173"/>
      <c r="N3402" s="68"/>
      <c r="O3402" s="203"/>
      <c r="P3402" s="218"/>
      <c r="Q3402" s="68"/>
      <c r="R3402" s="217"/>
    </row>
    <row r="3403" spans="1:25" ht="30" customHeight="1" thickBot="1" x14ac:dyDescent="0.4">
      <c r="A3403" s="241"/>
      <c r="B3403" s="446"/>
      <c r="C3403" s="458"/>
      <c r="D3403" s="458"/>
      <c r="E3403" s="458"/>
      <c r="F3403" s="458"/>
      <c r="G3403" s="592" t="s">
        <v>2358</v>
      </c>
      <c r="H3403" s="458"/>
      <c r="I3403" s="458"/>
      <c r="J3403" s="583">
        <f>VLOOKUP(B3395,'Mil Cost Premiums for PUCs'!$A$4:$R$272,18,FALSE)</f>
        <v>1.0209999999999999</v>
      </c>
      <c r="K3403" s="591">
        <f>+K3402*J3403</f>
        <v>140.22155913888889</v>
      </c>
      <c r="L3403" s="243" t="s">
        <v>8</v>
      </c>
      <c r="M3403" s="173"/>
      <c r="N3403" s="68"/>
      <c r="O3403" s="203"/>
      <c r="P3403" s="218"/>
      <c r="Q3403" s="68"/>
      <c r="R3403" s="217"/>
    </row>
    <row r="3404" spans="1:25" ht="30" customHeight="1" thickBot="1" x14ac:dyDescent="0.4">
      <c r="A3404" s="481"/>
      <c r="B3404" s="482"/>
      <c r="C3404" s="482"/>
      <c r="D3404" s="482"/>
      <c r="E3404" s="482"/>
      <c r="F3404" s="482"/>
      <c r="G3404" s="482"/>
      <c r="H3404" s="482"/>
      <c r="I3404" s="482"/>
      <c r="J3404" s="482"/>
      <c r="K3404" s="482"/>
      <c r="L3404" s="483"/>
      <c r="M3404" s="173"/>
      <c r="N3404" s="68"/>
      <c r="O3404" s="203"/>
      <c r="P3404" s="218"/>
      <c r="Q3404" s="68"/>
      <c r="R3404" s="217"/>
      <c r="T3404" s="208"/>
      <c r="U3404" s="208"/>
      <c r="V3404" s="208"/>
      <c r="W3404" s="208"/>
      <c r="X3404" s="208"/>
    </row>
    <row r="3405" spans="1:25" ht="30" customHeight="1" x14ac:dyDescent="0.35">
      <c r="A3405" s="465" t="s">
        <v>278</v>
      </c>
      <c r="B3405" s="539">
        <v>7412</v>
      </c>
      <c r="C3405" s="1017" t="s">
        <v>1543</v>
      </c>
      <c r="D3405" s="1018"/>
      <c r="E3405" s="541" t="s">
        <v>280</v>
      </c>
      <c r="F3405" s="542" t="s">
        <v>8</v>
      </c>
      <c r="G3405" s="543" t="s">
        <v>285</v>
      </c>
      <c r="H3405" s="555">
        <v>6924</v>
      </c>
      <c r="I3405" s="541" t="s">
        <v>281</v>
      </c>
      <c r="J3405" s="1019" t="s">
        <v>2371</v>
      </c>
      <c r="K3405" s="1019"/>
      <c r="L3405" s="1020"/>
      <c r="M3405" s="173"/>
      <c r="N3405" s="421"/>
      <c r="O3405" s="203"/>
      <c r="P3405" s="218"/>
      <c r="Q3405" s="68"/>
      <c r="R3405" s="217"/>
      <c r="Y3405" s="208"/>
    </row>
    <row r="3406" spans="1:25" ht="30" customHeight="1" x14ac:dyDescent="0.35">
      <c r="A3406" s="588" t="s">
        <v>298</v>
      </c>
      <c r="B3406" s="1038" t="s">
        <v>321</v>
      </c>
      <c r="C3406" s="1039"/>
      <c r="D3406" s="1040"/>
      <c r="E3406" s="23" t="s">
        <v>290</v>
      </c>
      <c r="F3406" s="23" t="s">
        <v>322</v>
      </c>
      <c r="G3406" s="1034" t="s">
        <v>323</v>
      </c>
      <c r="H3406" s="1035"/>
      <c r="I3406" s="509" t="s">
        <v>299</v>
      </c>
      <c r="J3406" s="509"/>
      <c r="K3406" s="595" t="s">
        <v>292</v>
      </c>
      <c r="L3406" s="739"/>
      <c r="M3406" s="173"/>
      <c r="N3406" s="213"/>
      <c r="O3406" s="208"/>
      <c r="P3406" s="218"/>
      <c r="Q3406" s="68"/>
      <c r="R3406" s="217"/>
      <c r="S3406" s="208"/>
    </row>
    <row r="3407" spans="1:25" ht="30" customHeight="1" x14ac:dyDescent="0.35">
      <c r="A3407" s="717" t="s">
        <v>1536</v>
      </c>
      <c r="B3407" s="1031" t="s">
        <v>1537</v>
      </c>
      <c r="C3407" s="1032"/>
      <c r="D3407" s="1033"/>
      <c r="E3407" s="453">
        <v>60</v>
      </c>
      <c r="F3407" s="3" t="s">
        <v>8</v>
      </c>
      <c r="G3407" s="493"/>
      <c r="H3407" s="495"/>
      <c r="I3407" s="446">
        <v>1.03</v>
      </c>
      <c r="J3407" s="446"/>
      <c r="K3407" s="453">
        <f>+E3407*I3407</f>
        <v>61.800000000000004</v>
      </c>
      <c r="L3407" s="243" t="s">
        <v>8</v>
      </c>
      <c r="M3407" s="173"/>
      <c r="N3407" s="293"/>
      <c r="O3407" s="203"/>
      <c r="P3407" s="218"/>
      <c r="Q3407" s="68"/>
      <c r="R3407" s="217"/>
    </row>
    <row r="3408" spans="1:25" s="208" customFormat="1" ht="30" customHeight="1" x14ac:dyDescent="0.35">
      <c r="A3408" s="241" t="s">
        <v>360</v>
      </c>
      <c r="B3408" s="1102" t="s">
        <v>1516</v>
      </c>
      <c r="C3408" s="1102"/>
      <c r="D3408" s="1102"/>
      <c r="E3408" s="453">
        <v>3.71</v>
      </c>
      <c r="F3408" s="446" t="s">
        <v>8</v>
      </c>
      <c r="G3408" s="454"/>
      <c r="H3408" s="446"/>
      <c r="I3408" s="446">
        <v>1.03</v>
      </c>
      <c r="J3408" s="446"/>
      <c r="K3408" s="453">
        <f>+E3408*I3408</f>
        <v>3.8212999999999999</v>
      </c>
      <c r="L3408" s="243" t="s">
        <v>8</v>
      </c>
      <c r="M3408" s="173"/>
      <c r="N3408" s="68"/>
      <c r="O3408" s="203"/>
      <c r="P3408" s="218"/>
      <c r="Q3408" s="68"/>
      <c r="R3408" s="217"/>
      <c r="S3408" s="203"/>
      <c r="T3408" s="203"/>
      <c r="U3408" s="203"/>
      <c r="V3408" s="203"/>
      <c r="W3408" s="203"/>
      <c r="X3408" s="203"/>
      <c r="Y3408" s="203"/>
    </row>
    <row r="3409" spans="1:24" ht="30" customHeight="1" x14ac:dyDescent="0.35">
      <c r="A3409" s="241"/>
      <c r="B3409" s="446"/>
      <c r="C3409" s="458"/>
      <c r="D3409" s="458"/>
      <c r="E3409" s="458"/>
      <c r="F3409" s="458"/>
      <c r="G3409" s="458"/>
      <c r="H3409" s="458"/>
      <c r="I3409" s="458"/>
      <c r="J3409" s="446" t="s">
        <v>335</v>
      </c>
      <c r="K3409" s="591">
        <f>SUM(K3407:K3408)</f>
        <v>65.621300000000005</v>
      </c>
      <c r="L3409" s="243" t="s">
        <v>8</v>
      </c>
      <c r="M3409" s="173"/>
      <c r="N3409" s="419"/>
      <c r="O3409" s="203"/>
      <c r="P3409" s="218"/>
      <c r="Q3409" s="68"/>
      <c r="R3409" s="217"/>
    </row>
    <row r="3410" spans="1:24" ht="30" customHeight="1" x14ac:dyDescent="0.35">
      <c r="A3410" s="241"/>
      <c r="B3410" s="506"/>
      <c r="C3410" s="506"/>
      <c r="D3410" s="506"/>
      <c r="E3410" s="453"/>
      <c r="F3410" s="1029" t="s">
        <v>302</v>
      </c>
      <c r="G3410" s="1058" t="s">
        <v>303</v>
      </c>
      <c r="H3410" s="1058"/>
      <c r="I3410" s="1058"/>
      <c r="J3410" s="1058"/>
      <c r="K3410" s="612">
        <v>1.07</v>
      </c>
      <c r="L3410" s="243"/>
      <c r="M3410" s="173"/>
      <c r="N3410" s="419"/>
      <c r="O3410" s="171"/>
      <c r="P3410" s="216"/>
      <c r="Q3410" s="419"/>
      <c r="R3410" s="219"/>
    </row>
    <row r="3411" spans="1:24" ht="30" customHeight="1" x14ac:dyDescent="0.35">
      <c r="A3411" s="241"/>
      <c r="B3411" s="506"/>
      <c r="C3411" s="506"/>
      <c r="D3411" s="506"/>
      <c r="E3411" s="453"/>
      <c r="F3411" s="1030"/>
      <c r="G3411" s="1073" t="s">
        <v>2374</v>
      </c>
      <c r="H3411" s="1073"/>
      <c r="I3411" s="1073"/>
      <c r="J3411" s="1073"/>
      <c r="K3411" s="612">
        <v>1.08</v>
      </c>
      <c r="L3411" s="243"/>
      <c r="M3411" s="173"/>
      <c r="N3411" s="68"/>
      <c r="O3411" s="171"/>
      <c r="P3411" s="216"/>
      <c r="Q3411" s="419"/>
      <c r="R3411" s="219"/>
    </row>
    <row r="3412" spans="1:24" ht="30" customHeight="1" x14ac:dyDescent="0.35">
      <c r="A3412" s="241"/>
      <c r="B3412" s="446"/>
      <c r="C3412" s="458"/>
      <c r="D3412" s="458"/>
      <c r="E3412" s="458"/>
      <c r="F3412" s="458"/>
      <c r="G3412" s="458"/>
      <c r="H3412" s="458"/>
      <c r="I3412" s="458"/>
      <c r="J3412" s="446" t="s">
        <v>2356</v>
      </c>
      <c r="K3412" s="591">
        <f>+K3409*K3410/K3411</f>
        <v>65.013695370370371</v>
      </c>
      <c r="L3412" s="243" t="s">
        <v>8</v>
      </c>
      <c r="M3412" s="173"/>
      <c r="N3412" s="68"/>
      <c r="O3412" s="203"/>
      <c r="P3412" s="218"/>
      <c r="Q3412" s="68"/>
      <c r="R3412" s="217"/>
    </row>
    <row r="3413" spans="1:24" ht="30" customHeight="1" thickBot="1" x14ac:dyDescent="0.4">
      <c r="A3413" s="241"/>
      <c r="B3413" s="446"/>
      <c r="C3413" s="458"/>
      <c r="D3413" s="458"/>
      <c r="E3413" s="458"/>
      <c r="F3413" s="458"/>
      <c r="G3413" s="592" t="s">
        <v>2358</v>
      </c>
      <c r="H3413" s="458"/>
      <c r="I3413" s="458"/>
      <c r="J3413" s="583">
        <f>VLOOKUP(B3405,'Mil Cost Premiums for PUCs'!$A$4:$R$272,18,FALSE)</f>
        <v>1.0240629999999997</v>
      </c>
      <c r="K3413" s="591">
        <f>+K3412*J3413</f>
        <v>66.578119922067572</v>
      </c>
      <c r="L3413" s="243" t="s">
        <v>8</v>
      </c>
      <c r="M3413" s="173"/>
      <c r="N3413" s="68"/>
      <c r="O3413" s="203"/>
      <c r="P3413" s="218"/>
      <c r="Q3413" s="68"/>
      <c r="R3413" s="217"/>
    </row>
    <row r="3414" spans="1:24" ht="30" customHeight="1" thickBot="1" x14ac:dyDescent="0.4">
      <c r="A3414" s="481"/>
      <c r="B3414" s="482"/>
      <c r="C3414" s="482"/>
      <c r="D3414" s="482"/>
      <c r="E3414" s="482"/>
      <c r="F3414" s="482"/>
      <c r="G3414" s="482"/>
      <c r="H3414" s="482"/>
      <c r="I3414" s="482"/>
      <c r="J3414" s="482"/>
      <c r="K3414" s="482"/>
      <c r="L3414" s="483"/>
      <c r="M3414" s="213"/>
      <c r="N3414" s="68"/>
      <c r="O3414" s="203"/>
      <c r="P3414" s="218"/>
      <c r="Q3414" s="68"/>
      <c r="R3414" s="217"/>
    </row>
    <row r="3415" spans="1:24" ht="30" customHeight="1" x14ac:dyDescent="0.35">
      <c r="A3415" s="465" t="s">
        <v>278</v>
      </c>
      <c r="B3415" s="539">
        <v>7413</v>
      </c>
      <c r="C3415" s="1017" t="s">
        <v>1544</v>
      </c>
      <c r="D3415" s="1018"/>
      <c r="E3415" s="541" t="s">
        <v>280</v>
      </c>
      <c r="F3415" s="542" t="s">
        <v>8</v>
      </c>
      <c r="G3415" s="543" t="s">
        <v>285</v>
      </c>
      <c r="H3415" s="555">
        <v>4240</v>
      </c>
      <c r="I3415" s="541" t="s">
        <v>281</v>
      </c>
      <c r="J3415" s="1019" t="s">
        <v>2371</v>
      </c>
      <c r="K3415" s="1019"/>
      <c r="L3415" s="1020"/>
      <c r="M3415" s="293"/>
      <c r="N3415" s="68"/>
      <c r="O3415" s="203"/>
      <c r="P3415" s="218"/>
      <c r="Q3415" s="68"/>
      <c r="R3415" s="217"/>
    </row>
    <row r="3416" spans="1:24" ht="30" customHeight="1" x14ac:dyDescent="0.35">
      <c r="A3416" s="588" t="s">
        <v>298</v>
      </c>
      <c r="B3416" s="1038" t="s">
        <v>321</v>
      </c>
      <c r="C3416" s="1039"/>
      <c r="D3416" s="1040"/>
      <c r="E3416" s="23" t="s">
        <v>290</v>
      </c>
      <c r="F3416" s="23" t="s">
        <v>322</v>
      </c>
      <c r="G3416" s="1034" t="s">
        <v>323</v>
      </c>
      <c r="H3416" s="1035"/>
      <c r="I3416" s="509" t="s">
        <v>299</v>
      </c>
      <c r="J3416" s="509"/>
      <c r="K3416" s="595" t="s">
        <v>292</v>
      </c>
      <c r="L3416" s="739"/>
      <c r="M3416" s="173"/>
      <c r="N3416" s="68"/>
      <c r="O3416" s="203"/>
      <c r="P3416" s="218"/>
      <c r="Q3416" s="68"/>
      <c r="R3416" s="217"/>
    </row>
    <row r="3417" spans="1:24" ht="30" customHeight="1" x14ac:dyDescent="0.35">
      <c r="A3417" s="717" t="s">
        <v>1545</v>
      </c>
      <c r="B3417" s="1031" t="s">
        <v>1546</v>
      </c>
      <c r="C3417" s="1032"/>
      <c r="D3417" s="1033"/>
      <c r="E3417" s="453">
        <v>105</v>
      </c>
      <c r="F3417" s="3" t="s">
        <v>8</v>
      </c>
      <c r="G3417" s="493"/>
      <c r="H3417" s="495"/>
      <c r="I3417" s="665">
        <v>1.05</v>
      </c>
      <c r="J3417" s="446"/>
      <c r="K3417" s="453">
        <f>+E3417*I3417</f>
        <v>110.25</v>
      </c>
      <c r="L3417" s="243" t="s">
        <v>8</v>
      </c>
      <c r="M3417" s="173"/>
      <c r="N3417" s="68"/>
      <c r="O3417" s="203"/>
      <c r="P3417" s="218"/>
      <c r="Q3417" s="68"/>
      <c r="R3417" s="217"/>
    </row>
    <row r="3418" spans="1:24" ht="30" customHeight="1" x14ac:dyDescent="0.35">
      <c r="A3418" s="832" t="s">
        <v>1289</v>
      </c>
      <c r="B3418" s="1102" t="s">
        <v>1521</v>
      </c>
      <c r="C3418" s="1102"/>
      <c r="D3418" s="1102"/>
      <c r="E3418" s="453">
        <v>4.09</v>
      </c>
      <c r="F3418" s="446" t="s">
        <v>8</v>
      </c>
      <c r="G3418" s="454"/>
      <c r="H3418" s="446"/>
      <c r="I3418" s="665">
        <v>1.05</v>
      </c>
      <c r="J3418" s="446"/>
      <c r="K3418" s="453">
        <f>+E3418*I3418</f>
        <v>4.2945000000000002</v>
      </c>
      <c r="L3418" s="243" t="s">
        <v>8</v>
      </c>
      <c r="M3418" s="173"/>
      <c r="N3418" s="68"/>
      <c r="O3418" s="203"/>
      <c r="P3418" s="218"/>
      <c r="Q3418" s="68"/>
      <c r="R3418" s="217"/>
    </row>
    <row r="3419" spans="1:24" ht="30" customHeight="1" x14ac:dyDescent="0.35">
      <c r="A3419" s="241"/>
      <c r="B3419" s="446"/>
      <c r="C3419" s="458"/>
      <c r="D3419" s="458"/>
      <c r="E3419" s="458"/>
      <c r="F3419" s="458"/>
      <c r="G3419" s="592"/>
      <c r="H3419" s="458"/>
      <c r="I3419" s="458"/>
      <c r="J3419" s="446" t="s">
        <v>335</v>
      </c>
      <c r="K3419" s="591">
        <f>SUM(K3417:K3418)</f>
        <v>114.5445</v>
      </c>
      <c r="L3419" s="243" t="s">
        <v>8</v>
      </c>
      <c r="M3419" s="173"/>
      <c r="N3419" s="419"/>
      <c r="O3419" s="203"/>
      <c r="P3419" s="218"/>
      <c r="Q3419" s="68"/>
      <c r="R3419" s="217"/>
    </row>
    <row r="3420" spans="1:24" ht="30" customHeight="1" x14ac:dyDescent="0.35">
      <c r="A3420" s="241"/>
      <c r="B3420" s="506"/>
      <c r="C3420" s="506"/>
      <c r="D3420" s="506"/>
      <c r="E3420" s="453"/>
      <c r="F3420" s="1029" t="s">
        <v>302</v>
      </c>
      <c r="G3420" s="1058" t="s">
        <v>303</v>
      </c>
      <c r="H3420" s="1058"/>
      <c r="I3420" s="1058"/>
      <c r="J3420" s="1058"/>
      <c r="K3420" s="612">
        <v>1.07</v>
      </c>
      <c r="L3420" s="243"/>
      <c r="M3420" s="173"/>
      <c r="N3420" s="419"/>
      <c r="O3420" s="203"/>
      <c r="P3420" s="218"/>
      <c r="Q3420" s="68"/>
      <c r="R3420" s="217"/>
    </row>
    <row r="3421" spans="1:24" ht="30" customHeight="1" x14ac:dyDescent="0.35">
      <c r="A3421" s="241"/>
      <c r="B3421" s="506"/>
      <c r="C3421" s="506"/>
      <c r="D3421" s="506"/>
      <c r="E3421" s="453"/>
      <c r="F3421" s="1030"/>
      <c r="G3421" s="1073" t="s">
        <v>2374</v>
      </c>
      <c r="H3421" s="1073"/>
      <c r="I3421" s="1073"/>
      <c r="J3421" s="1073"/>
      <c r="K3421" s="612">
        <v>1.08</v>
      </c>
      <c r="L3421" s="243"/>
      <c r="M3421" s="173"/>
      <c r="N3421" s="68"/>
      <c r="O3421" s="203"/>
      <c r="P3421" s="218"/>
      <c r="Q3421" s="68"/>
      <c r="R3421" s="217"/>
    </row>
    <row r="3422" spans="1:24" ht="30" customHeight="1" x14ac:dyDescent="0.35">
      <c r="A3422" s="241"/>
      <c r="B3422" s="446"/>
      <c r="C3422" s="458"/>
      <c r="D3422" s="458"/>
      <c r="E3422" s="458"/>
      <c r="F3422" s="458"/>
      <c r="G3422" s="592"/>
      <c r="H3422" s="458"/>
      <c r="I3422" s="458"/>
      <c r="J3422" s="446" t="s">
        <v>2356</v>
      </c>
      <c r="K3422" s="591">
        <f>+K3419*K3420/K3421</f>
        <v>113.48390277777777</v>
      </c>
      <c r="L3422" s="243" t="s">
        <v>8</v>
      </c>
      <c r="M3422" s="173"/>
      <c r="N3422" s="68"/>
      <c r="O3422" s="203"/>
      <c r="P3422" s="218"/>
      <c r="Q3422" s="68"/>
      <c r="R3422" s="217"/>
    </row>
    <row r="3423" spans="1:24" ht="30" customHeight="1" thickBot="1" x14ac:dyDescent="0.4">
      <c r="A3423" s="241"/>
      <c r="B3423" s="446"/>
      <c r="C3423" s="458"/>
      <c r="D3423" s="458"/>
      <c r="E3423" s="458"/>
      <c r="F3423" s="458"/>
      <c r="G3423" s="592" t="s">
        <v>2358</v>
      </c>
      <c r="H3423" s="458"/>
      <c r="I3423" s="458"/>
      <c r="J3423" s="583">
        <f>VLOOKUP(B3415,'Mil Cost Premiums for PUCs'!$A$4:$R$272,18,FALSE)</f>
        <v>1.3319480854780448</v>
      </c>
      <c r="K3423" s="591">
        <f>+K3422*J3423</f>
        <v>151.15466703743766</v>
      </c>
      <c r="L3423" s="243" t="s">
        <v>8</v>
      </c>
      <c r="M3423" s="173"/>
      <c r="N3423" s="68"/>
      <c r="O3423" s="203"/>
      <c r="P3423" s="218"/>
      <c r="Q3423" s="68"/>
      <c r="R3423" s="217"/>
    </row>
    <row r="3424" spans="1:24" ht="30" customHeight="1" thickBot="1" x14ac:dyDescent="0.4">
      <c r="A3424" s="481"/>
      <c r="B3424" s="482"/>
      <c r="C3424" s="482"/>
      <c r="D3424" s="482"/>
      <c r="E3424" s="482"/>
      <c r="F3424" s="482"/>
      <c r="G3424" s="482"/>
      <c r="H3424" s="482"/>
      <c r="I3424" s="482"/>
      <c r="J3424" s="482"/>
      <c r="K3424" s="482"/>
      <c r="L3424" s="483"/>
      <c r="M3424" s="173"/>
      <c r="N3424" s="68"/>
      <c r="O3424" s="203"/>
      <c r="P3424" s="218"/>
      <c r="Q3424" s="68"/>
      <c r="R3424" s="217"/>
      <c r="T3424" s="208"/>
      <c r="U3424" s="208"/>
      <c r="V3424" s="208"/>
      <c r="W3424" s="208"/>
      <c r="X3424" s="208"/>
    </row>
    <row r="3425" spans="1:25" ht="30" customHeight="1" x14ac:dyDescent="0.35">
      <c r="A3425" s="465" t="s">
        <v>278</v>
      </c>
      <c r="B3425" s="539">
        <v>7414</v>
      </c>
      <c r="C3425" s="1017" t="s">
        <v>1547</v>
      </c>
      <c r="D3425" s="1018"/>
      <c r="E3425" s="541" t="s">
        <v>280</v>
      </c>
      <c r="F3425" s="542" t="s">
        <v>8</v>
      </c>
      <c r="G3425" s="543" t="s">
        <v>285</v>
      </c>
      <c r="H3425" s="555">
        <v>3688</v>
      </c>
      <c r="I3425" s="541" t="s">
        <v>281</v>
      </c>
      <c r="J3425" s="1019" t="s">
        <v>2371</v>
      </c>
      <c r="K3425" s="1019"/>
      <c r="L3425" s="1020"/>
      <c r="M3425" s="173"/>
      <c r="N3425" s="68"/>
      <c r="O3425" s="203"/>
      <c r="P3425" s="218"/>
      <c r="Q3425" s="68"/>
      <c r="R3425" s="217"/>
      <c r="Y3425" s="208"/>
    </row>
    <row r="3426" spans="1:25" ht="30" customHeight="1" x14ac:dyDescent="0.35">
      <c r="A3426" s="588" t="s">
        <v>298</v>
      </c>
      <c r="B3426" s="1038" t="s">
        <v>321</v>
      </c>
      <c r="C3426" s="1039"/>
      <c r="D3426" s="1040"/>
      <c r="E3426" s="23" t="s">
        <v>290</v>
      </c>
      <c r="F3426" s="23" t="s">
        <v>322</v>
      </c>
      <c r="G3426" s="1034" t="s">
        <v>323</v>
      </c>
      <c r="H3426" s="1035"/>
      <c r="I3426" s="509" t="s">
        <v>299</v>
      </c>
      <c r="J3426" s="509"/>
      <c r="K3426" s="595" t="s">
        <v>292</v>
      </c>
      <c r="L3426" s="739"/>
      <c r="M3426" s="173"/>
      <c r="N3426" s="68"/>
      <c r="O3426" s="208"/>
      <c r="P3426" s="218"/>
      <c r="Q3426" s="68"/>
      <c r="R3426" s="217"/>
      <c r="S3426" s="208"/>
    </row>
    <row r="3427" spans="1:25" ht="30" customHeight="1" x14ac:dyDescent="0.35">
      <c r="A3427" s="717" t="s">
        <v>1514</v>
      </c>
      <c r="B3427" s="1031" t="s">
        <v>1515</v>
      </c>
      <c r="C3427" s="1032"/>
      <c r="D3427" s="1033"/>
      <c r="E3427" s="453">
        <v>128</v>
      </c>
      <c r="F3427" s="3" t="s">
        <v>8</v>
      </c>
      <c r="G3427" s="493"/>
      <c r="H3427" s="495"/>
      <c r="I3427" s="446">
        <v>1.05</v>
      </c>
      <c r="J3427" s="446"/>
      <c r="K3427" s="453">
        <f>+E3427*I3427</f>
        <v>134.4</v>
      </c>
      <c r="L3427" s="243" t="s">
        <v>8</v>
      </c>
      <c r="M3427" s="173"/>
      <c r="N3427" s="68"/>
      <c r="O3427" s="203"/>
      <c r="P3427" s="218"/>
      <c r="Q3427" s="68"/>
      <c r="R3427" s="217"/>
    </row>
    <row r="3428" spans="1:25" s="208" customFormat="1" ht="30" customHeight="1" x14ac:dyDescent="0.35">
      <c r="A3428" s="241" t="s">
        <v>397</v>
      </c>
      <c r="B3428" s="1102" t="s">
        <v>1531</v>
      </c>
      <c r="C3428" s="1102"/>
      <c r="D3428" s="1102"/>
      <c r="E3428" s="453">
        <v>4.8600000000000003</v>
      </c>
      <c r="F3428" s="446" t="s">
        <v>8</v>
      </c>
      <c r="G3428" s="454"/>
      <c r="H3428" s="446"/>
      <c r="I3428" s="446">
        <v>1.05</v>
      </c>
      <c r="J3428" s="446"/>
      <c r="K3428" s="453">
        <f>+E3428*I3428</f>
        <v>5.1030000000000006</v>
      </c>
      <c r="L3428" s="243" t="s">
        <v>8</v>
      </c>
      <c r="M3428" s="173"/>
      <c r="N3428" s="290"/>
      <c r="O3428" s="203"/>
      <c r="P3428" s="218"/>
      <c r="Q3428" s="68"/>
      <c r="R3428" s="217"/>
      <c r="S3428" s="203"/>
      <c r="T3428" s="203"/>
      <c r="U3428" s="203"/>
      <c r="V3428" s="203"/>
      <c r="W3428" s="203"/>
      <c r="X3428" s="203"/>
      <c r="Y3428" s="203"/>
    </row>
    <row r="3429" spans="1:25" ht="30" customHeight="1" x14ac:dyDescent="0.35">
      <c r="A3429" s="241"/>
      <c r="B3429" s="446"/>
      <c r="C3429" s="458"/>
      <c r="D3429" s="458"/>
      <c r="E3429" s="458"/>
      <c r="F3429" s="458"/>
      <c r="G3429" s="458"/>
      <c r="H3429" s="458"/>
      <c r="I3429" s="458"/>
      <c r="J3429" s="446" t="s">
        <v>335</v>
      </c>
      <c r="K3429" s="591">
        <f>SUM(K3427:K3428)</f>
        <v>139.50300000000001</v>
      </c>
      <c r="L3429" s="243" t="s">
        <v>8</v>
      </c>
      <c r="M3429" s="173"/>
      <c r="N3429" s="290"/>
      <c r="O3429" s="203"/>
      <c r="P3429" s="218"/>
      <c r="Q3429" s="68"/>
      <c r="R3429" s="217"/>
    </row>
    <row r="3430" spans="1:25" ht="30" customHeight="1" x14ac:dyDescent="0.35">
      <c r="A3430" s="241"/>
      <c r="B3430" s="506"/>
      <c r="C3430" s="506"/>
      <c r="D3430" s="506"/>
      <c r="E3430" s="453"/>
      <c r="F3430" s="1029" t="s">
        <v>302</v>
      </c>
      <c r="G3430" s="1058" t="s">
        <v>303</v>
      </c>
      <c r="H3430" s="1058"/>
      <c r="I3430" s="1058"/>
      <c r="J3430" s="1058"/>
      <c r="K3430" s="612">
        <v>1.07</v>
      </c>
      <c r="L3430" s="243"/>
      <c r="M3430" s="173"/>
      <c r="N3430" s="290"/>
      <c r="O3430" s="203"/>
      <c r="P3430" s="218"/>
      <c r="Q3430" s="68"/>
      <c r="R3430" s="217"/>
    </row>
    <row r="3431" spans="1:25" ht="30" customHeight="1" x14ac:dyDescent="0.35">
      <c r="A3431" s="241"/>
      <c r="B3431" s="506"/>
      <c r="C3431" s="506"/>
      <c r="D3431" s="506"/>
      <c r="E3431" s="453"/>
      <c r="F3431" s="1030"/>
      <c r="G3431" s="1073" t="s">
        <v>2374</v>
      </c>
      <c r="H3431" s="1073"/>
      <c r="I3431" s="1073"/>
      <c r="J3431" s="1073"/>
      <c r="K3431" s="612">
        <v>1.08</v>
      </c>
      <c r="L3431" s="243"/>
      <c r="M3431" s="173"/>
      <c r="N3431" s="68"/>
      <c r="O3431" s="171"/>
      <c r="P3431" s="216"/>
      <c r="Q3431" s="419"/>
      <c r="R3431" s="219"/>
    </row>
    <row r="3432" spans="1:25" ht="30" customHeight="1" x14ac:dyDescent="0.35">
      <c r="A3432" s="241"/>
      <c r="B3432" s="446"/>
      <c r="C3432" s="458"/>
      <c r="D3432" s="458"/>
      <c r="E3432" s="458"/>
      <c r="F3432" s="458"/>
      <c r="G3432" s="458"/>
      <c r="H3432" s="458"/>
      <c r="I3432" s="458"/>
      <c r="J3432" s="446" t="s">
        <v>2356</v>
      </c>
      <c r="K3432" s="591">
        <f>+K3429*K3430/K3431</f>
        <v>138.21130555555555</v>
      </c>
      <c r="L3432" s="243" t="s">
        <v>8</v>
      </c>
      <c r="M3432" s="173"/>
      <c r="N3432" s="68"/>
      <c r="O3432" s="171"/>
      <c r="P3432" s="216"/>
      <c r="Q3432" s="419"/>
      <c r="R3432" s="219"/>
      <c r="T3432" s="27"/>
      <c r="U3432" s="171"/>
    </row>
    <row r="3433" spans="1:25" ht="30" customHeight="1" thickBot="1" x14ac:dyDescent="0.4">
      <c r="A3433" s="241"/>
      <c r="B3433" s="446"/>
      <c r="C3433" s="458"/>
      <c r="D3433" s="458"/>
      <c r="E3433" s="458"/>
      <c r="F3433" s="458"/>
      <c r="G3433" s="592" t="s">
        <v>2358</v>
      </c>
      <c r="H3433" s="458"/>
      <c r="I3433" s="458"/>
      <c r="J3433" s="583">
        <f>VLOOKUP(B3425,'Mil Cost Premiums for PUCs'!$A$4:$R$272,18,FALSE)</f>
        <v>1.2470022895162014</v>
      </c>
      <c r="K3433" s="591">
        <f>+K3432*J3433</f>
        <v>172.34981446480106</v>
      </c>
      <c r="L3433" s="243" t="s">
        <v>8</v>
      </c>
      <c r="M3433" s="173"/>
      <c r="N3433" s="68"/>
      <c r="O3433" s="203"/>
      <c r="P3433" s="218"/>
      <c r="Q3433" s="68"/>
      <c r="R3433" s="217"/>
      <c r="U3433" s="171"/>
    </row>
    <row r="3434" spans="1:25" ht="30" customHeight="1" thickBot="1" x14ac:dyDescent="0.4">
      <c r="A3434" s="481"/>
      <c r="B3434" s="482"/>
      <c r="C3434" s="482"/>
      <c r="D3434" s="482"/>
      <c r="E3434" s="482"/>
      <c r="F3434" s="482"/>
      <c r="G3434" s="482"/>
      <c r="H3434" s="482"/>
      <c r="I3434" s="482"/>
      <c r="J3434" s="482"/>
      <c r="K3434" s="482"/>
      <c r="L3434" s="483"/>
      <c r="M3434" s="173"/>
      <c r="N3434" s="68"/>
      <c r="O3434" s="207"/>
      <c r="P3434" s="27"/>
      <c r="Q3434" s="27"/>
      <c r="R3434" s="27"/>
      <c r="S3434" s="27"/>
      <c r="U3434" s="27"/>
      <c r="V3434" s="27"/>
      <c r="W3434" s="27"/>
      <c r="X3434" s="27"/>
    </row>
    <row r="3435" spans="1:25" ht="30" customHeight="1" x14ac:dyDescent="0.35">
      <c r="A3435" s="465" t="s">
        <v>278</v>
      </c>
      <c r="B3435" s="539">
        <v>7415</v>
      </c>
      <c r="C3435" s="1017" t="s">
        <v>1548</v>
      </c>
      <c r="D3435" s="1018"/>
      <c r="E3435" s="541" t="s">
        <v>280</v>
      </c>
      <c r="F3435" s="542" t="s">
        <v>8</v>
      </c>
      <c r="G3435" s="543" t="s">
        <v>285</v>
      </c>
      <c r="H3435" s="555">
        <v>17348</v>
      </c>
      <c r="I3435" s="541" t="s">
        <v>281</v>
      </c>
      <c r="J3435" s="1019" t="s">
        <v>2371</v>
      </c>
      <c r="K3435" s="1019"/>
      <c r="L3435" s="1020"/>
      <c r="M3435" s="173"/>
      <c r="N3435" s="68"/>
      <c r="T3435" s="213"/>
      <c r="U3435" s="208"/>
      <c r="V3435" s="208"/>
      <c r="W3435" s="208"/>
      <c r="X3435" s="208"/>
      <c r="Y3435" s="27"/>
    </row>
    <row r="3436" spans="1:25" ht="30" customHeight="1" x14ac:dyDescent="0.35">
      <c r="A3436" s="588" t="s">
        <v>298</v>
      </c>
      <c r="B3436" s="1038" t="s">
        <v>321</v>
      </c>
      <c r="C3436" s="1039"/>
      <c r="D3436" s="1040"/>
      <c r="E3436" s="23" t="s">
        <v>290</v>
      </c>
      <c r="F3436" s="23" t="s">
        <v>322</v>
      </c>
      <c r="G3436" s="1034" t="s">
        <v>323</v>
      </c>
      <c r="H3436" s="1035"/>
      <c r="I3436" s="509" t="s">
        <v>299</v>
      </c>
      <c r="J3436" s="509"/>
      <c r="K3436" s="595" t="s">
        <v>292</v>
      </c>
      <c r="L3436" s="739"/>
      <c r="M3436" s="173"/>
      <c r="N3436" s="68"/>
      <c r="T3436" s="51"/>
      <c r="Y3436" s="208"/>
    </row>
    <row r="3437" spans="1:25" ht="30" customHeight="1" x14ac:dyDescent="0.35">
      <c r="A3437" s="717" t="s">
        <v>1549</v>
      </c>
      <c r="B3437" s="1031" t="s">
        <v>1550</v>
      </c>
      <c r="C3437" s="1032"/>
      <c r="D3437" s="1033"/>
      <c r="E3437" s="453">
        <v>108</v>
      </c>
      <c r="F3437" s="3" t="s">
        <v>8</v>
      </c>
      <c r="G3437" s="493"/>
      <c r="H3437" s="495"/>
      <c r="I3437" s="446">
        <v>1.06</v>
      </c>
      <c r="J3437" s="446"/>
      <c r="K3437" s="453">
        <f>+E3437*I3437</f>
        <v>114.48</v>
      </c>
      <c r="L3437" s="243" t="s">
        <v>8</v>
      </c>
      <c r="M3437" s="173"/>
      <c r="N3437" s="68"/>
      <c r="P3437" s="75"/>
      <c r="Q3437" s="75"/>
      <c r="R3437" s="75"/>
      <c r="S3437" s="213"/>
    </row>
    <row r="3438" spans="1:25" s="27" customFormat="1" ht="30" customHeight="1" x14ac:dyDescent="0.35">
      <c r="A3438" s="241" t="s">
        <v>1551</v>
      </c>
      <c r="B3438" s="1102" t="s">
        <v>1552</v>
      </c>
      <c r="C3438" s="1102"/>
      <c r="D3438" s="1102"/>
      <c r="E3438" s="453">
        <v>3.54</v>
      </c>
      <c r="F3438" s="446" t="s">
        <v>8</v>
      </c>
      <c r="G3438" s="454"/>
      <c r="H3438" s="446"/>
      <c r="I3438" s="446">
        <v>1.06</v>
      </c>
      <c r="J3438" s="446"/>
      <c r="K3438" s="453">
        <f>+E3438*I3438</f>
        <v>3.7524000000000002</v>
      </c>
      <c r="L3438" s="243" t="s">
        <v>8</v>
      </c>
      <c r="M3438" s="173"/>
      <c r="N3438" s="68"/>
      <c r="O3438" s="205"/>
      <c r="P3438" s="171"/>
      <c r="Q3438" s="171"/>
      <c r="R3438" s="171"/>
      <c r="S3438" s="51"/>
      <c r="T3438" s="203"/>
      <c r="U3438" s="203"/>
      <c r="V3438" s="203"/>
      <c r="W3438" s="203"/>
      <c r="X3438" s="203"/>
      <c r="Y3438" s="203"/>
    </row>
    <row r="3439" spans="1:25" s="208" customFormat="1" ht="30" customHeight="1" x14ac:dyDescent="0.35">
      <c r="A3439" s="241"/>
      <c r="B3439" s="446"/>
      <c r="C3439" s="458"/>
      <c r="D3439" s="458"/>
      <c r="E3439" s="458"/>
      <c r="F3439" s="458"/>
      <c r="G3439" s="458"/>
      <c r="H3439" s="458"/>
      <c r="I3439" s="458"/>
      <c r="J3439" s="446" t="s">
        <v>335</v>
      </c>
      <c r="K3439" s="591">
        <f>SUM(K3437:K3438)</f>
        <v>118.2324</v>
      </c>
      <c r="L3439" s="243" t="s">
        <v>8</v>
      </c>
      <c r="M3439" s="173"/>
      <c r="N3439" s="220"/>
      <c r="O3439" s="203"/>
      <c r="P3439" s="218"/>
      <c r="Q3439" s="68"/>
      <c r="R3439" s="217"/>
      <c r="S3439" s="203"/>
      <c r="T3439" s="203"/>
      <c r="U3439" s="203"/>
      <c r="V3439" s="203"/>
      <c r="W3439" s="203"/>
      <c r="X3439" s="203"/>
      <c r="Y3439" s="203"/>
    </row>
    <row r="3440" spans="1:25" ht="30" customHeight="1" x14ac:dyDescent="0.35">
      <c r="A3440" s="241"/>
      <c r="B3440" s="506"/>
      <c r="C3440" s="506"/>
      <c r="D3440" s="506"/>
      <c r="E3440" s="453"/>
      <c r="F3440" s="1029" t="s">
        <v>302</v>
      </c>
      <c r="G3440" s="1058" t="s">
        <v>303</v>
      </c>
      <c r="H3440" s="1058"/>
      <c r="I3440" s="1058"/>
      <c r="J3440" s="1058"/>
      <c r="K3440" s="612">
        <v>1.07</v>
      </c>
      <c r="L3440" s="243"/>
      <c r="M3440" s="173"/>
      <c r="N3440" s="220"/>
      <c r="O3440" s="203"/>
      <c r="P3440" s="218"/>
      <c r="Q3440" s="68"/>
      <c r="R3440" s="217"/>
      <c r="T3440" s="208"/>
      <c r="U3440" s="208"/>
      <c r="V3440" s="208"/>
      <c r="W3440" s="208"/>
      <c r="X3440" s="208"/>
    </row>
    <row r="3441" spans="1:25" ht="30" customHeight="1" x14ac:dyDescent="0.35">
      <c r="A3441" s="241"/>
      <c r="B3441" s="506"/>
      <c r="C3441" s="506"/>
      <c r="D3441" s="506"/>
      <c r="E3441" s="453"/>
      <c r="F3441" s="1030"/>
      <c r="G3441" s="1073" t="s">
        <v>2374</v>
      </c>
      <c r="H3441" s="1073"/>
      <c r="I3441" s="1073"/>
      <c r="J3441" s="1073"/>
      <c r="K3441" s="612">
        <v>1.08</v>
      </c>
      <c r="L3441" s="243"/>
      <c r="M3441" s="173"/>
      <c r="N3441" s="64"/>
      <c r="O3441" s="203"/>
      <c r="P3441" s="218"/>
      <c r="Q3441" s="68"/>
      <c r="R3441" s="217"/>
      <c r="Y3441" s="208"/>
    </row>
    <row r="3442" spans="1:25" ht="30" customHeight="1" x14ac:dyDescent="0.35">
      <c r="A3442" s="241"/>
      <c r="B3442" s="446"/>
      <c r="C3442" s="458"/>
      <c r="D3442" s="458"/>
      <c r="E3442" s="458"/>
      <c r="F3442" s="458"/>
      <c r="G3442" s="458"/>
      <c r="H3442" s="458"/>
      <c r="I3442" s="458"/>
      <c r="J3442" s="446" t="s">
        <v>2356</v>
      </c>
      <c r="K3442" s="591">
        <f>+K3439*K3440/K3441</f>
        <v>117.13765555555555</v>
      </c>
      <c r="L3442" s="243" t="s">
        <v>8</v>
      </c>
      <c r="M3442" s="173"/>
      <c r="N3442" s="68"/>
      <c r="O3442" s="208"/>
      <c r="P3442" s="218"/>
      <c r="Q3442" s="68"/>
      <c r="R3442" s="217"/>
      <c r="S3442" s="208"/>
    </row>
    <row r="3443" spans="1:25" ht="30" customHeight="1" thickBot="1" x14ac:dyDescent="0.4">
      <c r="A3443" s="241"/>
      <c r="B3443" s="446"/>
      <c r="C3443" s="458"/>
      <c r="D3443" s="458"/>
      <c r="E3443" s="458"/>
      <c r="F3443" s="458"/>
      <c r="G3443" s="592" t="s">
        <v>2358</v>
      </c>
      <c r="H3443" s="458"/>
      <c r="I3443" s="458"/>
      <c r="J3443" s="583">
        <f>VLOOKUP(B3435,'Mil Cost Premiums for PUCs'!$A$4:$R$272,18,FALSE)</f>
        <v>1.2815350593147223</v>
      </c>
      <c r="K3443" s="591">
        <f>+K3442*J3443</f>
        <v>150.1160123603764</v>
      </c>
      <c r="L3443" s="243" t="s">
        <v>8</v>
      </c>
      <c r="M3443" s="173"/>
      <c r="N3443" s="68"/>
      <c r="O3443" s="203"/>
      <c r="P3443" s="218"/>
      <c r="Q3443" s="68"/>
      <c r="R3443" s="217"/>
    </row>
    <row r="3444" spans="1:25" s="208" customFormat="1" ht="30" customHeight="1" thickBot="1" x14ac:dyDescent="0.4">
      <c r="A3444" s="481"/>
      <c r="B3444" s="482"/>
      <c r="C3444" s="482"/>
      <c r="D3444" s="482"/>
      <c r="E3444" s="482"/>
      <c r="F3444" s="482"/>
      <c r="G3444" s="482"/>
      <c r="H3444" s="482"/>
      <c r="I3444" s="482"/>
      <c r="J3444" s="482"/>
      <c r="K3444" s="482"/>
      <c r="L3444" s="483"/>
      <c r="M3444" s="173"/>
      <c r="N3444" s="68"/>
      <c r="O3444" s="203"/>
      <c r="P3444" s="218"/>
      <c r="Q3444" s="68"/>
      <c r="R3444" s="217"/>
      <c r="S3444" s="203"/>
      <c r="T3444" s="203"/>
      <c r="U3444" s="203"/>
      <c r="V3444" s="203"/>
      <c r="W3444" s="203"/>
      <c r="X3444" s="203"/>
      <c r="Y3444" s="203"/>
    </row>
    <row r="3445" spans="1:25" ht="30" customHeight="1" x14ac:dyDescent="0.35">
      <c r="A3445" s="465" t="s">
        <v>278</v>
      </c>
      <c r="B3445" s="539">
        <v>7416</v>
      </c>
      <c r="C3445" s="1017" t="s">
        <v>1553</v>
      </c>
      <c r="D3445" s="1018"/>
      <c r="E3445" s="541" t="s">
        <v>280</v>
      </c>
      <c r="F3445" s="542" t="s">
        <v>8</v>
      </c>
      <c r="G3445" s="543" t="s">
        <v>285</v>
      </c>
      <c r="H3445" s="555">
        <v>10353</v>
      </c>
      <c r="I3445" s="541" t="s">
        <v>281</v>
      </c>
      <c r="J3445" s="1019" t="s">
        <v>2371</v>
      </c>
      <c r="K3445" s="1019"/>
      <c r="L3445" s="1020"/>
      <c r="M3445" s="173"/>
      <c r="N3445" s="214"/>
      <c r="O3445" s="203"/>
      <c r="P3445" s="218"/>
      <c r="Q3445" s="68"/>
      <c r="R3445" s="217"/>
    </row>
    <row r="3446" spans="1:25" ht="30" customHeight="1" x14ac:dyDescent="0.35">
      <c r="A3446" s="588" t="s">
        <v>298</v>
      </c>
      <c r="B3446" s="1038" t="s">
        <v>321</v>
      </c>
      <c r="C3446" s="1039"/>
      <c r="D3446" s="1040"/>
      <c r="E3446" s="23" t="s">
        <v>290</v>
      </c>
      <c r="F3446" s="23" t="s">
        <v>322</v>
      </c>
      <c r="G3446" s="1034" t="s">
        <v>323</v>
      </c>
      <c r="H3446" s="1035"/>
      <c r="I3446" s="509" t="s">
        <v>299</v>
      </c>
      <c r="J3446" s="509"/>
      <c r="K3446" s="595" t="s">
        <v>292</v>
      </c>
      <c r="L3446" s="739"/>
      <c r="M3446" s="173"/>
      <c r="N3446" s="208"/>
      <c r="O3446" s="171"/>
      <c r="P3446" s="216"/>
      <c r="Q3446" s="419"/>
      <c r="R3446" s="219"/>
    </row>
    <row r="3447" spans="1:25" ht="30" customHeight="1" x14ac:dyDescent="0.35">
      <c r="A3447" s="717" t="s">
        <v>1554</v>
      </c>
      <c r="B3447" s="1031" t="s">
        <v>1555</v>
      </c>
      <c r="C3447" s="1032"/>
      <c r="D3447" s="1033"/>
      <c r="E3447" s="453">
        <v>147</v>
      </c>
      <c r="F3447" s="3" t="s">
        <v>8</v>
      </c>
      <c r="G3447" s="493"/>
      <c r="H3447" s="495"/>
      <c r="I3447" s="446">
        <v>1.05</v>
      </c>
      <c r="J3447" s="446"/>
      <c r="K3447" s="453">
        <f>+E3447*I3447</f>
        <v>154.35</v>
      </c>
      <c r="L3447" s="243" t="s">
        <v>8</v>
      </c>
      <c r="M3447" s="532"/>
      <c r="O3447" s="171"/>
      <c r="P3447" s="216"/>
      <c r="Q3447" s="419"/>
      <c r="R3447" s="219"/>
    </row>
    <row r="3448" spans="1:25" ht="30" customHeight="1" x14ac:dyDescent="0.35">
      <c r="A3448" s="241" t="s">
        <v>397</v>
      </c>
      <c r="B3448" s="1102" t="s">
        <v>1542</v>
      </c>
      <c r="C3448" s="1102"/>
      <c r="D3448" s="1102"/>
      <c r="E3448" s="453">
        <v>4.0199999999999996</v>
      </c>
      <c r="F3448" s="446" t="s">
        <v>8</v>
      </c>
      <c r="G3448" s="454"/>
      <c r="H3448" s="446"/>
      <c r="I3448" s="446">
        <v>1.05</v>
      </c>
      <c r="J3448" s="446"/>
      <c r="K3448" s="453">
        <f>+E3448*I3448</f>
        <v>4.2210000000000001</v>
      </c>
      <c r="L3448" s="243" t="s">
        <v>8</v>
      </c>
      <c r="M3448" s="293"/>
      <c r="O3448" s="203"/>
      <c r="P3448" s="218"/>
      <c r="Q3448" s="68"/>
      <c r="R3448" s="217"/>
    </row>
    <row r="3449" spans="1:25" ht="30" customHeight="1" x14ac:dyDescent="0.35">
      <c r="A3449" s="241"/>
      <c r="B3449" s="446"/>
      <c r="C3449" s="458"/>
      <c r="D3449" s="458"/>
      <c r="E3449" s="458"/>
      <c r="F3449" s="458"/>
      <c r="G3449" s="458"/>
      <c r="H3449" s="458"/>
      <c r="I3449" s="458"/>
      <c r="J3449" s="446" t="s">
        <v>335</v>
      </c>
      <c r="K3449" s="591">
        <f>SUM(K3447:K3448)</f>
        <v>158.571</v>
      </c>
      <c r="L3449" s="243" t="s">
        <v>8</v>
      </c>
      <c r="M3449" s="173"/>
      <c r="O3449" s="203"/>
      <c r="P3449" s="218"/>
      <c r="Q3449" s="68"/>
      <c r="R3449" s="217"/>
    </row>
    <row r="3450" spans="1:25" ht="30" customHeight="1" x14ac:dyDescent="0.35">
      <c r="A3450" s="241"/>
      <c r="B3450" s="506"/>
      <c r="C3450" s="506"/>
      <c r="D3450" s="506"/>
      <c r="E3450" s="453"/>
      <c r="F3450" s="1029" t="s">
        <v>302</v>
      </c>
      <c r="G3450" s="1058" t="s">
        <v>303</v>
      </c>
      <c r="H3450" s="1058"/>
      <c r="I3450" s="1058"/>
      <c r="J3450" s="1058"/>
      <c r="K3450" s="612">
        <v>1.07</v>
      </c>
      <c r="L3450" s="243"/>
      <c r="M3450" s="173"/>
      <c r="N3450" s="68"/>
      <c r="O3450" s="203"/>
      <c r="P3450" s="218"/>
      <c r="Q3450" s="68"/>
      <c r="R3450" s="217"/>
      <c r="T3450" s="208"/>
      <c r="U3450" s="208"/>
      <c r="V3450" s="208"/>
      <c r="W3450" s="208"/>
      <c r="X3450" s="208"/>
    </row>
    <row r="3451" spans="1:25" ht="30" customHeight="1" x14ac:dyDescent="0.35">
      <c r="A3451" s="241"/>
      <c r="B3451" s="506"/>
      <c r="C3451" s="506"/>
      <c r="D3451" s="506"/>
      <c r="E3451" s="453"/>
      <c r="F3451" s="1030"/>
      <c r="G3451" s="1073" t="s">
        <v>2374</v>
      </c>
      <c r="H3451" s="1073"/>
      <c r="I3451" s="1073"/>
      <c r="J3451" s="1073"/>
      <c r="K3451" s="612">
        <v>1.08</v>
      </c>
      <c r="L3451" s="243"/>
      <c r="M3451" s="173"/>
      <c r="N3451" s="68"/>
      <c r="O3451" s="203"/>
      <c r="P3451" s="218"/>
      <c r="Q3451" s="68"/>
      <c r="R3451" s="217"/>
      <c r="Y3451" s="208"/>
    </row>
    <row r="3452" spans="1:25" ht="30" customHeight="1" x14ac:dyDescent="0.35">
      <c r="A3452" s="241"/>
      <c r="B3452" s="446"/>
      <c r="C3452" s="458"/>
      <c r="D3452" s="458"/>
      <c r="E3452" s="458"/>
      <c r="F3452" s="458"/>
      <c r="G3452" s="458"/>
      <c r="H3452" s="458"/>
      <c r="I3452" s="458"/>
      <c r="J3452" s="446" t="s">
        <v>2356</v>
      </c>
      <c r="K3452" s="591">
        <f>+K3449*K3450/K3451</f>
        <v>157.10274999999999</v>
      </c>
      <c r="L3452" s="243" t="s">
        <v>8</v>
      </c>
      <c r="M3452" s="173"/>
      <c r="N3452" s="68"/>
      <c r="O3452" s="208"/>
      <c r="P3452" s="218"/>
      <c r="Q3452" s="68"/>
      <c r="R3452" s="217"/>
      <c r="S3452" s="208"/>
    </row>
    <row r="3453" spans="1:25" ht="30" customHeight="1" thickBot="1" x14ac:dyDescent="0.4">
      <c r="A3453" s="681"/>
      <c r="B3453" s="703"/>
      <c r="C3453" s="689"/>
      <c r="D3453" s="689"/>
      <c r="E3453" s="689"/>
      <c r="F3453" s="689"/>
      <c r="G3453" s="877" t="s">
        <v>2358</v>
      </c>
      <c r="H3453" s="689"/>
      <c r="I3453" s="689"/>
      <c r="J3453" s="583">
        <f>VLOOKUP(B3445,'Mil Cost Premiums for PUCs'!$A$4:$R$272,18,FALSE)</f>
        <v>1.3319480854780448</v>
      </c>
      <c r="K3453" s="777">
        <f>+K3452*J3453</f>
        <v>209.25270708583588</v>
      </c>
      <c r="L3453" s="686" t="s">
        <v>8</v>
      </c>
      <c r="M3453" s="173"/>
      <c r="N3453" s="68"/>
      <c r="O3453" s="203"/>
      <c r="P3453" s="218"/>
      <c r="Q3453" s="68"/>
      <c r="R3453" s="217"/>
    </row>
    <row r="3454" spans="1:25" s="208" customFormat="1" ht="30" customHeight="1" thickBot="1" x14ac:dyDescent="0.4">
      <c r="A3454" s="481"/>
      <c r="B3454" s="482"/>
      <c r="C3454" s="482"/>
      <c r="D3454" s="482"/>
      <c r="E3454" s="482"/>
      <c r="F3454" s="482"/>
      <c r="G3454" s="482"/>
      <c r="H3454" s="482"/>
      <c r="I3454" s="482"/>
      <c r="J3454" s="482"/>
      <c r="K3454" s="482"/>
      <c r="L3454" s="483"/>
      <c r="M3454" s="173"/>
      <c r="N3454" s="68"/>
      <c r="O3454" s="203"/>
      <c r="P3454" s="218"/>
      <c r="Q3454" s="68"/>
      <c r="R3454" s="217"/>
      <c r="S3454" s="203"/>
      <c r="T3454" s="203"/>
      <c r="U3454" s="203"/>
      <c r="V3454" s="203"/>
      <c r="W3454" s="203"/>
      <c r="X3454" s="203"/>
      <c r="Y3454" s="203"/>
    </row>
    <row r="3455" spans="1:25" ht="30" customHeight="1" x14ac:dyDescent="0.35">
      <c r="A3455" s="856" t="s">
        <v>278</v>
      </c>
      <c r="B3455" s="857">
        <v>7417</v>
      </c>
      <c r="C3455" s="1328" t="s">
        <v>1556</v>
      </c>
      <c r="D3455" s="1329"/>
      <c r="E3455" s="858" t="s">
        <v>280</v>
      </c>
      <c r="F3455" s="859" t="s">
        <v>8</v>
      </c>
      <c r="G3455" s="543" t="s">
        <v>285</v>
      </c>
      <c r="H3455" s="860">
        <v>7609</v>
      </c>
      <c r="I3455" s="541" t="s">
        <v>281</v>
      </c>
      <c r="J3455" s="1019" t="s">
        <v>2371</v>
      </c>
      <c r="K3455" s="1019"/>
      <c r="L3455" s="1020"/>
      <c r="M3455" s="173"/>
      <c r="N3455" s="419"/>
      <c r="O3455" s="203"/>
      <c r="P3455" s="218"/>
      <c r="Q3455" s="68"/>
      <c r="R3455" s="217"/>
    </row>
    <row r="3456" spans="1:25" ht="30" customHeight="1" x14ac:dyDescent="0.35">
      <c r="A3456" s="861" t="s">
        <v>298</v>
      </c>
      <c r="B3456" s="1330" t="s">
        <v>321</v>
      </c>
      <c r="C3456" s="1331"/>
      <c r="D3456" s="1332"/>
      <c r="E3456" s="284" t="s">
        <v>290</v>
      </c>
      <c r="F3456" s="284" t="s">
        <v>322</v>
      </c>
      <c r="G3456" s="1333" t="s">
        <v>323</v>
      </c>
      <c r="H3456" s="1334"/>
      <c r="I3456" s="862" t="s">
        <v>1490</v>
      </c>
      <c r="J3456" s="862"/>
      <c r="K3456" s="595" t="s">
        <v>292</v>
      </c>
      <c r="L3456" s="739"/>
      <c r="M3456" s="173"/>
      <c r="N3456" s="419"/>
      <c r="O3456" s="171"/>
      <c r="P3456" s="216"/>
      <c r="Q3456" s="419"/>
      <c r="R3456" s="219"/>
    </row>
    <row r="3457" spans="1:25" ht="30" customHeight="1" x14ac:dyDescent="0.35">
      <c r="A3457" s="863" t="s">
        <v>1557</v>
      </c>
      <c r="B3457" s="1335" t="s">
        <v>1558</v>
      </c>
      <c r="C3457" s="1336"/>
      <c r="D3457" s="1337"/>
      <c r="E3457" s="864">
        <v>135</v>
      </c>
      <c r="F3457" s="285" t="s">
        <v>8</v>
      </c>
      <c r="G3457" s="286"/>
      <c r="H3457" s="287"/>
      <c r="I3457" s="865">
        <v>1.06</v>
      </c>
      <c r="J3457" s="865"/>
      <c r="K3457" s="864">
        <f>+E3457*I3457</f>
        <v>143.1</v>
      </c>
      <c r="L3457" s="866" t="s">
        <v>8</v>
      </c>
      <c r="M3457" s="173"/>
      <c r="N3457" s="68"/>
      <c r="O3457" s="171"/>
      <c r="P3457" s="216"/>
      <c r="Q3457" s="419"/>
      <c r="R3457" s="219"/>
    </row>
    <row r="3458" spans="1:25" ht="30" customHeight="1" x14ac:dyDescent="0.35">
      <c r="A3458" s="867" t="s">
        <v>1551</v>
      </c>
      <c r="B3458" s="1102" t="s">
        <v>1542</v>
      </c>
      <c r="C3458" s="1102"/>
      <c r="D3458" s="1102"/>
      <c r="E3458" s="864">
        <v>3.97</v>
      </c>
      <c r="F3458" s="865" t="s">
        <v>8</v>
      </c>
      <c r="G3458" s="868">
        <v>0.22500000000000001</v>
      </c>
      <c r="H3458" s="865" t="s">
        <v>1559</v>
      </c>
      <c r="I3458" s="865">
        <v>1.06</v>
      </c>
      <c r="J3458" s="865"/>
      <c r="K3458" s="864">
        <f>+E3458*G3458*I3458</f>
        <v>0.94684500000000016</v>
      </c>
      <c r="L3458" s="866" t="s">
        <v>8</v>
      </c>
      <c r="M3458" s="173"/>
      <c r="N3458" s="68"/>
      <c r="O3458" s="203"/>
      <c r="P3458" s="218"/>
      <c r="Q3458" s="68"/>
      <c r="R3458" s="217"/>
    </row>
    <row r="3459" spans="1:25" ht="30" customHeight="1" x14ac:dyDescent="0.35">
      <c r="A3459" s="869"/>
      <c r="B3459" s="1335"/>
      <c r="C3459" s="1336"/>
      <c r="D3459" s="1337"/>
      <c r="E3459" s="864"/>
      <c r="F3459" s="865"/>
      <c r="G3459" s="865"/>
      <c r="H3459" s="865"/>
      <c r="I3459" s="865"/>
      <c r="J3459" s="865" t="s">
        <v>335</v>
      </c>
      <c r="K3459" s="864">
        <f>SUM(K3457:K3458)</f>
        <v>144.04684499999999</v>
      </c>
      <c r="L3459" s="866" t="s">
        <v>8</v>
      </c>
      <c r="M3459" s="173"/>
      <c r="N3459" s="68"/>
      <c r="O3459" s="203"/>
      <c r="P3459" s="218"/>
      <c r="Q3459" s="68"/>
      <c r="R3459" s="217"/>
    </row>
    <row r="3460" spans="1:25" ht="30" customHeight="1" x14ac:dyDescent="0.35">
      <c r="A3460" s="241"/>
      <c r="B3460" s="506"/>
      <c r="C3460" s="506"/>
      <c r="D3460" s="506"/>
      <c r="E3460" s="453"/>
      <c r="F3460" s="1029" t="s">
        <v>302</v>
      </c>
      <c r="G3460" s="1058" t="s">
        <v>303</v>
      </c>
      <c r="H3460" s="1058"/>
      <c r="I3460" s="1058"/>
      <c r="J3460" s="1058"/>
      <c r="K3460" s="612">
        <v>1.07</v>
      </c>
      <c r="L3460" s="243"/>
      <c r="M3460" s="173"/>
      <c r="N3460" s="68"/>
      <c r="O3460" s="203"/>
      <c r="P3460" s="218"/>
      <c r="Q3460" s="68"/>
      <c r="R3460" s="217"/>
      <c r="T3460" s="208"/>
      <c r="U3460" s="208"/>
      <c r="V3460" s="208"/>
      <c r="W3460" s="208"/>
      <c r="X3460" s="208"/>
    </row>
    <row r="3461" spans="1:25" ht="30" customHeight="1" x14ac:dyDescent="0.35">
      <c r="A3461" s="241"/>
      <c r="B3461" s="506"/>
      <c r="C3461" s="506"/>
      <c r="D3461" s="506"/>
      <c r="E3461" s="453"/>
      <c r="F3461" s="1030"/>
      <c r="G3461" s="1073" t="s">
        <v>2374</v>
      </c>
      <c r="H3461" s="1073"/>
      <c r="I3461" s="1073"/>
      <c r="J3461" s="1073"/>
      <c r="K3461" s="612">
        <v>1.08</v>
      </c>
      <c r="L3461" s="243"/>
      <c r="M3461" s="173"/>
      <c r="N3461" s="68"/>
      <c r="O3461" s="203"/>
      <c r="P3461" s="218"/>
      <c r="Q3461" s="68"/>
      <c r="R3461" s="217"/>
      <c r="Y3461" s="208"/>
    </row>
    <row r="3462" spans="1:25" ht="30" customHeight="1" x14ac:dyDescent="0.35">
      <c r="A3462" s="869"/>
      <c r="B3462" s="865"/>
      <c r="C3462" s="870"/>
      <c r="D3462" s="870"/>
      <c r="E3462" s="870"/>
      <c r="F3462" s="870"/>
      <c r="G3462" s="870"/>
      <c r="H3462" s="870"/>
      <c r="I3462" s="870"/>
      <c r="J3462" s="865" t="s">
        <v>2356</v>
      </c>
      <c r="K3462" s="871">
        <f>+K3459*K3460/K3461</f>
        <v>142.71307791666666</v>
      </c>
      <c r="L3462" s="866" t="s">
        <v>8</v>
      </c>
      <c r="M3462" s="173"/>
      <c r="N3462" s="68"/>
      <c r="O3462" s="208"/>
      <c r="P3462" s="218"/>
      <c r="Q3462" s="68"/>
      <c r="R3462" s="217"/>
      <c r="S3462" s="208"/>
    </row>
    <row r="3463" spans="1:25" ht="30" customHeight="1" x14ac:dyDescent="0.35">
      <c r="A3463" s="869"/>
      <c r="B3463" s="865"/>
      <c r="C3463" s="870"/>
      <c r="D3463" s="870"/>
      <c r="E3463" s="870"/>
      <c r="F3463" s="870"/>
      <c r="G3463" s="171"/>
      <c r="H3463" s="870"/>
      <c r="I3463" s="874" t="s">
        <v>2359</v>
      </c>
      <c r="J3463" s="583">
        <f>VLOOKUP(B3455,'Mil Cost Premiums for PUCs'!$A$4:$R$272,18,FALSE)</f>
        <v>1.2981950150858137</v>
      </c>
      <c r="K3463" s="871">
        <f>+K3462*J3463</f>
        <v>185.26940633896999</v>
      </c>
      <c r="L3463" s="866" t="s">
        <v>8</v>
      </c>
      <c r="M3463" s="173"/>
      <c r="N3463" s="68"/>
      <c r="O3463" s="203"/>
      <c r="P3463" s="218"/>
      <c r="Q3463" s="68"/>
      <c r="R3463" s="217"/>
    </row>
    <row r="3464" spans="1:25" s="208" customFormat="1" ht="60" customHeight="1" x14ac:dyDescent="0.35">
      <c r="A3464" s="1064" t="s">
        <v>305</v>
      </c>
      <c r="B3464" s="1065"/>
      <c r="C3464" s="1065"/>
      <c r="D3464" s="1065"/>
      <c r="E3464" s="1065"/>
      <c r="F3464" s="1065"/>
      <c r="G3464" s="1065"/>
      <c r="H3464" s="1065"/>
      <c r="I3464" s="1065"/>
      <c r="J3464" s="1065"/>
      <c r="K3464" s="1065"/>
      <c r="L3464" s="1066"/>
      <c r="M3464" s="173"/>
      <c r="N3464" s="68"/>
      <c r="O3464" s="203"/>
      <c r="P3464" s="218"/>
      <c r="Q3464" s="68"/>
      <c r="R3464" s="217"/>
      <c r="S3464" s="203"/>
      <c r="T3464" s="203"/>
      <c r="U3464" s="203"/>
      <c r="V3464" s="203"/>
      <c r="W3464" s="203"/>
      <c r="X3464" s="203"/>
      <c r="Y3464" s="203"/>
    </row>
    <row r="3465" spans="1:25" ht="30" customHeight="1" x14ac:dyDescent="0.35">
      <c r="A3465" s="1077" t="s">
        <v>306</v>
      </c>
      <c r="B3465" s="1042"/>
      <c r="C3465" s="1043"/>
      <c r="D3465" s="1067" t="s">
        <v>1498</v>
      </c>
      <c r="E3465" s="1065"/>
      <c r="F3465" s="1065"/>
      <c r="G3465" s="1065"/>
      <c r="H3465" s="1065"/>
      <c r="I3465" s="1065"/>
      <c r="J3465" s="1065"/>
      <c r="K3465" s="1065"/>
      <c r="L3465" s="1066"/>
      <c r="M3465" s="173"/>
      <c r="N3465" s="68"/>
      <c r="O3465" s="203"/>
      <c r="P3465" s="218"/>
      <c r="Q3465" s="68"/>
      <c r="R3465" s="217"/>
    </row>
    <row r="3466" spans="1:25" ht="30" customHeight="1" x14ac:dyDescent="0.35">
      <c r="A3466" s="1077" t="s">
        <v>307</v>
      </c>
      <c r="B3466" s="1042"/>
      <c r="C3466" s="1043"/>
      <c r="D3466" s="1067" t="s">
        <v>1356</v>
      </c>
      <c r="E3466" s="1065"/>
      <c r="F3466" s="1065"/>
      <c r="G3466" s="1065"/>
      <c r="H3466" s="1065"/>
      <c r="I3466" s="1065"/>
      <c r="J3466" s="1065"/>
      <c r="K3466" s="1065"/>
      <c r="L3466" s="1066"/>
      <c r="M3466" s="173"/>
      <c r="N3466" s="68"/>
      <c r="O3466" s="203"/>
      <c r="P3466" s="218"/>
      <c r="Q3466" s="68"/>
      <c r="R3466" s="217"/>
    </row>
    <row r="3467" spans="1:25" ht="30" customHeight="1" x14ac:dyDescent="0.35">
      <c r="A3467" s="1077" t="s">
        <v>308</v>
      </c>
      <c r="B3467" s="1042"/>
      <c r="C3467" s="1043"/>
      <c r="D3467" s="1067" t="s">
        <v>3108</v>
      </c>
      <c r="E3467" s="1065"/>
      <c r="F3467" s="1065"/>
      <c r="G3467" s="1065"/>
      <c r="H3467" s="1065"/>
      <c r="I3467" s="1065"/>
      <c r="J3467" s="1065"/>
      <c r="K3467" s="1065"/>
      <c r="L3467" s="1066"/>
      <c r="M3467" s="173"/>
      <c r="N3467" s="419"/>
      <c r="O3467" s="203"/>
      <c r="P3467" s="218"/>
      <c r="Q3467" s="68"/>
      <c r="R3467" s="217"/>
    </row>
    <row r="3468" spans="1:25" ht="75" customHeight="1" x14ac:dyDescent="0.35">
      <c r="A3468" s="1077" t="s">
        <v>309</v>
      </c>
      <c r="B3468" s="1042"/>
      <c r="C3468" s="1043"/>
      <c r="D3468" s="1067" t="s">
        <v>3109</v>
      </c>
      <c r="E3468" s="1065"/>
      <c r="F3468" s="1065"/>
      <c r="G3468" s="1065"/>
      <c r="H3468" s="1065"/>
      <c r="I3468" s="1065"/>
      <c r="J3468" s="1065"/>
      <c r="K3468" s="1065"/>
      <c r="L3468" s="1066"/>
      <c r="M3468" s="173"/>
      <c r="N3468" s="419"/>
      <c r="O3468" s="171"/>
      <c r="P3468" s="216"/>
      <c r="Q3468" s="419"/>
      <c r="R3468" s="219"/>
    </row>
    <row r="3469" spans="1:25" ht="30" customHeight="1" x14ac:dyDescent="0.35">
      <c r="A3469" s="1077" t="s">
        <v>311</v>
      </c>
      <c r="B3469" s="1042"/>
      <c r="C3469" s="1043"/>
      <c r="D3469" s="1067" t="s">
        <v>1510</v>
      </c>
      <c r="E3469" s="1065"/>
      <c r="F3469" s="1065"/>
      <c r="G3469" s="1065"/>
      <c r="H3469" s="1065"/>
      <c r="I3469" s="1065"/>
      <c r="J3469" s="1065"/>
      <c r="K3469" s="1065"/>
      <c r="L3469" s="1066"/>
      <c r="M3469" s="173"/>
      <c r="N3469" s="68"/>
      <c r="O3469" s="171"/>
      <c r="P3469" s="216"/>
      <c r="Q3469" s="419"/>
      <c r="R3469" s="219"/>
      <c r="T3469" s="27"/>
      <c r="U3469" s="171"/>
    </row>
    <row r="3470" spans="1:25" ht="30" customHeight="1" x14ac:dyDescent="0.35">
      <c r="A3470" s="1077" t="s">
        <v>313</v>
      </c>
      <c r="B3470" s="1042"/>
      <c r="C3470" s="1043"/>
      <c r="D3470" s="1067" t="s">
        <v>314</v>
      </c>
      <c r="E3470" s="1065"/>
      <c r="F3470" s="1065"/>
      <c r="G3470" s="1065"/>
      <c r="H3470" s="1065"/>
      <c r="I3470" s="1065"/>
      <c r="J3470" s="1065"/>
      <c r="K3470" s="1065"/>
      <c r="L3470" s="1066"/>
      <c r="M3470" s="173"/>
      <c r="N3470" s="68"/>
      <c r="O3470" s="203"/>
      <c r="P3470" s="218"/>
      <c r="Q3470" s="68"/>
      <c r="R3470" s="217"/>
      <c r="U3470" s="171"/>
    </row>
    <row r="3471" spans="1:25" ht="30" customHeight="1" x14ac:dyDescent="0.35">
      <c r="A3471" s="1077" t="s">
        <v>315</v>
      </c>
      <c r="B3471" s="1042"/>
      <c r="C3471" s="1043"/>
      <c r="D3471" s="1067" t="s">
        <v>1358</v>
      </c>
      <c r="E3471" s="1065"/>
      <c r="F3471" s="1065"/>
      <c r="G3471" s="1065"/>
      <c r="H3471" s="1065"/>
      <c r="I3471" s="1065"/>
      <c r="J3471" s="1065"/>
      <c r="K3471" s="1065"/>
      <c r="L3471" s="1066"/>
      <c r="M3471" s="173"/>
      <c r="N3471" s="68"/>
      <c r="O3471" s="207"/>
      <c r="P3471" s="27"/>
      <c r="Q3471" s="27"/>
      <c r="R3471" s="27"/>
      <c r="S3471" s="27"/>
      <c r="U3471" s="171"/>
    </row>
    <row r="3472" spans="1:25" ht="75" customHeight="1" x14ac:dyDescent="0.35">
      <c r="A3472" s="1077" t="s">
        <v>316</v>
      </c>
      <c r="B3472" s="1042"/>
      <c r="C3472" s="1043"/>
      <c r="D3472" s="1067" t="s">
        <v>373</v>
      </c>
      <c r="E3472" s="1065"/>
      <c r="F3472" s="1065"/>
      <c r="G3472" s="1065"/>
      <c r="H3472" s="1065"/>
      <c r="I3472" s="1065"/>
      <c r="J3472" s="1065"/>
      <c r="K3472" s="1065"/>
      <c r="L3472" s="1066"/>
      <c r="M3472" s="173"/>
      <c r="N3472" s="68"/>
      <c r="O3472" s="207"/>
      <c r="P3472" s="27"/>
      <c r="Q3472" s="27"/>
      <c r="R3472" s="27"/>
      <c r="S3472" s="27"/>
      <c r="U3472" s="171"/>
    </row>
    <row r="3473" spans="1:25" ht="45" customHeight="1" thickBot="1" x14ac:dyDescent="0.4">
      <c r="A3473" s="1077" t="s">
        <v>318</v>
      </c>
      <c r="B3473" s="1042"/>
      <c r="C3473" s="1043"/>
      <c r="D3473" s="1068" t="s">
        <v>1560</v>
      </c>
      <c r="E3473" s="1069"/>
      <c r="F3473" s="1069"/>
      <c r="G3473" s="1069"/>
      <c r="H3473" s="1069"/>
      <c r="I3473" s="1069"/>
      <c r="J3473" s="1069"/>
      <c r="K3473" s="1069"/>
      <c r="L3473" s="1070"/>
      <c r="M3473" s="173"/>
      <c r="N3473" s="68"/>
      <c r="O3473" s="207"/>
      <c r="P3473" s="27"/>
      <c r="Q3473" s="27"/>
      <c r="R3473" s="27"/>
      <c r="S3473" s="27"/>
      <c r="U3473" s="171"/>
    </row>
    <row r="3474" spans="1:25" ht="30" customHeight="1" thickBot="1" x14ac:dyDescent="0.4">
      <c r="A3474" s="481"/>
      <c r="B3474" s="482"/>
      <c r="C3474" s="482"/>
      <c r="D3474" s="482"/>
      <c r="E3474" s="482"/>
      <c r="F3474" s="482"/>
      <c r="G3474" s="482"/>
      <c r="H3474" s="482"/>
      <c r="I3474" s="482"/>
      <c r="J3474" s="482"/>
      <c r="K3474" s="482"/>
      <c r="L3474" s="483"/>
      <c r="M3474" s="173"/>
      <c r="N3474" s="68"/>
      <c r="O3474" s="207"/>
      <c r="P3474" s="27"/>
      <c r="Q3474" s="27"/>
      <c r="R3474" s="27"/>
      <c r="S3474" s="27"/>
      <c r="U3474" s="27"/>
      <c r="V3474" s="27"/>
      <c r="W3474" s="27"/>
      <c r="X3474" s="27"/>
    </row>
    <row r="3475" spans="1:25" ht="30" customHeight="1" x14ac:dyDescent="0.35">
      <c r="A3475" s="465" t="s">
        <v>278</v>
      </c>
      <c r="B3475" s="539">
        <v>7418</v>
      </c>
      <c r="C3475" s="1017" t="s">
        <v>1561</v>
      </c>
      <c r="D3475" s="1018"/>
      <c r="E3475" s="541" t="s">
        <v>280</v>
      </c>
      <c r="F3475" s="542" t="s">
        <v>8</v>
      </c>
      <c r="G3475" s="543" t="s">
        <v>285</v>
      </c>
      <c r="H3475" s="555">
        <v>23192</v>
      </c>
      <c r="I3475" s="541" t="s">
        <v>281</v>
      </c>
      <c r="J3475" s="1019" t="s">
        <v>2371</v>
      </c>
      <c r="K3475" s="1019"/>
      <c r="L3475" s="1020"/>
      <c r="M3475" s="173"/>
      <c r="N3475" s="68"/>
      <c r="T3475" s="208"/>
      <c r="U3475" s="208"/>
      <c r="V3475" s="208"/>
      <c r="W3475" s="208"/>
      <c r="X3475" s="208"/>
      <c r="Y3475" s="27"/>
    </row>
    <row r="3476" spans="1:25" ht="30" customHeight="1" x14ac:dyDescent="0.35">
      <c r="A3476" s="588" t="s">
        <v>298</v>
      </c>
      <c r="B3476" s="1038" t="s">
        <v>321</v>
      </c>
      <c r="C3476" s="1039"/>
      <c r="D3476" s="1040"/>
      <c r="E3476" s="23" t="s">
        <v>290</v>
      </c>
      <c r="F3476" s="23" t="s">
        <v>322</v>
      </c>
      <c r="G3476" s="1034" t="s">
        <v>323</v>
      </c>
      <c r="H3476" s="1035"/>
      <c r="I3476" s="509" t="s">
        <v>299</v>
      </c>
      <c r="J3476" s="509"/>
      <c r="K3476" s="595" t="s">
        <v>292</v>
      </c>
      <c r="L3476" s="739"/>
      <c r="M3476" s="173"/>
      <c r="N3476" s="68"/>
      <c r="U3476" s="27"/>
      <c r="V3476" s="27"/>
      <c r="W3476" s="27"/>
      <c r="X3476" s="27"/>
      <c r="Y3476" s="208"/>
    </row>
    <row r="3477" spans="1:25" ht="30" customHeight="1" x14ac:dyDescent="0.35">
      <c r="A3477" s="717" t="s">
        <v>1562</v>
      </c>
      <c r="B3477" s="1031" t="s">
        <v>1563</v>
      </c>
      <c r="C3477" s="1032"/>
      <c r="D3477" s="1033"/>
      <c r="E3477" s="453">
        <v>99.5</v>
      </c>
      <c r="F3477" s="3" t="s">
        <v>8</v>
      </c>
      <c r="G3477" s="493"/>
      <c r="H3477" s="495"/>
      <c r="I3477" s="446">
        <v>1.06</v>
      </c>
      <c r="J3477" s="446"/>
      <c r="K3477" s="453">
        <f>+E3477*I3477</f>
        <v>105.47</v>
      </c>
      <c r="L3477" s="243" t="s">
        <v>8</v>
      </c>
      <c r="M3477" s="173"/>
      <c r="N3477" s="68"/>
      <c r="P3477" s="208"/>
      <c r="Q3477" s="208"/>
      <c r="R3477" s="208"/>
      <c r="S3477" s="208"/>
      <c r="T3477" s="51"/>
      <c r="Y3477" s="27"/>
    </row>
    <row r="3478" spans="1:25" s="27" customFormat="1" ht="30" customHeight="1" x14ac:dyDescent="0.35">
      <c r="A3478" s="241" t="s">
        <v>1551</v>
      </c>
      <c r="B3478" s="1102" t="s">
        <v>1552</v>
      </c>
      <c r="C3478" s="1102"/>
      <c r="D3478" s="1102"/>
      <c r="E3478" s="453">
        <v>3.54</v>
      </c>
      <c r="F3478" s="446" t="s">
        <v>8</v>
      </c>
      <c r="G3478" s="454"/>
      <c r="H3478" s="446"/>
      <c r="I3478" s="446">
        <v>1.06</v>
      </c>
      <c r="J3478" s="446"/>
      <c r="K3478" s="453">
        <f>+E3478*I3478</f>
        <v>3.7524000000000002</v>
      </c>
      <c r="L3478" s="243" t="s">
        <v>8</v>
      </c>
      <c r="M3478" s="173"/>
      <c r="N3478" s="68"/>
      <c r="O3478" s="205"/>
      <c r="P3478" s="203"/>
      <c r="Q3478" s="203"/>
      <c r="R3478" s="203"/>
      <c r="S3478" s="203"/>
      <c r="T3478" s="51"/>
      <c r="U3478" s="203"/>
      <c r="V3478" s="203"/>
      <c r="W3478" s="203"/>
      <c r="X3478" s="203"/>
      <c r="Y3478" s="203"/>
    </row>
    <row r="3479" spans="1:25" s="208" customFormat="1" ht="30" customHeight="1" x14ac:dyDescent="0.35">
      <c r="A3479" s="869"/>
      <c r="B3479" s="1335"/>
      <c r="C3479" s="1336"/>
      <c r="D3479" s="1337"/>
      <c r="E3479" s="864"/>
      <c r="F3479" s="865"/>
      <c r="G3479" s="865"/>
      <c r="H3479" s="865"/>
      <c r="I3479" s="865"/>
      <c r="J3479" s="865" t="s">
        <v>335</v>
      </c>
      <c r="K3479" s="864">
        <f>SUM(K3477:K3478)</f>
        <v>109.22239999999999</v>
      </c>
      <c r="L3479" s="866" t="s">
        <v>8</v>
      </c>
      <c r="M3479" s="173"/>
      <c r="N3479" s="68"/>
      <c r="O3479" s="205"/>
      <c r="P3479" s="171"/>
      <c r="Q3479" s="171"/>
      <c r="R3479" s="171"/>
      <c r="S3479" s="51"/>
      <c r="T3479" s="203"/>
      <c r="U3479" s="203"/>
      <c r="V3479" s="203"/>
      <c r="W3479" s="203"/>
      <c r="X3479" s="203"/>
      <c r="Y3479" s="203"/>
    </row>
    <row r="3480" spans="1:25" s="27" customFormat="1" ht="30" customHeight="1" x14ac:dyDescent="0.35">
      <c r="A3480" s="241"/>
      <c r="B3480" s="506"/>
      <c r="C3480" s="506"/>
      <c r="D3480" s="506"/>
      <c r="E3480" s="453"/>
      <c r="F3480" s="1029" t="s">
        <v>302</v>
      </c>
      <c r="G3480" s="1058" t="s">
        <v>303</v>
      </c>
      <c r="H3480" s="1058"/>
      <c r="I3480" s="1058"/>
      <c r="J3480" s="1058"/>
      <c r="K3480" s="612">
        <v>1.07</v>
      </c>
      <c r="L3480" s="243"/>
      <c r="M3480" s="173"/>
      <c r="N3480" s="419"/>
      <c r="O3480" s="205"/>
      <c r="P3480" s="171"/>
      <c r="Q3480" s="171"/>
      <c r="R3480" s="171"/>
      <c r="S3480" s="51"/>
      <c r="T3480" s="203"/>
      <c r="U3480" s="203"/>
      <c r="V3480" s="203"/>
      <c r="W3480" s="203"/>
      <c r="X3480" s="203"/>
      <c r="Y3480" s="203"/>
    </row>
    <row r="3481" spans="1:25" ht="30" customHeight="1" x14ac:dyDescent="0.35">
      <c r="A3481" s="241"/>
      <c r="B3481" s="506"/>
      <c r="C3481" s="506"/>
      <c r="D3481" s="506"/>
      <c r="E3481" s="453"/>
      <c r="F3481" s="1030"/>
      <c r="G3481" s="1073" t="s">
        <v>2374</v>
      </c>
      <c r="H3481" s="1073"/>
      <c r="I3481" s="1073"/>
      <c r="J3481" s="1073"/>
      <c r="K3481" s="612">
        <v>1.08</v>
      </c>
      <c r="L3481" s="243"/>
      <c r="M3481" s="173"/>
      <c r="N3481" s="419"/>
      <c r="O3481" s="203"/>
      <c r="P3481" s="218"/>
      <c r="Q3481" s="68"/>
      <c r="R3481" s="217"/>
    </row>
    <row r="3482" spans="1:25" ht="45" customHeight="1" x14ac:dyDescent="0.35">
      <c r="A3482" s="241"/>
      <c r="B3482" s="446"/>
      <c r="C3482" s="458"/>
      <c r="D3482" s="458"/>
      <c r="E3482" s="458"/>
      <c r="F3482" s="458"/>
      <c r="G3482" s="458"/>
      <c r="H3482" s="458"/>
      <c r="I3482" s="458"/>
      <c r="J3482" s="446" t="s">
        <v>2356</v>
      </c>
      <c r="K3482" s="591">
        <f>+K3479*K3480/K3481</f>
        <v>108.21108148148147</v>
      </c>
      <c r="L3482" s="243" t="s">
        <v>8</v>
      </c>
      <c r="M3482" s="173"/>
      <c r="N3482" s="419"/>
      <c r="O3482" s="203"/>
      <c r="P3482" s="218"/>
      <c r="Q3482" s="68"/>
      <c r="R3482" s="217"/>
    </row>
    <row r="3483" spans="1:25" ht="30" customHeight="1" thickBot="1" x14ac:dyDescent="0.4">
      <c r="A3483" s="241"/>
      <c r="B3483" s="446"/>
      <c r="C3483" s="458"/>
      <c r="D3483" s="458"/>
      <c r="E3483" s="458"/>
      <c r="F3483" s="458"/>
      <c r="G3483" s="592" t="s">
        <v>2358</v>
      </c>
      <c r="H3483" s="458"/>
      <c r="I3483" s="458"/>
      <c r="J3483" s="583">
        <f>VLOOKUP(B3475,'Mil Cost Premiums for PUCs'!$A$4:$R$272,18,FALSE)</f>
        <v>1.1896666233280813</v>
      </c>
      <c r="K3483" s="591">
        <f>+K3482*J3483</f>
        <v>128.73511191275392</v>
      </c>
      <c r="L3483" s="243" t="s">
        <v>8</v>
      </c>
      <c r="M3483" s="363"/>
      <c r="N3483" s="68"/>
      <c r="O3483" s="203"/>
      <c r="P3483" s="218"/>
      <c r="Q3483" s="68"/>
      <c r="R3483" s="217"/>
      <c r="T3483" s="208"/>
      <c r="U3483" s="208"/>
      <c r="V3483" s="208"/>
      <c r="W3483" s="208"/>
      <c r="X3483" s="208"/>
    </row>
    <row r="3484" spans="1:25" ht="30" customHeight="1" thickBot="1" x14ac:dyDescent="0.4">
      <c r="A3484" s="481"/>
      <c r="B3484" s="482"/>
      <c r="C3484" s="482"/>
      <c r="D3484" s="482"/>
      <c r="E3484" s="482"/>
      <c r="F3484" s="482"/>
      <c r="G3484" s="482"/>
      <c r="H3484" s="482"/>
      <c r="I3484" s="482"/>
      <c r="J3484" s="482"/>
      <c r="K3484" s="482"/>
      <c r="L3484" s="483"/>
      <c r="M3484" s="173"/>
      <c r="N3484" s="68"/>
      <c r="O3484" s="203"/>
      <c r="P3484" s="218"/>
      <c r="Q3484" s="68"/>
      <c r="R3484" s="217"/>
      <c r="Y3484" s="208"/>
    </row>
    <row r="3485" spans="1:25" ht="30" customHeight="1" x14ac:dyDescent="0.35">
      <c r="A3485" s="465" t="s">
        <v>278</v>
      </c>
      <c r="B3485" s="539">
        <v>7421</v>
      </c>
      <c r="C3485" s="1060" t="s">
        <v>1564</v>
      </c>
      <c r="D3485" s="1061"/>
      <c r="E3485" s="541" t="s">
        <v>280</v>
      </c>
      <c r="F3485" s="542" t="s">
        <v>8</v>
      </c>
      <c r="G3485" s="543" t="s">
        <v>285</v>
      </c>
      <c r="H3485" s="569">
        <v>15595</v>
      </c>
      <c r="I3485" s="541" t="s">
        <v>281</v>
      </c>
      <c r="J3485" s="1019" t="s">
        <v>415</v>
      </c>
      <c r="K3485" s="1019"/>
      <c r="L3485" s="1020"/>
      <c r="M3485" s="173"/>
      <c r="N3485" s="68"/>
      <c r="O3485" s="208"/>
      <c r="P3485" s="218"/>
      <c r="Q3485" s="68"/>
      <c r="R3485" s="217"/>
      <c r="S3485" s="208"/>
    </row>
    <row r="3486" spans="1:25" ht="30" customHeight="1" x14ac:dyDescent="0.35">
      <c r="A3486" s="545" t="s">
        <v>288</v>
      </c>
      <c r="B3486" s="1051" t="s">
        <v>282</v>
      </c>
      <c r="C3486" s="1051"/>
      <c r="D3486" s="1051"/>
      <c r="E3486" s="561" t="s">
        <v>290</v>
      </c>
      <c r="F3486" s="509" t="s">
        <v>289</v>
      </c>
      <c r="G3486" s="1094" t="s">
        <v>323</v>
      </c>
      <c r="H3486" s="1095"/>
      <c r="I3486" s="1052" t="s">
        <v>405</v>
      </c>
      <c r="J3486" s="1053"/>
      <c r="K3486" s="595" t="s">
        <v>292</v>
      </c>
      <c r="L3486" s="739"/>
      <c r="M3486" s="173"/>
      <c r="N3486" s="214"/>
      <c r="O3486" s="203"/>
      <c r="P3486" s="218"/>
      <c r="Q3486" s="68"/>
      <c r="R3486" s="217"/>
    </row>
    <row r="3487" spans="1:25" s="208" customFormat="1" ht="30" customHeight="1" x14ac:dyDescent="0.35">
      <c r="A3487" s="241">
        <v>74028</v>
      </c>
      <c r="B3487" s="1031" t="s">
        <v>505</v>
      </c>
      <c r="C3487" s="1032"/>
      <c r="D3487" s="1033"/>
      <c r="E3487" s="453">
        <v>250</v>
      </c>
      <c r="F3487" s="694">
        <v>62000</v>
      </c>
      <c r="G3487" s="726"/>
      <c r="H3487" s="462"/>
      <c r="I3487" s="1091">
        <f>+'2021 MILCON Inflation Table'!$F$16</f>
        <v>1.0201832129291724</v>
      </c>
      <c r="J3487" s="1092"/>
      <c r="K3487" s="463">
        <f>+E3487*I3487</f>
        <v>255.04580323229308</v>
      </c>
      <c r="L3487" s="564" t="s">
        <v>8</v>
      </c>
      <c r="M3487" s="173"/>
      <c r="O3487" s="203"/>
      <c r="P3487" s="218"/>
      <c r="Q3487" s="68"/>
      <c r="R3487" s="217"/>
      <c r="S3487" s="203"/>
      <c r="T3487" s="203"/>
      <c r="U3487" s="203"/>
      <c r="V3487" s="203"/>
      <c r="W3487" s="203"/>
      <c r="X3487" s="203"/>
      <c r="Y3487" s="203"/>
    </row>
    <row r="3488" spans="1:25" ht="30" customHeight="1" thickBot="1" x14ac:dyDescent="0.4">
      <c r="A3488" s="241"/>
      <c r="B3488" s="1031"/>
      <c r="C3488" s="1032"/>
      <c r="D3488" s="1033"/>
      <c r="E3488" s="553"/>
      <c r="F3488" s="706"/>
      <c r="G3488" s="553"/>
      <c r="H3488" s="707"/>
      <c r="I3488" s="458"/>
      <c r="J3488" s="510" t="s">
        <v>2356</v>
      </c>
      <c r="K3488" s="459">
        <f>SUM(K3487:K3487)</f>
        <v>255.04580323229308</v>
      </c>
      <c r="L3488" s="564" t="s">
        <v>8</v>
      </c>
      <c r="M3488" s="173"/>
      <c r="O3488" s="203"/>
      <c r="P3488" s="218"/>
      <c r="Q3488" s="68"/>
      <c r="R3488" s="217"/>
    </row>
    <row r="3489" spans="1:25" ht="30" customHeight="1" thickBot="1" x14ac:dyDescent="0.4">
      <c r="A3489" s="481"/>
      <c r="B3489" s="482"/>
      <c r="C3489" s="482"/>
      <c r="D3489" s="482"/>
      <c r="E3489" s="482"/>
      <c r="F3489" s="482"/>
      <c r="G3489" s="482"/>
      <c r="H3489" s="482"/>
      <c r="I3489" s="482"/>
      <c r="J3489" s="482"/>
      <c r="K3489" s="482"/>
      <c r="L3489" s="483"/>
      <c r="M3489" s="173"/>
      <c r="O3489" s="171"/>
      <c r="P3489" s="216"/>
      <c r="Q3489" s="419"/>
      <c r="R3489" s="219"/>
    </row>
    <row r="3490" spans="1:25" ht="30" customHeight="1" x14ac:dyDescent="0.35">
      <c r="A3490" s="465" t="s">
        <v>278</v>
      </c>
      <c r="B3490" s="539">
        <v>7422</v>
      </c>
      <c r="C3490" s="1017" t="s">
        <v>1565</v>
      </c>
      <c r="D3490" s="1018"/>
      <c r="E3490" s="541" t="s">
        <v>280</v>
      </c>
      <c r="F3490" s="542" t="s">
        <v>8</v>
      </c>
      <c r="G3490" s="560" t="s">
        <v>1478</v>
      </c>
      <c r="H3490" s="555">
        <v>12410</v>
      </c>
      <c r="I3490" s="541" t="s">
        <v>281</v>
      </c>
      <c r="J3490" s="1019" t="s">
        <v>2371</v>
      </c>
      <c r="K3490" s="1019"/>
      <c r="L3490" s="1020"/>
      <c r="M3490" s="173"/>
      <c r="O3490" s="171"/>
      <c r="P3490" s="216"/>
      <c r="Q3490" s="419"/>
      <c r="R3490" s="219"/>
    </row>
    <row r="3491" spans="1:25" ht="30" customHeight="1" x14ac:dyDescent="0.35">
      <c r="A3491" s="588" t="s">
        <v>298</v>
      </c>
      <c r="B3491" s="1038" t="s">
        <v>321</v>
      </c>
      <c r="C3491" s="1039"/>
      <c r="D3491" s="1040"/>
      <c r="E3491" s="23" t="s">
        <v>290</v>
      </c>
      <c r="F3491" s="23" t="s">
        <v>322</v>
      </c>
      <c r="G3491" s="1034" t="s">
        <v>323</v>
      </c>
      <c r="H3491" s="1035"/>
      <c r="I3491" s="509" t="s">
        <v>299</v>
      </c>
      <c r="J3491" s="509"/>
      <c r="K3491" s="595" t="s">
        <v>292</v>
      </c>
      <c r="L3491" s="739"/>
      <c r="M3491" s="173"/>
      <c r="O3491" s="203"/>
      <c r="P3491" s="218"/>
      <c r="Q3491" s="68"/>
      <c r="R3491" s="217"/>
    </row>
    <row r="3492" spans="1:25" ht="30" customHeight="1" x14ac:dyDescent="0.35">
      <c r="A3492" s="717" t="s">
        <v>518</v>
      </c>
      <c r="B3492" s="1031" t="s">
        <v>1566</v>
      </c>
      <c r="C3492" s="1032"/>
      <c r="D3492" s="1033"/>
      <c r="E3492" s="453">
        <v>128</v>
      </c>
      <c r="F3492" s="3" t="s">
        <v>8</v>
      </c>
      <c r="G3492" s="493"/>
      <c r="H3492" s="495"/>
      <c r="I3492" s="446">
        <v>1.04</v>
      </c>
      <c r="J3492" s="665"/>
      <c r="K3492" s="453">
        <f>+E3492*I3492</f>
        <v>133.12</v>
      </c>
      <c r="L3492" s="243" t="s">
        <v>8</v>
      </c>
      <c r="M3492" s="173"/>
      <c r="O3492" s="203"/>
      <c r="P3492" s="218"/>
      <c r="Q3492" s="68"/>
      <c r="R3492" s="217"/>
    </row>
    <row r="3493" spans="1:25" ht="30" customHeight="1" x14ac:dyDescent="0.35">
      <c r="A3493" s="241" t="s">
        <v>521</v>
      </c>
      <c r="B3493" s="1102" t="s">
        <v>2197</v>
      </c>
      <c r="C3493" s="1102"/>
      <c r="D3493" s="1102"/>
      <c r="E3493" s="453">
        <v>3.74</v>
      </c>
      <c r="F3493" s="446" t="s">
        <v>8</v>
      </c>
      <c r="G3493" s="454"/>
      <c r="H3493" s="446"/>
      <c r="I3493" s="446">
        <v>1.04</v>
      </c>
      <c r="J3493" s="665"/>
      <c r="K3493" s="453">
        <f>+E3493*I3493</f>
        <v>3.8896000000000002</v>
      </c>
      <c r="L3493" s="243" t="s">
        <v>8</v>
      </c>
      <c r="M3493" s="173"/>
      <c r="N3493" s="68"/>
      <c r="O3493" s="203"/>
      <c r="P3493" s="218"/>
      <c r="Q3493" s="68"/>
      <c r="R3493" s="217"/>
      <c r="T3493" s="208"/>
      <c r="U3493" s="208"/>
      <c r="V3493" s="208"/>
      <c r="W3493" s="208"/>
      <c r="X3493" s="208"/>
    </row>
    <row r="3494" spans="1:25" ht="30" customHeight="1" x14ac:dyDescent="0.35">
      <c r="A3494" s="869"/>
      <c r="B3494" s="1335"/>
      <c r="C3494" s="1336"/>
      <c r="D3494" s="1337"/>
      <c r="E3494" s="864"/>
      <c r="F3494" s="865"/>
      <c r="G3494" s="865"/>
      <c r="H3494" s="865"/>
      <c r="I3494" s="865"/>
      <c r="J3494" s="865" t="s">
        <v>335</v>
      </c>
      <c r="K3494" s="864">
        <f>SUM(K3492:K3493)</f>
        <v>137.00960000000001</v>
      </c>
      <c r="L3494" s="866" t="s">
        <v>8</v>
      </c>
      <c r="M3494" s="173"/>
      <c r="N3494" s="68"/>
      <c r="O3494" s="203"/>
      <c r="P3494" s="218"/>
      <c r="Q3494" s="68"/>
      <c r="R3494" s="217"/>
      <c r="Y3494" s="208"/>
    </row>
    <row r="3495" spans="1:25" ht="30" customHeight="1" x14ac:dyDescent="0.35">
      <c r="A3495" s="241"/>
      <c r="B3495" s="506"/>
      <c r="C3495" s="506"/>
      <c r="D3495" s="506"/>
      <c r="E3495" s="453"/>
      <c r="F3495" s="1029" t="s">
        <v>302</v>
      </c>
      <c r="G3495" s="1058" t="s">
        <v>303</v>
      </c>
      <c r="H3495" s="1058"/>
      <c r="I3495" s="1058"/>
      <c r="J3495" s="1058"/>
      <c r="K3495" s="612">
        <v>1.07</v>
      </c>
      <c r="L3495" s="243"/>
      <c r="M3495" s="173"/>
      <c r="N3495" s="68"/>
      <c r="O3495" s="208"/>
      <c r="P3495" s="218"/>
      <c r="Q3495" s="68"/>
      <c r="R3495" s="217"/>
      <c r="S3495" s="208"/>
    </row>
    <row r="3496" spans="1:25" ht="30" customHeight="1" x14ac:dyDescent="0.35">
      <c r="A3496" s="241"/>
      <c r="B3496" s="506"/>
      <c r="C3496" s="506"/>
      <c r="D3496" s="506"/>
      <c r="E3496" s="453"/>
      <c r="F3496" s="1030"/>
      <c r="G3496" s="1073" t="s">
        <v>2374</v>
      </c>
      <c r="H3496" s="1073"/>
      <c r="I3496" s="1073"/>
      <c r="J3496" s="1073"/>
      <c r="K3496" s="612">
        <v>1.08</v>
      </c>
      <c r="L3496" s="243"/>
      <c r="M3496" s="363"/>
      <c r="N3496" s="68"/>
      <c r="O3496" s="203"/>
      <c r="P3496" s="218"/>
      <c r="Q3496" s="68"/>
      <c r="R3496" s="217"/>
    </row>
    <row r="3497" spans="1:25" s="208" customFormat="1" ht="30" customHeight="1" x14ac:dyDescent="0.35">
      <c r="A3497" s="241"/>
      <c r="B3497" s="446"/>
      <c r="C3497" s="458"/>
      <c r="D3497" s="458"/>
      <c r="E3497" s="458"/>
      <c r="F3497" s="458"/>
      <c r="G3497" s="458"/>
      <c r="H3497" s="458"/>
      <c r="I3497" s="458"/>
      <c r="J3497" s="446" t="s">
        <v>2356</v>
      </c>
      <c r="K3497" s="591">
        <f>+K3494*K3495/K3496</f>
        <v>135.74099259259259</v>
      </c>
      <c r="L3497" s="243" t="s">
        <v>8</v>
      </c>
      <c r="M3497" s="173"/>
      <c r="N3497" s="68"/>
      <c r="O3497" s="171"/>
      <c r="P3497" s="216"/>
      <c r="Q3497" s="419"/>
      <c r="R3497" s="219"/>
      <c r="S3497" s="203"/>
      <c r="T3497" s="203"/>
      <c r="U3497" s="203"/>
      <c r="V3497" s="203"/>
      <c r="W3497" s="203"/>
      <c r="X3497" s="203"/>
      <c r="Y3497" s="203"/>
    </row>
    <row r="3498" spans="1:25" ht="30" customHeight="1" thickBot="1" x14ac:dyDescent="0.4">
      <c r="A3498" s="241"/>
      <c r="B3498" s="446"/>
      <c r="C3498" s="458"/>
      <c r="D3498" s="458"/>
      <c r="E3498" s="458"/>
      <c r="F3498" s="458"/>
      <c r="G3498" s="592" t="s">
        <v>2358</v>
      </c>
      <c r="H3498" s="458"/>
      <c r="I3498" s="458"/>
      <c r="J3498" s="583">
        <f>VLOOKUP(B3490,'Mil Cost Premiums for PUCs'!$A$4:$R$272,18,FALSE)</f>
        <v>1.2051322894313463</v>
      </c>
      <c r="K3498" s="591">
        <f>+K3497*J3498</f>
        <v>163.58585317279454</v>
      </c>
      <c r="L3498" s="243" t="s">
        <v>8</v>
      </c>
      <c r="M3498" s="173"/>
      <c r="N3498" s="419"/>
      <c r="O3498" s="171"/>
      <c r="P3498" s="216"/>
      <c r="Q3498" s="419"/>
      <c r="R3498" s="219"/>
    </row>
    <row r="3499" spans="1:25" ht="30" customHeight="1" thickBot="1" x14ac:dyDescent="0.4">
      <c r="A3499" s="481"/>
      <c r="B3499" s="482"/>
      <c r="C3499" s="482"/>
      <c r="D3499" s="482"/>
      <c r="E3499" s="482"/>
      <c r="F3499" s="482"/>
      <c r="G3499" s="482"/>
      <c r="H3499" s="482"/>
      <c r="I3499" s="482"/>
      <c r="J3499" s="482"/>
      <c r="K3499" s="482"/>
      <c r="L3499" s="483"/>
      <c r="M3499" s="173"/>
      <c r="N3499" s="419"/>
      <c r="O3499" s="203"/>
      <c r="P3499" s="218"/>
      <c r="Q3499" s="68"/>
      <c r="R3499" s="217"/>
    </row>
    <row r="3500" spans="1:25" ht="30" customHeight="1" x14ac:dyDescent="0.35">
      <c r="A3500" s="465" t="s">
        <v>278</v>
      </c>
      <c r="B3500" s="539">
        <v>7431</v>
      </c>
      <c r="C3500" s="1017" t="s">
        <v>1567</v>
      </c>
      <c r="D3500" s="1018"/>
      <c r="E3500" s="541" t="s">
        <v>280</v>
      </c>
      <c r="F3500" s="542" t="s">
        <v>8</v>
      </c>
      <c r="G3500" s="543" t="s">
        <v>285</v>
      </c>
      <c r="H3500" s="555">
        <v>9284</v>
      </c>
      <c r="I3500" s="541" t="s">
        <v>281</v>
      </c>
      <c r="J3500" s="1019" t="s">
        <v>2371</v>
      </c>
      <c r="K3500" s="1019"/>
      <c r="L3500" s="1020"/>
      <c r="M3500" s="173"/>
      <c r="N3500" s="68"/>
      <c r="O3500" s="203"/>
      <c r="P3500" s="216"/>
      <c r="Q3500" s="68"/>
      <c r="R3500" s="217"/>
    </row>
    <row r="3501" spans="1:25" ht="30" customHeight="1" x14ac:dyDescent="0.35">
      <c r="A3501" s="588" t="s">
        <v>298</v>
      </c>
      <c r="B3501" s="1038" t="s">
        <v>321</v>
      </c>
      <c r="C3501" s="1039"/>
      <c r="D3501" s="1040"/>
      <c r="E3501" s="23" t="s">
        <v>290</v>
      </c>
      <c r="F3501" s="23" t="s">
        <v>322</v>
      </c>
      <c r="G3501" s="1034" t="s">
        <v>323</v>
      </c>
      <c r="H3501" s="1035"/>
      <c r="I3501" s="509" t="s">
        <v>299</v>
      </c>
      <c r="J3501" s="509"/>
      <c r="K3501" s="595" t="s">
        <v>292</v>
      </c>
      <c r="L3501" s="739"/>
      <c r="M3501" s="173"/>
      <c r="N3501" s="68"/>
      <c r="O3501" s="203"/>
      <c r="P3501" s="216"/>
      <c r="Q3501" s="68"/>
      <c r="R3501" s="217"/>
      <c r="T3501" s="208"/>
      <c r="U3501" s="208"/>
      <c r="V3501" s="208"/>
      <c r="W3501" s="208"/>
      <c r="X3501" s="208"/>
    </row>
    <row r="3502" spans="1:25" ht="30" customHeight="1" x14ac:dyDescent="0.35">
      <c r="A3502" s="878" t="s">
        <v>1568</v>
      </c>
      <c r="B3502" s="1345" t="s">
        <v>1569</v>
      </c>
      <c r="C3502" s="1311"/>
      <c r="D3502" s="1312"/>
      <c r="E3502" s="879">
        <v>109</v>
      </c>
      <c r="F3502" s="880" t="s">
        <v>8</v>
      </c>
      <c r="G3502" s="493"/>
      <c r="H3502" s="495"/>
      <c r="I3502" s="703">
        <v>1.06</v>
      </c>
      <c r="J3502" s="881"/>
      <c r="K3502" s="879">
        <f>+E3502*I3502</f>
        <v>115.54</v>
      </c>
      <c r="L3502" s="686" t="s">
        <v>8</v>
      </c>
      <c r="M3502" s="173"/>
      <c r="N3502" s="68"/>
      <c r="O3502" s="203"/>
      <c r="P3502" s="216"/>
      <c r="Q3502" s="68"/>
      <c r="R3502" s="217"/>
      <c r="Y3502" s="208"/>
    </row>
    <row r="3503" spans="1:25" ht="30" customHeight="1" x14ac:dyDescent="0.35">
      <c r="A3503" s="882" t="s">
        <v>2195</v>
      </c>
      <c r="B3503" s="1082" t="s">
        <v>2319</v>
      </c>
      <c r="C3503" s="1083"/>
      <c r="D3503" s="1093"/>
      <c r="E3503" s="453">
        <f>(194+239)/2</f>
        <v>216.5</v>
      </c>
      <c r="F3503" s="446" t="s">
        <v>2194</v>
      </c>
      <c r="G3503" s="446">
        <f>1000*E3503/H3500</f>
        <v>23.319689788884101</v>
      </c>
      <c r="H3503" s="446" t="s">
        <v>2196</v>
      </c>
      <c r="I3503" s="446">
        <v>1.03</v>
      </c>
      <c r="J3503" s="665"/>
      <c r="K3503" s="453">
        <f>G3503*I3503</f>
        <v>24.019280482550624</v>
      </c>
      <c r="L3503" s="243" t="s">
        <v>8</v>
      </c>
      <c r="M3503" s="173"/>
      <c r="N3503" s="68"/>
      <c r="O3503" s="208"/>
      <c r="P3503" s="216"/>
      <c r="Q3503" s="68"/>
      <c r="R3503" s="217"/>
      <c r="S3503" s="208"/>
    </row>
    <row r="3504" spans="1:25" ht="30" customHeight="1" x14ac:dyDescent="0.35">
      <c r="A3504" s="241" t="s">
        <v>1551</v>
      </c>
      <c r="B3504" s="1102" t="s">
        <v>1542</v>
      </c>
      <c r="C3504" s="1102"/>
      <c r="D3504" s="1102"/>
      <c r="E3504" s="453">
        <v>3.97</v>
      </c>
      <c r="F3504" s="446" t="s">
        <v>8</v>
      </c>
      <c r="G3504" s="454"/>
      <c r="H3504" s="446"/>
      <c r="I3504" s="446">
        <v>1.06</v>
      </c>
      <c r="J3504" s="665"/>
      <c r="K3504" s="883">
        <f>E3504*I3504</f>
        <v>4.2082000000000006</v>
      </c>
      <c r="L3504" s="243" t="s">
        <v>8</v>
      </c>
      <c r="M3504" s="173"/>
      <c r="N3504" s="68"/>
      <c r="O3504" s="203"/>
      <c r="P3504" s="216"/>
      <c r="Q3504" s="68"/>
      <c r="R3504" s="217"/>
    </row>
    <row r="3505" spans="1:25" s="208" customFormat="1" ht="30" customHeight="1" x14ac:dyDescent="0.35">
      <c r="A3505" s="869"/>
      <c r="B3505" s="1335"/>
      <c r="C3505" s="1336"/>
      <c r="D3505" s="1337"/>
      <c r="E3505" s="864"/>
      <c r="F3505" s="865"/>
      <c r="G3505" s="865"/>
      <c r="H3505" s="865"/>
      <c r="I3505" s="865"/>
      <c r="J3505" s="865" t="s">
        <v>335</v>
      </c>
      <c r="K3505" s="864">
        <f>SUM(K3502:K3504)</f>
        <v>143.76748048255064</v>
      </c>
      <c r="L3505" s="866" t="s">
        <v>8</v>
      </c>
      <c r="M3505" s="173"/>
      <c r="N3505" s="68"/>
      <c r="O3505" s="171"/>
      <c r="P3505" s="216"/>
      <c r="Q3505" s="419"/>
      <c r="R3505" s="219"/>
      <c r="S3505" s="203"/>
      <c r="T3505" s="203"/>
      <c r="U3505" s="203"/>
      <c r="V3505" s="203"/>
      <c r="W3505" s="203"/>
      <c r="X3505" s="203"/>
      <c r="Y3505" s="203"/>
    </row>
    <row r="3506" spans="1:25" ht="30" customHeight="1" x14ac:dyDescent="0.35">
      <c r="A3506" s="241"/>
      <c r="B3506" s="506"/>
      <c r="C3506" s="506"/>
      <c r="D3506" s="506"/>
      <c r="E3506" s="453"/>
      <c r="F3506" s="1029" t="s">
        <v>302</v>
      </c>
      <c r="G3506" s="1058" t="s">
        <v>303</v>
      </c>
      <c r="H3506" s="1058"/>
      <c r="I3506" s="1058"/>
      <c r="J3506" s="1058"/>
      <c r="K3506" s="612">
        <v>1.07</v>
      </c>
      <c r="L3506" s="243"/>
      <c r="M3506" s="173"/>
      <c r="N3506" s="419"/>
      <c r="O3506" s="171"/>
      <c r="P3506" s="216"/>
      <c r="Q3506" s="419"/>
      <c r="R3506" s="219"/>
    </row>
    <row r="3507" spans="1:25" ht="30" customHeight="1" x14ac:dyDescent="0.35">
      <c r="A3507" s="241"/>
      <c r="B3507" s="506"/>
      <c r="C3507" s="506"/>
      <c r="D3507" s="506"/>
      <c r="E3507" s="453"/>
      <c r="F3507" s="1030"/>
      <c r="G3507" s="1073" t="s">
        <v>2374</v>
      </c>
      <c r="H3507" s="1073"/>
      <c r="I3507" s="1073"/>
      <c r="J3507" s="1073"/>
      <c r="K3507" s="612">
        <v>1.08</v>
      </c>
      <c r="L3507" s="243"/>
      <c r="M3507" s="173"/>
      <c r="N3507" s="419"/>
      <c r="O3507" s="203"/>
      <c r="P3507" s="216"/>
      <c r="Q3507" s="68"/>
      <c r="R3507" s="217"/>
    </row>
    <row r="3508" spans="1:25" ht="30" customHeight="1" x14ac:dyDescent="0.35">
      <c r="A3508" s="241"/>
      <c r="B3508" s="446"/>
      <c r="C3508" s="458"/>
      <c r="D3508" s="458"/>
      <c r="E3508" s="458"/>
      <c r="F3508" s="458"/>
      <c r="G3508" s="458"/>
      <c r="H3508" s="458"/>
      <c r="I3508" s="458"/>
      <c r="J3508" s="446" t="s">
        <v>2356</v>
      </c>
      <c r="K3508" s="591">
        <f>+K3505*K3506/K3507</f>
        <v>142.43630010771221</v>
      </c>
      <c r="L3508" s="243" t="s">
        <v>8</v>
      </c>
      <c r="M3508" s="173"/>
      <c r="N3508" s="68"/>
      <c r="O3508" s="203"/>
      <c r="P3508" s="218"/>
      <c r="Q3508" s="68"/>
      <c r="R3508" s="217"/>
    </row>
    <row r="3509" spans="1:25" ht="30" customHeight="1" thickBot="1" x14ac:dyDescent="0.4">
      <c r="A3509" s="241"/>
      <c r="B3509" s="446"/>
      <c r="C3509" s="458"/>
      <c r="D3509" s="458"/>
      <c r="E3509" s="458"/>
      <c r="F3509" s="458"/>
      <c r="G3509" s="592" t="s">
        <v>2358</v>
      </c>
      <c r="H3509" s="458"/>
      <c r="I3509" s="458"/>
      <c r="J3509" s="583">
        <f>VLOOKUP(B3500,'Mil Cost Premiums for PUCs'!$A$4:$R$272,18,FALSE)</f>
        <v>1.3148549708569053</v>
      </c>
      <c r="K3509" s="591">
        <f>+K3508*J3509</f>
        <v>187.28307722709135</v>
      </c>
      <c r="L3509" s="243" t="s">
        <v>8</v>
      </c>
      <c r="M3509" s="173"/>
      <c r="N3509" s="68"/>
      <c r="O3509" s="203"/>
      <c r="P3509" s="218"/>
      <c r="Q3509" s="68"/>
      <c r="R3509" s="217"/>
      <c r="T3509" s="208"/>
      <c r="U3509" s="208"/>
      <c r="V3509" s="208"/>
      <c r="W3509" s="208"/>
      <c r="X3509" s="208"/>
    </row>
    <row r="3510" spans="1:25" ht="30" customHeight="1" thickBot="1" x14ac:dyDescent="0.4">
      <c r="A3510" s="481"/>
      <c r="B3510" s="482"/>
      <c r="C3510" s="482"/>
      <c r="D3510" s="482"/>
      <c r="E3510" s="482"/>
      <c r="F3510" s="482"/>
      <c r="G3510" s="482"/>
      <c r="H3510" s="482"/>
      <c r="I3510" s="482"/>
      <c r="J3510" s="482"/>
      <c r="K3510" s="482"/>
      <c r="L3510" s="483"/>
      <c r="M3510" s="173"/>
      <c r="N3510" s="68"/>
      <c r="O3510" s="203"/>
      <c r="P3510" s="218"/>
      <c r="Q3510" s="68"/>
      <c r="R3510" s="217"/>
      <c r="Y3510" s="208"/>
    </row>
    <row r="3511" spans="1:25" ht="30" customHeight="1" x14ac:dyDescent="0.35">
      <c r="A3511" s="465" t="s">
        <v>278</v>
      </c>
      <c r="B3511" s="539">
        <v>7440</v>
      </c>
      <c r="C3511" s="1017" t="s">
        <v>1570</v>
      </c>
      <c r="D3511" s="1018"/>
      <c r="E3511" s="541" t="s">
        <v>280</v>
      </c>
      <c r="F3511" s="542" t="s">
        <v>8</v>
      </c>
      <c r="G3511" s="543" t="s">
        <v>285</v>
      </c>
      <c r="H3511" s="555">
        <v>9304</v>
      </c>
      <c r="I3511" s="541" t="s">
        <v>281</v>
      </c>
      <c r="J3511" s="1019" t="s">
        <v>2371</v>
      </c>
      <c r="K3511" s="1019"/>
      <c r="L3511" s="1020"/>
      <c r="M3511" s="173"/>
      <c r="N3511" s="68"/>
      <c r="O3511" s="208"/>
      <c r="P3511" s="218"/>
      <c r="Q3511" s="68"/>
      <c r="R3511" s="217"/>
      <c r="S3511" s="208"/>
    </row>
    <row r="3512" spans="1:25" ht="30" customHeight="1" x14ac:dyDescent="0.35">
      <c r="A3512" s="588" t="s">
        <v>298</v>
      </c>
      <c r="B3512" s="1038" t="s">
        <v>321</v>
      </c>
      <c r="C3512" s="1039"/>
      <c r="D3512" s="1040"/>
      <c r="E3512" s="23" t="s">
        <v>290</v>
      </c>
      <c r="F3512" s="23" t="s">
        <v>322</v>
      </c>
      <c r="G3512" s="1034" t="s">
        <v>323</v>
      </c>
      <c r="H3512" s="1035"/>
      <c r="I3512" s="509" t="s">
        <v>299</v>
      </c>
      <c r="J3512" s="509"/>
      <c r="K3512" s="595" t="s">
        <v>292</v>
      </c>
      <c r="L3512" s="739"/>
      <c r="M3512" s="173"/>
      <c r="N3512" s="68"/>
      <c r="O3512" s="203"/>
      <c r="P3512" s="218"/>
      <c r="Q3512" s="68"/>
      <c r="R3512" s="217"/>
    </row>
    <row r="3513" spans="1:25" s="208" customFormat="1" ht="30" customHeight="1" x14ac:dyDescent="0.35">
      <c r="A3513" s="717" t="s">
        <v>1557</v>
      </c>
      <c r="B3513" s="1102" t="s">
        <v>1571</v>
      </c>
      <c r="C3513" s="1102"/>
      <c r="D3513" s="1102"/>
      <c r="E3513" s="453">
        <v>177</v>
      </c>
      <c r="F3513" s="446" t="s">
        <v>8</v>
      </c>
      <c r="G3513" s="446"/>
      <c r="H3513" s="446"/>
      <c r="I3513" s="446">
        <v>1.06</v>
      </c>
      <c r="J3513" s="446"/>
      <c r="K3513" s="453">
        <f>+E3513*I3513</f>
        <v>187.62</v>
      </c>
      <c r="L3513" s="243" t="s">
        <v>8</v>
      </c>
      <c r="M3513" s="173"/>
      <c r="N3513" s="68"/>
      <c r="O3513" s="171"/>
      <c r="P3513" s="216"/>
      <c r="Q3513" s="419"/>
      <c r="R3513" s="219"/>
      <c r="S3513" s="203"/>
      <c r="T3513" s="203"/>
      <c r="U3513" s="203"/>
      <c r="V3513" s="203"/>
      <c r="W3513" s="203"/>
      <c r="X3513" s="203"/>
      <c r="Y3513" s="203"/>
    </row>
    <row r="3514" spans="1:25" ht="30" customHeight="1" x14ac:dyDescent="0.35">
      <c r="A3514" s="717" t="s">
        <v>1551</v>
      </c>
      <c r="B3514" s="1102" t="s">
        <v>1493</v>
      </c>
      <c r="C3514" s="1102"/>
      <c r="D3514" s="1102"/>
      <c r="E3514" s="453">
        <v>3.97</v>
      </c>
      <c r="F3514" s="446" t="s">
        <v>8</v>
      </c>
      <c r="G3514" s="454"/>
      <c r="H3514" s="446"/>
      <c r="I3514" s="446">
        <v>1.06</v>
      </c>
      <c r="J3514" s="446"/>
      <c r="K3514" s="453">
        <f>+E3514*I3514</f>
        <v>4.2082000000000006</v>
      </c>
      <c r="L3514" s="243" t="s">
        <v>8</v>
      </c>
      <c r="M3514" s="173"/>
      <c r="N3514" s="419"/>
      <c r="O3514" s="171"/>
      <c r="P3514" s="216"/>
      <c r="Q3514" s="419"/>
      <c r="R3514" s="219"/>
    </row>
    <row r="3515" spans="1:25" ht="30" customHeight="1" x14ac:dyDescent="0.35">
      <c r="A3515" s="869"/>
      <c r="B3515" s="1335"/>
      <c r="C3515" s="1336"/>
      <c r="D3515" s="1337"/>
      <c r="E3515" s="864"/>
      <c r="F3515" s="865"/>
      <c r="G3515" s="865"/>
      <c r="H3515" s="865"/>
      <c r="I3515" s="865"/>
      <c r="J3515" s="865" t="s">
        <v>335</v>
      </c>
      <c r="K3515" s="864">
        <f>SUM(K3513:K3514)</f>
        <v>191.82820000000001</v>
      </c>
      <c r="L3515" s="866" t="s">
        <v>8</v>
      </c>
      <c r="M3515" s="173"/>
      <c r="N3515" s="419"/>
      <c r="O3515" s="203"/>
      <c r="P3515" s="218"/>
      <c r="Q3515" s="68"/>
      <c r="R3515" s="217"/>
    </row>
    <row r="3516" spans="1:25" ht="30" customHeight="1" x14ac:dyDescent="0.35">
      <c r="A3516" s="241"/>
      <c r="B3516" s="506"/>
      <c r="C3516" s="506"/>
      <c r="D3516" s="506"/>
      <c r="E3516" s="453"/>
      <c r="F3516" s="1029" t="s">
        <v>302</v>
      </c>
      <c r="G3516" s="1058" t="s">
        <v>303</v>
      </c>
      <c r="H3516" s="1058"/>
      <c r="I3516" s="1058"/>
      <c r="J3516" s="1058"/>
      <c r="K3516" s="612">
        <v>1.07</v>
      </c>
      <c r="L3516" s="243"/>
      <c r="M3516" s="173"/>
      <c r="N3516" s="68"/>
      <c r="O3516" s="203"/>
      <c r="P3516" s="218"/>
      <c r="Q3516" s="68"/>
      <c r="R3516" s="217"/>
    </row>
    <row r="3517" spans="1:25" ht="30" customHeight="1" x14ac:dyDescent="0.35">
      <c r="A3517" s="241"/>
      <c r="B3517" s="506"/>
      <c r="C3517" s="506"/>
      <c r="D3517" s="506"/>
      <c r="E3517" s="453"/>
      <c r="F3517" s="1030"/>
      <c r="G3517" s="1073" t="s">
        <v>2374</v>
      </c>
      <c r="H3517" s="1073"/>
      <c r="I3517" s="1073"/>
      <c r="J3517" s="1073"/>
      <c r="K3517" s="612">
        <v>1.08</v>
      </c>
      <c r="L3517" s="243"/>
      <c r="M3517" s="173"/>
      <c r="N3517" s="68"/>
      <c r="O3517" s="203"/>
      <c r="P3517" s="218"/>
      <c r="Q3517" s="68"/>
      <c r="R3517" s="217"/>
      <c r="T3517" s="208"/>
      <c r="U3517" s="208"/>
      <c r="V3517" s="208"/>
      <c r="W3517" s="208"/>
      <c r="X3517" s="208"/>
    </row>
    <row r="3518" spans="1:25" ht="30" customHeight="1" x14ac:dyDescent="0.35">
      <c r="A3518" s="241"/>
      <c r="B3518" s="446"/>
      <c r="C3518" s="458"/>
      <c r="D3518" s="458"/>
      <c r="E3518" s="458"/>
      <c r="F3518" s="458"/>
      <c r="G3518" s="458"/>
      <c r="H3518" s="458"/>
      <c r="I3518" s="458"/>
      <c r="J3518" s="446" t="s">
        <v>2356</v>
      </c>
      <c r="K3518" s="591">
        <f>+K3515*K3516/K3517</f>
        <v>190.05201296296298</v>
      </c>
      <c r="L3518" s="243" t="s">
        <v>8</v>
      </c>
      <c r="M3518" s="173"/>
      <c r="N3518" s="68"/>
      <c r="O3518" s="203"/>
      <c r="P3518" s="218"/>
      <c r="Q3518" s="68"/>
      <c r="R3518" s="217"/>
      <c r="Y3518" s="208"/>
    </row>
    <row r="3519" spans="1:25" ht="30" customHeight="1" thickBot="1" x14ac:dyDescent="0.4">
      <c r="A3519" s="241"/>
      <c r="B3519" s="446"/>
      <c r="C3519" s="458"/>
      <c r="D3519" s="458"/>
      <c r="E3519" s="458"/>
      <c r="F3519" s="458"/>
      <c r="G3519" s="592" t="s">
        <v>2358</v>
      </c>
      <c r="H3519" s="458"/>
      <c r="I3519" s="458"/>
      <c r="J3519" s="583">
        <f>VLOOKUP(B3511,'Mil Cost Premiums for PUCs'!$A$4:$R$272,18,FALSE)</f>
        <v>1.3148549708569053</v>
      </c>
      <c r="K3519" s="591">
        <f>+K3518*J3519</f>
        <v>249.89083396571286</v>
      </c>
      <c r="L3519" s="243" t="s">
        <v>8</v>
      </c>
      <c r="M3519" s="173"/>
      <c r="N3519" s="68"/>
      <c r="O3519" s="208"/>
      <c r="P3519" s="218"/>
      <c r="Q3519" s="68"/>
      <c r="R3519" s="217"/>
      <c r="S3519" s="208"/>
    </row>
    <row r="3520" spans="1:25" ht="30" customHeight="1" thickBot="1" x14ac:dyDescent="0.4">
      <c r="A3520" s="481"/>
      <c r="B3520" s="482"/>
      <c r="C3520" s="482"/>
      <c r="D3520" s="482"/>
      <c r="E3520" s="482"/>
      <c r="F3520" s="482"/>
      <c r="G3520" s="482"/>
      <c r="H3520" s="482"/>
      <c r="I3520" s="482"/>
      <c r="J3520" s="482"/>
      <c r="K3520" s="482"/>
      <c r="L3520" s="483"/>
      <c r="M3520" s="173"/>
      <c r="N3520" s="68"/>
      <c r="O3520" s="203"/>
      <c r="P3520" s="218"/>
      <c r="Q3520" s="68"/>
      <c r="R3520" s="217"/>
    </row>
    <row r="3521" spans="1:25" s="208" customFormat="1" ht="30" customHeight="1" x14ac:dyDescent="0.35">
      <c r="A3521" s="465" t="s">
        <v>278</v>
      </c>
      <c r="B3521" s="539">
        <v>7441</v>
      </c>
      <c r="C3521" s="1060" t="s">
        <v>1572</v>
      </c>
      <c r="D3521" s="1061"/>
      <c r="E3521" s="541" t="s">
        <v>280</v>
      </c>
      <c r="F3521" s="542" t="s">
        <v>8</v>
      </c>
      <c r="G3521" s="543" t="s">
        <v>285</v>
      </c>
      <c r="H3521" s="555">
        <v>16917</v>
      </c>
      <c r="I3521" s="434" t="s">
        <v>281</v>
      </c>
      <c r="J3521" s="1347" t="s">
        <v>2417</v>
      </c>
      <c r="K3521" s="1019"/>
      <c r="L3521" s="1020"/>
      <c r="M3521" s="173"/>
      <c r="N3521" s="68"/>
      <c r="O3521" s="203"/>
      <c r="P3521" s="218"/>
      <c r="Q3521" s="68"/>
      <c r="R3521" s="217"/>
      <c r="S3521" s="203"/>
      <c r="T3521" s="203"/>
      <c r="U3521" s="203"/>
      <c r="V3521" s="203"/>
      <c r="W3521" s="203"/>
      <c r="X3521" s="203"/>
      <c r="Y3521" s="203"/>
    </row>
    <row r="3522" spans="1:25" ht="30" customHeight="1" x14ac:dyDescent="0.35">
      <c r="A3522" s="545" t="s">
        <v>288</v>
      </c>
      <c r="B3522" s="1051" t="s">
        <v>282</v>
      </c>
      <c r="C3522" s="1051"/>
      <c r="D3522" s="1051"/>
      <c r="E3522" s="561" t="s">
        <v>290</v>
      </c>
      <c r="F3522" s="509" t="s">
        <v>289</v>
      </c>
      <c r="G3522" s="1094" t="s">
        <v>323</v>
      </c>
      <c r="H3522" s="1095"/>
      <c r="I3522" s="1021" t="s">
        <v>291</v>
      </c>
      <c r="J3522" s="1021"/>
      <c r="K3522" s="510" t="s">
        <v>292</v>
      </c>
      <c r="L3522" s="744"/>
      <c r="M3522" s="173"/>
      <c r="N3522" s="419"/>
      <c r="O3522" s="203"/>
      <c r="P3522" s="218"/>
      <c r="Q3522" s="68"/>
      <c r="R3522" s="217"/>
    </row>
    <row r="3523" spans="1:25" ht="30" customHeight="1" x14ac:dyDescent="0.35">
      <c r="A3523" s="241">
        <v>72412</v>
      </c>
      <c r="B3523" s="1082" t="s">
        <v>2415</v>
      </c>
      <c r="C3523" s="1083"/>
      <c r="D3523" s="1093"/>
      <c r="E3523" s="453">
        <v>377</v>
      </c>
      <c r="F3523" s="694">
        <v>51738</v>
      </c>
      <c r="G3523" s="726"/>
      <c r="H3523" s="462"/>
      <c r="I3523" s="1346">
        <f>+'2021 MILCON Inflation Table'!$F$19</f>
        <v>0.96211202832457809</v>
      </c>
      <c r="J3523" s="1346"/>
      <c r="K3523" s="463">
        <f>+E3523*I3523</f>
        <v>362.71623467836594</v>
      </c>
      <c r="L3523" s="564" t="s">
        <v>8</v>
      </c>
      <c r="M3523" s="173"/>
      <c r="N3523" s="419"/>
      <c r="O3523" s="171"/>
      <c r="P3523" s="216"/>
      <c r="Q3523" s="419"/>
      <c r="R3523" s="219"/>
    </row>
    <row r="3524" spans="1:25" ht="30" customHeight="1" x14ac:dyDescent="0.35">
      <c r="A3524" s="241">
        <v>72412</v>
      </c>
      <c r="B3524" s="1082" t="s">
        <v>2416</v>
      </c>
      <c r="C3524" s="1083"/>
      <c r="D3524" s="1093"/>
      <c r="E3524" s="453">
        <v>305</v>
      </c>
      <c r="F3524" s="694">
        <v>28000</v>
      </c>
      <c r="G3524" s="726"/>
      <c r="H3524" s="462"/>
      <c r="I3524" s="1091">
        <f>+'2021 MILCON Inflation Table'!$F$15</f>
        <v>1.0621074668527564</v>
      </c>
      <c r="J3524" s="1092"/>
      <c r="K3524" s="463">
        <f>+E3524*I3524</f>
        <v>323.94277739009067</v>
      </c>
      <c r="L3524" s="564" t="s">
        <v>8</v>
      </c>
      <c r="M3524" s="173"/>
      <c r="N3524" s="68"/>
      <c r="O3524" s="171"/>
      <c r="P3524" s="216"/>
      <c r="Q3524" s="419"/>
      <c r="R3524" s="219"/>
      <c r="T3524" s="27"/>
      <c r="U3524" s="171"/>
    </row>
    <row r="3525" spans="1:25" ht="30" customHeight="1" x14ac:dyDescent="0.35">
      <c r="A3525" s="241"/>
      <c r="B3525" s="516"/>
      <c r="C3525" s="570"/>
      <c r="D3525" s="571"/>
      <c r="E3525" s="667"/>
      <c r="F3525" s="724"/>
      <c r="G3525" s="725"/>
      <c r="H3525" s="726"/>
      <c r="I3525" s="783"/>
      <c r="J3525" s="784" t="s">
        <v>304</v>
      </c>
      <c r="K3525" s="463">
        <f>AVERAGE(K3523:K3524)</f>
        <v>343.3295060342283</v>
      </c>
      <c r="L3525" s="564" t="s">
        <v>8</v>
      </c>
      <c r="M3525" s="173"/>
      <c r="N3525" s="68"/>
      <c r="O3525" s="203"/>
      <c r="P3525" s="218"/>
      <c r="Q3525" s="68"/>
      <c r="R3525" s="217"/>
      <c r="T3525" s="27"/>
      <c r="U3525" s="171"/>
    </row>
    <row r="3526" spans="1:25" ht="30" customHeight="1" thickBot="1" x14ac:dyDescent="0.4">
      <c r="A3526" s="241"/>
      <c r="B3526" s="1031"/>
      <c r="C3526" s="1032"/>
      <c r="D3526" s="1033"/>
      <c r="E3526" s="553"/>
      <c r="F3526" s="706"/>
      <c r="G3526" s="553"/>
      <c r="H3526" s="707"/>
      <c r="I3526" s="458"/>
      <c r="J3526" s="446" t="s">
        <v>2356</v>
      </c>
      <c r="K3526" s="459">
        <f>+K3525</f>
        <v>343.3295060342283</v>
      </c>
      <c r="L3526" s="564" t="s">
        <v>8</v>
      </c>
      <c r="M3526" s="173"/>
      <c r="N3526" s="68"/>
      <c r="O3526" s="207"/>
      <c r="P3526" s="27"/>
      <c r="Q3526" s="27"/>
      <c r="R3526" s="27"/>
      <c r="S3526" s="27"/>
      <c r="T3526" s="27"/>
      <c r="U3526" s="27"/>
      <c r="V3526" s="27"/>
      <c r="W3526" s="27"/>
      <c r="X3526" s="27"/>
    </row>
    <row r="3527" spans="1:25" ht="30" customHeight="1" thickBot="1" x14ac:dyDescent="0.4">
      <c r="A3527" s="481"/>
      <c r="B3527" s="482"/>
      <c r="C3527" s="482"/>
      <c r="D3527" s="482"/>
      <c r="E3527" s="482"/>
      <c r="F3527" s="482"/>
      <c r="G3527" s="482"/>
      <c r="H3527" s="482"/>
      <c r="I3527" s="482"/>
      <c r="J3527" s="482"/>
      <c r="K3527" s="482"/>
      <c r="L3527" s="483"/>
      <c r="M3527" s="173"/>
      <c r="N3527" s="68"/>
      <c r="O3527" s="207"/>
      <c r="P3527" s="27"/>
      <c r="Q3527" s="27"/>
      <c r="R3527" s="27"/>
      <c r="S3527" s="27"/>
      <c r="T3527" s="208"/>
      <c r="U3527" s="208"/>
      <c r="V3527" s="208"/>
      <c r="W3527" s="208"/>
      <c r="X3527" s="208"/>
      <c r="Y3527" s="27"/>
    </row>
    <row r="3528" spans="1:25" ht="30" customHeight="1" x14ac:dyDescent="0.35">
      <c r="A3528" s="465" t="s">
        <v>278</v>
      </c>
      <c r="B3528" s="539">
        <v>7442</v>
      </c>
      <c r="C3528" s="1017" t="s">
        <v>1573</v>
      </c>
      <c r="D3528" s="1018"/>
      <c r="E3528" s="541" t="s">
        <v>280</v>
      </c>
      <c r="F3528" s="542" t="s">
        <v>8</v>
      </c>
      <c r="G3528" s="543" t="s">
        <v>285</v>
      </c>
      <c r="H3528" s="555">
        <v>2613</v>
      </c>
      <c r="I3528" s="541" t="s">
        <v>281</v>
      </c>
      <c r="J3528" s="1019" t="s">
        <v>2371</v>
      </c>
      <c r="K3528" s="1019"/>
      <c r="L3528" s="1020"/>
      <c r="M3528" s="173"/>
      <c r="N3528" s="68"/>
      <c r="O3528" s="207"/>
      <c r="P3528" s="27"/>
      <c r="Q3528" s="27"/>
      <c r="R3528" s="27"/>
      <c r="S3528" s="27"/>
      <c r="T3528" s="51"/>
      <c r="Y3528" s="208"/>
    </row>
    <row r="3529" spans="1:25" ht="30" customHeight="1" x14ac:dyDescent="0.35">
      <c r="A3529" s="588" t="s">
        <v>298</v>
      </c>
      <c r="B3529" s="1038" t="s">
        <v>321</v>
      </c>
      <c r="C3529" s="1039"/>
      <c r="D3529" s="1040"/>
      <c r="E3529" s="23" t="s">
        <v>290</v>
      </c>
      <c r="F3529" s="23" t="s">
        <v>322</v>
      </c>
      <c r="G3529" s="1034" t="s">
        <v>323</v>
      </c>
      <c r="H3529" s="1035"/>
      <c r="I3529" s="509" t="s">
        <v>299</v>
      </c>
      <c r="J3529" s="509"/>
      <c r="K3529" s="595" t="s">
        <v>292</v>
      </c>
      <c r="L3529" s="739"/>
      <c r="M3529" s="173"/>
      <c r="N3529" s="68"/>
      <c r="P3529" s="208"/>
      <c r="Q3529" s="208"/>
      <c r="R3529" s="208"/>
      <c r="S3529" s="208"/>
      <c r="T3529" s="51"/>
    </row>
    <row r="3530" spans="1:25" s="27" customFormat="1" ht="30" customHeight="1" x14ac:dyDescent="0.35">
      <c r="A3530" s="717" t="s">
        <v>1574</v>
      </c>
      <c r="B3530" s="1102" t="s">
        <v>1575</v>
      </c>
      <c r="C3530" s="1102"/>
      <c r="D3530" s="1102"/>
      <c r="E3530" s="453">
        <v>96.5</v>
      </c>
      <c r="F3530" s="446" t="s">
        <v>8</v>
      </c>
      <c r="G3530" s="446"/>
      <c r="H3530" s="446"/>
      <c r="I3530" s="446">
        <v>1.02</v>
      </c>
      <c r="J3530" s="446"/>
      <c r="K3530" s="453">
        <f>+E3530*I3530</f>
        <v>98.43</v>
      </c>
      <c r="L3530" s="243" t="s">
        <v>8</v>
      </c>
      <c r="M3530" s="173"/>
      <c r="N3530" s="68"/>
      <c r="O3530" s="205"/>
      <c r="P3530" s="171"/>
      <c r="Q3530" s="171"/>
      <c r="R3530" s="171"/>
      <c r="S3530" s="51"/>
      <c r="T3530" s="203"/>
      <c r="U3530" s="203"/>
      <c r="V3530" s="203"/>
      <c r="W3530" s="203"/>
      <c r="X3530" s="203"/>
      <c r="Y3530" s="203"/>
    </row>
    <row r="3531" spans="1:25" s="208" customFormat="1" ht="30" customHeight="1" x14ac:dyDescent="0.35">
      <c r="A3531" s="717" t="s">
        <v>1392</v>
      </c>
      <c r="B3531" s="1102" t="s">
        <v>1366</v>
      </c>
      <c r="C3531" s="1102"/>
      <c r="D3531" s="1102"/>
      <c r="E3531" s="453">
        <v>3.92</v>
      </c>
      <c r="F3531" s="446" t="s">
        <v>8</v>
      </c>
      <c r="G3531" s="454"/>
      <c r="H3531" s="446"/>
      <c r="I3531" s="446">
        <v>1.02</v>
      </c>
      <c r="J3531" s="446"/>
      <c r="K3531" s="453">
        <f>+E3531*I3531</f>
        <v>3.9984000000000002</v>
      </c>
      <c r="L3531" s="243" t="s">
        <v>8</v>
      </c>
      <c r="M3531" s="173"/>
      <c r="N3531" s="68"/>
      <c r="O3531" s="205"/>
      <c r="P3531" s="171"/>
      <c r="Q3531" s="171"/>
      <c r="R3531" s="171"/>
      <c r="S3531" s="51"/>
      <c r="T3531" s="203"/>
      <c r="U3531" s="203"/>
      <c r="V3531" s="203"/>
      <c r="W3531" s="203"/>
      <c r="X3531" s="203"/>
      <c r="Y3531" s="203"/>
    </row>
    <row r="3532" spans="1:25" ht="30" customHeight="1" x14ac:dyDescent="0.35">
      <c r="A3532" s="869"/>
      <c r="B3532" s="1335"/>
      <c r="C3532" s="1336"/>
      <c r="D3532" s="1337"/>
      <c r="E3532" s="864"/>
      <c r="F3532" s="865"/>
      <c r="G3532" s="865"/>
      <c r="H3532" s="865"/>
      <c r="I3532" s="865"/>
      <c r="J3532" s="865" t="s">
        <v>335</v>
      </c>
      <c r="K3532" s="864">
        <f>SUM(K3530:K3531)</f>
        <v>102.42840000000001</v>
      </c>
      <c r="L3532" s="866" t="s">
        <v>8</v>
      </c>
      <c r="M3532" s="363"/>
      <c r="N3532" s="419"/>
      <c r="O3532" s="203"/>
      <c r="P3532" s="218"/>
      <c r="Q3532" s="68"/>
      <c r="R3532" s="217"/>
    </row>
    <row r="3533" spans="1:25" ht="30" customHeight="1" x14ac:dyDescent="0.35">
      <c r="A3533" s="241"/>
      <c r="B3533" s="506"/>
      <c r="C3533" s="506"/>
      <c r="D3533" s="506"/>
      <c r="E3533" s="453"/>
      <c r="F3533" s="1029" t="s">
        <v>302</v>
      </c>
      <c r="G3533" s="1058" t="s">
        <v>303</v>
      </c>
      <c r="H3533" s="1058"/>
      <c r="I3533" s="1058"/>
      <c r="J3533" s="1058"/>
      <c r="K3533" s="612">
        <v>1.07</v>
      </c>
      <c r="L3533" s="243"/>
      <c r="M3533" s="173"/>
      <c r="N3533" s="419"/>
      <c r="O3533" s="203"/>
      <c r="P3533" s="218"/>
      <c r="Q3533" s="68"/>
      <c r="R3533" s="217"/>
      <c r="T3533" s="208"/>
      <c r="U3533" s="208"/>
      <c r="V3533" s="208"/>
      <c r="W3533" s="208"/>
      <c r="X3533" s="208"/>
    </row>
    <row r="3534" spans="1:25" ht="30" customHeight="1" x14ac:dyDescent="0.35">
      <c r="A3534" s="241"/>
      <c r="B3534" s="506"/>
      <c r="C3534" s="506"/>
      <c r="D3534" s="506"/>
      <c r="E3534" s="453"/>
      <c r="F3534" s="1030"/>
      <c r="G3534" s="1073" t="s">
        <v>2374</v>
      </c>
      <c r="H3534" s="1073"/>
      <c r="I3534" s="1073"/>
      <c r="J3534" s="1073"/>
      <c r="K3534" s="612">
        <v>1.08</v>
      </c>
      <c r="L3534" s="243"/>
      <c r="M3534" s="363"/>
      <c r="N3534" s="68"/>
      <c r="O3534" s="203"/>
      <c r="P3534" s="218"/>
      <c r="Q3534" s="68"/>
      <c r="R3534" s="217"/>
      <c r="Y3534" s="208"/>
    </row>
    <row r="3535" spans="1:25" ht="30" customHeight="1" x14ac:dyDescent="0.35">
      <c r="A3535" s="241"/>
      <c r="B3535" s="446"/>
      <c r="C3535" s="458"/>
      <c r="D3535" s="458"/>
      <c r="E3535" s="458"/>
      <c r="F3535" s="458"/>
      <c r="G3535" s="458"/>
      <c r="H3535" s="458"/>
      <c r="I3535" s="458"/>
      <c r="J3535" s="446" t="s">
        <v>2356</v>
      </c>
      <c r="K3535" s="591">
        <f>+K3532*K3533/K3534</f>
        <v>101.4799888888889</v>
      </c>
      <c r="L3535" s="243" t="s">
        <v>8</v>
      </c>
      <c r="M3535" s="173"/>
      <c r="N3535" s="68"/>
      <c r="O3535" s="208"/>
      <c r="P3535" s="218"/>
      <c r="Q3535" s="68"/>
      <c r="R3535" s="217"/>
      <c r="S3535" s="208"/>
    </row>
    <row r="3536" spans="1:25" ht="30" customHeight="1" thickBot="1" x14ac:dyDescent="0.4">
      <c r="A3536" s="241"/>
      <c r="B3536" s="446"/>
      <c r="C3536" s="458"/>
      <c r="D3536" s="458"/>
      <c r="E3536" s="458"/>
      <c r="F3536" s="458"/>
      <c r="G3536" s="592" t="s">
        <v>2358</v>
      </c>
      <c r="H3536" s="458"/>
      <c r="I3536" s="458"/>
      <c r="J3536" s="583">
        <f>VLOOKUP(B3528,'Mil Cost Premiums for PUCs'!$A$4:$R$272,18,FALSE)</f>
        <v>1.12897214704308</v>
      </c>
      <c r="K3536" s="591">
        <f>+K3535*J3536</f>
        <v>114.56808093779681</v>
      </c>
      <c r="L3536" s="243" t="s">
        <v>8</v>
      </c>
      <c r="M3536" s="173"/>
      <c r="N3536" s="68"/>
      <c r="O3536" s="203"/>
      <c r="P3536" s="218"/>
      <c r="Q3536" s="68"/>
      <c r="R3536" s="217"/>
    </row>
    <row r="3537" spans="1:25" s="208" customFormat="1" ht="30" customHeight="1" thickBot="1" x14ac:dyDescent="0.4">
      <c r="A3537" s="481"/>
      <c r="B3537" s="482"/>
      <c r="C3537" s="482"/>
      <c r="D3537" s="482"/>
      <c r="E3537" s="482"/>
      <c r="F3537" s="482"/>
      <c r="G3537" s="482"/>
      <c r="H3537" s="482"/>
      <c r="I3537" s="482"/>
      <c r="J3537" s="482"/>
      <c r="K3537" s="482"/>
      <c r="L3537" s="483"/>
      <c r="M3537" s="173"/>
      <c r="N3537" s="214"/>
      <c r="O3537" s="203"/>
      <c r="P3537" s="218"/>
      <c r="Q3537" s="68"/>
      <c r="R3537" s="217"/>
      <c r="S3537" s="203"/>
      <c r="T3537" s="203"/>
      <c r="U3537" s="203"/>
      <c r="V3537" s="203"/>
      <c r="W3537" s="203"/>
      <c r="X3537" s="203"/>
      <c r="Y3537" s="203"/>
    </row>
    <row r="3538" spans="1:25" ht="30" customHeight="1" x14ac:dyDescent="0.35">
      <c r="A3538" s="465" t="s">
        <v>278</v>
      </c>
      <c r="B3538" s="539">
        <v>7443</v>
      </c>
      <c r="C3538" s="1060" t="s">
        <v>1576</v>
      </c>
      <c r="D3538" s="1061"/>
      <c r="E3538" s="541" t="s">
        <v>280</v>
      </c>
      <c r="F3538" s="542" t="s">
        <v>8</v>
      </c>
      <c r="G3538" s="543" t="s">
        <v>285</v>
      </c>
      <c r="H3538" s="555">
        <v>1875</v>
      </c>
      <c r="I3538" s="541" t="s">
        <v>281</v>
      </c>
      <c r="J3538" s="1019" t="s">
        <v>2371</v>
      </c>
      <c r="K3538" s="1019"/>
      <c r="L3538" s="1020"/>
      <c r="M3538" s="173"/>
      <c r="N3538" s="230"/>
      <c r="O3538" s="203"/>
      <c r="P3538" s="218"/>
      <c r="Q3538" s="68"/>
      <c r="R3538" s="217"/>
    </row>
    <row r="3539" spans="1:25" ht="30" customHeight="1" x14ac:dyDescent="0.35">
      <c r="A3539" s="588" t="s">
        <v>298</v>
      </c>
      <c r="B3539" s="1038" t="s">
        <v>321</v>
      </c>
      <c r="C3539" s="1039"/>
      <c r="D3539" s="1040"/>
      <c r="E3539" s="23" t="s">
        <v>290</v>
      </c>
      <c r="F3539" s="23" t="s">
        <v>322</v>
      </c>
      <c r="G3539" s="1034" t="s">
        <v>323</v>
      </c>
      <c r="H3539" s="1035"/>
      <c r="I3539" s="509" t="s">
        <v>299</v>
      </c>
      <c r="J3539" s="509"/>
      <c r="K3539" s="595" t="s">
        <v>292</v>
      </c>
      <c r="L3539" s="739"/>
      <c r="M3539" s="173"/>
      <c r="N3539" s="214"/>
      <c r="O3539" s="203"/>
      <c r="P3539" s="218"/>
      <c r="Q3539" s="68"/>
      <c r="R3539" s="217"/>
    </row>
    <row r="3540" spans="1:25" ht="30" customHeight="1" x14ac:dyDescent="0.35">
      <c r="A3540" s="717" t="s">
        <v>1336</v>
      </c>
      <c r="B3540" s="1031" t="s">
        <v>1337</v>
      </c>
      <c r="C3540" s="1032"/>
      <c r="D3540" s="1033"/>
      <c r="E3540" s="453">
        <v>27.5</v>
      </c>
      <c r="F3540" s="3" t="s">
        <v>8</v>
      </c>
      <c r="G3540" s="493"/>
      <c r="H3540" s="495"/>
      <c r="I3540" s="665">
        <v>1.06</v>
      </c>
      <c r="J3540" s="446"/>
      <c r="K3540" s="453">
        <f>+E3540*I3540</f>
        <v>29.150000000000002</v>
      </c>
      <c r="L3540" s="243" t="s">
        <v>8</v>
      </c>
      <c r="M3540" s="173"/>
      <c r="O3540" s="171"/>
      <c r="P3540" s="216"/>
      <c r="Q3540" s="419"/>
      <c r="R3540" s="219"/>
    </row>
    <row r="3541" spans="1:25" ht="30" customHeight="1" x14ac:dyDescent="0.35">
      <c r="A3541" s="241"/>
      <c r="B3541" s="506"/>
      <c r="C3541" s="506"/>
      <c r="D3541" s="506"/>
      <c r="E3541" s="453"/>
      <c r="F3541" s="1029" t="s">
        <v>302</v>
      </c>
      <c r="G3541" s="1058" t="s">
        <v>303</v>
      </c>
      <c r="H3541" s="1058"/>
      <c r="I3541" s="1058"/>
      <c r="J3541" s="1058"/>
      <c r="K3541" s="612">
        <v>1.07</v>
      </c>
      <c r="L3541" s="243"/>
      <c r="M3541" s="173"/>
      <c r="O3541" s="171"/>
      <c r="P3541" s="216"/>
      <c r="Q3541" s="419"/>
      <c r="R3541" s="219"/>
    </row>
    <row r="3542" spans="1:25" ht="30" customHeight="1" x14ac:dyDescent="0.35">
      <c r="A3542" s="241"/>
      <c r="B3542" s="506"/>
      <c r="C3542" s="506"/>
      <c r="D3542" s="506"/>
      <c r="E3542" s="453"/>
      <c r="F3542" s="1030"/>
      <c r="G3542" s="1073" t="s">
        <v>2374</v>
      </c>
      <c r="H3542" s="1073"/>
      <c r="I3542" s="1073"/>
      <c r="J3542" s="1073"/>
      <c r="K3542" s="612">
        <v>1.08</v>
      </c>
      <c r="L3542" s="243"/>
      <c r="M3542" s="173"/>
      <c r="O3542" s="203"/>
      <c r="P3542" s="218"/>
      <c r="Q3542" s="68"/>
      <c r="R3542" s="217"/>
    </row>
    <row r="3543" spans="1:25" ht="30" customHeight="1" x14ac:dyDescent="0.35">
      <c r="A3543" s="717"/>
      <c r="B3543" s="1031"/>
      <c r="C3543" s="1032"/>
      <c r="D3543" s="1033"/>
      <c r="E3543" s="453"/>
      <c r="F3543" s="496"/>
      <c r="G3543" s="727"/>
      <c r="H3543" s="659"/>
      <c r="I3543" s="446"/>
      <c r="J3543" s="446" t="s">
        <v>2356</v>
      </c>
      <c r="K3543" s="591">
        <f>+K3540*K3541/K3542</f>
        <v>28.880092592592593</v>
      </c>
      <c r="L3543" s="243" t="s">
        <v>8</v>
      </c>
      <c r="M3543" s="173"/>
      <c r="N3543" s="68"/>
      <c r="O3543" s="203"/>
      <c r="P3543" s="218"/>
      <c r="Q3543" s="68"/>
      <c r="R3543" s="217"/>
    </row>
    <row r="3544" spans="1:25" ht="30" customHeight="1" thickBot="1" x14ac:dyDescent="0.4">
      <c r="A3544" s="241"/>
      <c r="B3544" s="446"/>
      <c r="C3544" s="458"/>
      <c r="D3544" s="458"/>
      <c r="E3544" s="458"/>
      <c r="F3544" s="458"/>
      <c r="G3544" s="592" t="s">
        <v>2358</v>
      </c>
      <c r="H3544" s="458"/>
      <c r="I3544" s="458"/>
      <c r="J3544" s="583">
        <f>VLOOKUP(B3538,'Mil Cost Premiums for PUCs'!$A$4:$R$272,18,FALSE)</f>
        <v>1.0590296311349996</v>
      </c>
      <c r="K3544" s="591">
        <f>+K3543*J3544</f>
        <v>30.584873805477969</v>
      </c>
      <c r="L3544" s="243" t="s">
        <v>8</v>
      </c>
      <c r="M3544" s="173"/>
      <c r="N3544" s="68"/>
      <c r="O3544" s="203"/>
      <c r="P3544" s="218"/>
      <c r="Q3544" s="68"/>
      <c r="R3544" s="217"/>
      <c r="T3544" s="208"/>
      <c r="U3544" s="208"/>
      <c r="V3544" s="208"/>
      <c r="W3544" s="208"/>
      <c r="X3544" s="208"/>
    </row>
    <row r="3545" spans="1:25" ht="30" customHeight="1" thickBot="1" x14ac:dyDescent="0.4">
      <c r="A3545" s="481"/>
      <c r="B3545" s="482"/>
      <c r="C3545" s="482"/>
      <c r="D3545" s="482"/>
      <c r="E3545" s="482"/>
      <c r="F3545" s="482"/>
      <c r="G3545" s="482"/>
      <c r="H3545" s="482"/>
      <c r="I3545" s="482"/>
      <c r="J3545" s="482"/>
      <c r="K3545" s="482"/>
      <c r="L3545" s="483"/>
      <c r="M3545" s="173"/>
      <c r="N3545" s="68"/>
      <c r="O3545" s="203"/>
      <c r="P3545" s="218"/>
      <c r="Q3545" s="68"/>
      <c r="R3545" s="217"/>
      <c r="Y3545" s="208"/>
    </row>
    <row r="3546" spans="1:25" ht="30" customHeight="1" x14ac:dyDescent="0.35">
      <c r="A3546" s="465" t="s">
        <v>278</v>
      </c>
      <c r="B3546" s="539">
        <v>7444</v>
      </c>
      <c r="C3546" s="1017" t="s">
        <v>1577</v>
      </c>
      <c r="D3546" s="1018"/>
      <c r="E3546" s="541" t="s">
        <v>280</v>
      </c>
      <c r="F3546" s="542" t="s">
        <v>8</v>
      </c>
      <c r="G3546" s="543" t="s">
        <v>285</v>
      </c>
      <c r="H3546" s="555">
        <v>2504</v>
      </c>
      <c r="I3546" s="541" t="s">
        <v>281</v>
      </c>
      <c r="J3546" s="1019" t="s">
        <v>2371</v>
      </c>
      <c r="K3546" s="1019"/>
      <c r="L3546" s="1020"/>
      <c r="M3546" s="173"/>
      <c r="N3546" s="421"/>
      <c r="O3546" s="208"/>
      <c r="P3546" s="218"/>
      <c r="Q3546" s="68"/>
      <c r="R3546" s="217"/>
      <c r="S3546" s="208"/>
    </row>
    <row r="3547" spans="1:25" ht="30" customHeight="1" x14ac:dyDescent="0.35">
      <c r="A3547" s="588" t="s">
        <v>298</v>
      </c>
      <c r="B3547" s="1038" t="s">
        <v>321</v>
      </c>
      <c r="C3547" s="1039"/>
      <c r="D3547" s="1040"/>
      <c r="E3547" s="23" t="s">
        <v>290</v>
      </c>
      <c r="F3547" s="23" t="s">
        <v>322</v>
      </c>
      <c r="G3547" s="1034" t="s">
        <v>323</v>
      </c>
      <c r="H3547" s="1035"/>
      <c r="I3547" s="509" t="s">
        <v>299</v>
      </c>
      <c r="J3547" s="509"/>
      <c r="K3547" s="595" t="s">
        <v>292</v>
      </c>
      <c r="L3547" s="739"/>
      <c r="M3547" s="173"/>
      <c r="N3547" s="208"/>
      <c r="O3547" s="203"/>
      <c r="P3547" s="218"/>
      <c r="Q3547" s="68"/>
      <c r="R3547" s="217"/>
    </row>
    <row r="3548" spans="1:25" s="208" customFormat="1" ht="30" customHeight="1" x14ac:dyDescent="0.35">
      <c r="A3548" s="717" t="s">
        <v>1578</v>
      </c>
      <c r="B3548" s="1102" t="s">
        <v>1579</v>
      </c>
      <c r="C3548" s="1102"/>
      <c r="D3548" s="1102"/>
      <c r="E3548" s="453">
        <v>36.25</v>
      </c>
      <c r="F3548" s="446" t="s">
        <v>8</v>
      </c>
      <c r="G3548" s="446"/>
      <c r="H3548" s="446"/>
      <c r="I3548" s="665">
        <v>1.06</v>
      </c>
      <c r="J3548" s="446"/>
      <c r="K3548" s="453">
        <f>+E3548*I3548</f>
        <v>38.425000000000004</v>
      </c>
      <c r="L3548" s="243" t="s">
        <v>8</v>
      </c>
      <c r="M3548" s="173"/>
      <c r="N3548" s="68"/>
      <c r="O3548" s="203"/>
      <c r="P3548" s="218"/>
      <c r="Q3548" s="68"/>
      <c r="R3548" s="217"/>
      <c r="S3548" s="203"/>
      <c r="T3548" s="203"/>
      <c r="U3548" s="203"/>
      <c r="V3548" s="203"/>
      <c r="W3548" s="203"/>
      <c r="X3548" s="203"/>
      <c r="Y3548" s="203"/>
    </row>
    <row r="3549" spans="1:25" ht="30" customHeight="1" x14ac:dyDescent="0.35">
      <c r="A3549" s="241"/>
      <c r="B3549" s="506"/>
      <c r="C3549" s="506"/>
      <c r="D3549" s="506"/>
      <c r="E3549" s="453"/>
      <c r="F3549" s="1029" t="s">
        <v>302</v>
      </c>
      <c r="G3549" s="1058" t="s">
        <v>303</v>
      </c>
      <c r="H3549" s="1058"/>
      <c r="I3549" s="1058"/>
      <c r="J3549" s="1058"/>
      <c r="K3549" s="612">
        <v>1.07</v>
      </c>
      <c r="L3549" s="243"/>
      <c r="M3549" s="173"/>
      <c r="N3549" s="293"/>
      <c r="O3549" s="293"/>
      <c r="P3549" s="218"/>
      <c r="Q3549" s="68"/>
      <c r="R3549" s="217"/>
    </row>
    <row r="3550" spans="1:25" ht="30" customHeight="1" x14ac:dyDescent="0.35">
      <c r="A3550" s="241"/>
      <c r="B3550" s="506"/>
      <c r="C3550" s="506"/>
      <c r="D3550" s="506"/>
      <c r="E3550" s="453"/>
      <c r="F3550" s="1030"/>
      <c r="G3550" s="1073" t="s">
        <v>2374</v>
      </c>
      <c r="H3550" s="1073"/>
      <c r="I3550" s="1073"/>
      <c r="J3550" s="1073"/>
      <c r="K3550" s="612">
        <v>1.08</v>
      </c>
      <c r="L3550" s="243"/>
      <c r="M3550" s="173"/>
      <c r="N3550" s="419"/>
      <c r="O3550" s="203"/>
      <c r="P3550" s="218"/>
      <c r="Q3550" s="68"/>
      <c r="R3550" s="217"/>
    </row>
    <row r="3551" spans="1:25" ht="30" customHeight="1" x14ac:dyDescent="0.35">
      <c r="A3551" s="241"/>
      <c r="B3551" s="446"/>
      <c r="C3551" s="458"/>
      <c r="D3551" s="458"/>
      <c r="E3551" s="458"/>
      <c r="F3551" s="458"/>
      <c r="G3551" s="458"/>
      <c r="H3551" s="458"/>
      <c r="I3551" s="458"/>
      <c r="J3551" s="446" t="s">
        <v>2356</v>
      </c>
      <c r="K3551" s="591">
        <f>+K3548*K3549/K3550</f>
        <v>38.069212962962965</v>
      </c>
      <c r="L3551" s="243" t="s">
        <v>8</v>
      </c>
      <c r="M3551" s="173"/>
      <c r="N3551" s="68"/>
      <c r="O3551" s="203"/>
      <c r="P3551" s="218"/>
      <c r="Q3551" s="68"/>
      <c r="R3551" s="217"/>
    </row>
    <row r="3552" spans="1:25" ht="30" customHeight="1" thickBot="1" x14ac:dyDescent="0.4">
      <c r="A3552" s="241"/>
      <c r="B3552" s="446"/>
      <c r="C3552" s="458"/>
      <c r="D3552" s="458"/>
      <c r="E3552" s="458"/>
      <c r="F3552" s="458"/>
      <c r="G3552" s="592" t="s">
        <v>2358</v>
      </c>
      <c r="H3552" s="458"/>
      <c r="I3552" s="458"/>
      <c r="J3552" s="583">
        <f>VLOOKUP(B3546,'Mil Cost Premiums for PUCs'!$A$4:$R$272,18,FALSE)</f>
        <v>1.0209999999999999</v>
      </c>
      <c r="K3552" s="591">
        <f>+K3551*J3552</f>
        <v>38.868666435185183</v>
      </c>
      <c r="L3552" s="243" t="s">
        <v>8</v>
      </c>
      <c r="M3552" s="173"/>
      <c r="N3552" s="68"/>
      <c r="O3552" s="171"/>
      <c r="P3552" s="216"/>
      <c r="Q3552" s="419"/>
      <c r="R3552" s="219"/>
    </row>
    <row r="3553" spans="1:25" ht="30" customHeight="1" thickBot="1" x14ac:dyDescent="0.4">
      <c r="A3553" s="481"/>
      <c r="B3553" s="482"/>
      <c r="C3553" s="482"/>
      <c r="D3553" s="482"/>
      <c r="E3553" s="482"/>
      <c r="F3553" s="482"/>
      <c r="G3553" s="482"/>
      <c r="H3553" s="482"/>
      <c r="I3553" s="482"/>
      <c r="J3553" s="482"/>
      <c r="K3553" s="482"/>
      <c r="L3553" s="483"/>
      <c r="M3553" s="173"/>
      <c r="N3553" s="68"/>
      <c r="O3553" s="171"/>
      <c r="P3553" s="216"/>
      <c r="Q3553" s="419"/>
      <c r="R3553" s="219"/>
      <c r="T3553" s="27"/>
      <c r="U3553" s="171"/>
    </row>
    <row r="3554" spans="1:25" ht="30" customHeight="1" x14ac:dyDescent="0.35">
      <c r="A3554" s="465" t="s">
        <v>278</v>
      </c>
      <c r="B3554" s="539">
        <v>7445</v>
      </c>
      <c r="C3554" s="1017" t="s">
        <v>1580</v>
      </c>
      <c r="D3554" s="1018"/>
      <c r="E3554" s="541" t="s">
        <v>280</v>
      </c>
      <c r="F3554" s="542" t="s">
        <v>8</v>
      </c>
      <c r="G3554" s="543" t="s">
        <v>285</v>
      </c>
      <c r="H3554" s="875">
        <v>3094</v>
      </c>
      <c r="I3554" s="541" t="s">
        <v>281</v>
      </c>
      <c r="J3554" s="1019" t="s">
        <v>2371</v>
      </c>
      <c r="K3554" s="1019"/>
      <c r="L3554" s="1020"/>
      <c r="M3554" s="173"/>
      <c r="N3554" s="68"/>
      <c r="O3554" s="203"/>
      <c r="P3554" s="218"/>
      <c r="Q3554" s="68"/>
      <c r="R3554" s="217"/>
      <c r="T3554" s="27"/>
      <c r="U3554" s="171"/>
    </row>
    <row r="3555" spans="1:25" ht="30" customHeight="1" x14ac:dyDescent="0.35">
      <c r="A3555" s="588" t="s">
        <v>298</v>
      </c>
      <c r="B3555" s="1038" t="s">
        <v>321</v>
      </c>
      <c r="C3555" s="1039"/>
      <c r="D3555" s="1040"/>
      <c r="E3555" s="23" t="s">
        <v>290</v>
      </c>
      <c r="F3555" s="23" t="s">
        <v>322</v>
      </c>
      <c r="G3555" s="1034" t="s">
        <v>323</v>
      </c>
      <c r="H3555" s="1035"/>
      <c r="I3555" s="509" t="s">
        <v>299</v>
      </c>
      <c r="J3555" s="509"/>
      <c r="K3555" s="595" t="s">
        <v>292</v>
      </c>
      <c r="L3555" s="739"/>
      <c r="M3555" s="75"/>
      <c r="N3555" s="68"/>
      <c r="O3555" s="207"/>
      <c r="P3555" s="27"/>
      <c r="Q3555" s="27"/>
      <c r="R3555" s="27"/>
      <c r="S3555" s="27"/>
      <c r="T3555" s="27"/>
      <c r="U3555" s="27"/>
      <c r="V3555" s="27"/>
      <c r="W3555" s="27"/>
      <c r="X3555" s="27"/>
    </row>
    <row r="3556" spans="1:25" ht="30" customHeight="1" x14ac:dyDescent="0.35">
      <c r="A3556" s="717" t="s">
        <v>491</v>
      </c>
      <c r="B3556" s="1031" t="s">
        <v>2251</v>
      </c>
      <c r="C3556" s="1032"/>
      <c r="D3556" s="1033"/>
      <c r="E3556" s="453">
        <v>32.25</v>
      </c>
      <c r="F3556" s="3" t="s">
        <v>8</v>
      </c>
      <c r="G3556" s="493"/>
      <c r="H3556" s="495"/>
      <c r="I3556" s="665">
        <v>1.06</v>
      </c>
      <c r="J3556" s="446"/>
      <c r="K3556" s="453">
        <f>+E3556*I3556</f>
        <v>34.185000000000002</v>
      </c>
      <c r="L3556" s="243" t="s">
        <v>8</v>
      </c>
      <c r="M3556" s="173"/>
      <c r="N3556" s="68"/>
      <c r="O3556" s="207"/>
      <c r="P3556" s="27"/>
      <c r="Q3556" s="27"/>
      <c r="R3556" s="27"/>
      <c r="S3556" s="27"/>
      <c r="T3556" s="208"/>
      <c r="U3556" s="208"/>
      <c r="V3556" s="208"/>
      <c r="W3556" s="208"/>
      <c r="X3556" s="208"/>
      <c r="Y3556" s="27"/>
    </row>
    <row r="3557" spans="1:25" ht="30" customHeight="1" x14ac:dyDescent="0.35">
      <c r="A3557" s="241"/>
      <c r="B3557" s="506"/>
      <c r="C3557" s="506"/>
      <c r="D3557" s="506"/>
      <c r="E3557" s="453"/>
      <c r="F3557" s="1029" t="s">
        <v>302</v>
      </c>
      <c r="G3557" s="1058" t="s">
        <v>303</v>
      </c>
      <c r="H3557" s="1058"/>
      <c r="I3557" s="1058"/>
      <c r="J3557" s="1058"/>
      <c r="K3557" s="612">
        <v>1.07</v>
      </c>
      <c r="L3557" s="243"/>
      <c r="M3557" s="293"/>
      <c r="N3557" s="68"/>
      <c r="O3557" s="207"/>
      <c r="P3557" s="27"/>
      <c r="Q3557" s="27"/>
      <c r="R3557" s="27"/>
      <c r="S3557" s="27"/>
      <c r="U3557" s="27"/>
      <c r="V3557" s="27"/>
      <c r="W3557" s="27"/>
      <c r="X3557" s="27"/>
      <c r="Y3557" s="208"/>
    </row>
    <row r="3558" spans="1:25" ht="30" customHeight="1" x14ac:dyDescent="0.35">
      <c r="A3558" s="241"/>
      <c r="B3558" s="506"/>
      <c r="C3558" s="506"/>
      <c r="D3558" s="506"/>
      <c r="E3558" s="453"/>
      <c r="F3558" s="1030"/>
      <c r="G3558" s="1073" t="s">
        <v>2374</v>
      </c>
      <c r="H3558" s="1073"/>
      <c r="I3558" s="1073"/>
      <c r="J3558" s="1073"/>
      <c r="K3558" s="612">
        <v>1.08</v>
      </c>
      <c r="L3558" s="243"/>
      <c r="M3558" s="173"/>
      <c r="N3558" s="68"/>
      <c r="P3558" s="208"/>
      <c r="Q3558" s="208"/>
      <c r="R3558" s="208"/>
      <c r="S3558" s="208"/>
      <c r="U3558" s="27"/>
      <c r="V3558" s="27"/>
      <c r="W3558" s="27"/>
      <c r="X3558" s="27"/>
      <c r="Y3558" s="27"/>
    </row>
    <row r="3559" spans="1:25" s="27" customFormat="1" ht="30" customHeight="1" x14ac:dyDescent="0.35">
      <c r="A3559" s="241"/>
      <c r="B3559" s="446"/>
      <c r="C3559" s="458"/>
      <c r="D3559" s="458"/>
      <c r="E3559" s="458"/>
      <c r="F3559" s="458"/>
      <c r="G3559" s="458"/>
      <c r="H3559" s="458"/>
      <c r="I3559" s="458"/>
      <c r="J3559" s="446" t="s">
        <v>2356</v>
      </c>
      <c r="K3559" s="591">
        <f>+K3556*K3557/K3558</f>
        <v>33.868472222222223</v>
      </c>
      <c r="L3559" s="243" t="s">
        <v>8</v>
      </c>
      <c r="M3559" s="173"/>
      <c r="N3559" s="68"/>
      <c r="O3559" s="205"/>
      <c r="P3559" s="203"/>
      <c r="Q3559" s="203"/>
      <c r="R3559" s="203"/>
      <c r="S3559" s="203"/>
      <c r="T3559" s="203"/>
    </row>
    <row r="3560" spans="1:25" s="208" customFormat="1" ht="30" customHeight="1" thickBot="1" x14ac:dyDescent="0.4">
      <c r="A3560" s="241"/>
      <c r="B3560" s="446"/>
      <c r="C3560" s="458"/>
      <c r="D3560" s="458"/>
      <c r="E3560" s="458"/>
      <c r="F3560" s="458"/>
      <c r="G3560" s="592" t="s">
        <v>2358</v>
      </c>
      <c r="H3560" s="458"/>
      <c r="I3560" s="458"/>
      <c r="J3560" s="583">
        <f>VLOOKUP(B3554,'Mil Cost Premiums for PUCs'!$A$4:$R$272,18,FALSE)</f>
        <v>1.0209999999999999</v>
      </c>
      <c r="K3560" s="591">
        <f>+K3559*J3560</f>
        <v>34.579710138888885</v>
      </c>
      <c r="L3560" s="243" t="s">
        <v>8</v>
      </c>
      <c r="M3560" s="173"/>
      <c r="N3560" s="68"/>
      <c r="O3560" s="205"/>
      <c r="P3560" s="203"/>
      <c r="Q3560" s="203"/>
      <c r="R3560" s="203"/>
      <c r="S3560" s="203"/>
      <c r="T3560" s="51"/>
      <c r="U3560" s="203"/>
      <c r="V3560" s="203"/>
      <c r="W3560" s="203"/>
      <c r="X3560" s="203"/>
      <c r="Y3560" s="27"/>
    </row>
    <row r="3561" spans="1:25" s="27" customFormat="1" ht="30" customHeight="1" thickBot="1" x14ac:dyDescent="0.4">
      <c r="A3561" s="481"/>
      <c r="B3561" s="482"/>
      <c r="C3561" s="482"/>
      <c r="D3561" s="482"/>
      <c r="E3561" s="482"/>
      <c r="F3561" s="482"/>
      <c r="G3561" s="482"/>
      <c r="H3561" s="482"/>
      <c r="I3561" s="482"/>
      <c r="J3561" s="482"/>
      <c r="K3561" s="482"/>
      <c r="L3561" s="483"/>
      <c r="M3561" s="173"/>
      <c r="N3561" s="419"/>
      <c r="O3561" s="205"/>
      <c r="P3561" s="203"/>
      <c r="Q3561" s="203"/>
      <c r="R3561" s="203"/>
      <c r="S3561" s="203"/>
      <c r="T3561" s="51"/>
      <c r="U3561" s="203"/>
      <c r="V3561" s="203"/>
      <c r="W3561" s="203"/>
      <c r="X3561" s="203"/>
      <c r="Y3561" s="203"/>
    </row>
    <row r="3562" spans="1:25" s="27" customFormat="1" ht="30" customHeight="1" x14ac:dyDescent="0.35">
      <c r="A3562" s="465" t="s">
        <v>278</v>
      </c>
      <c r="B3562" s="539">
        <v>7446</v>
      </c>
      <c r="C3562" s="1017" t="s">
        <v>1581</v>
      </c>
      <c r="D3562" s="1018"/>
      <c r="E3562" s="541" t="s">
        <v>280</v>
      </c>
      <c r="F3562" s="542" t="s">
        <v>8</v>
      </c>
      <c r="G3562" s="543" t="s">
        <v>285</v>
      </c>
      <c r="H3562" s="884">
        <v>3309</v>
      </c>
      <c r="I3562" s="541" t="s">
        <v>281</v>
      </c>
      <c r="J3562" s="1019" t="s">
        <v>2371</v>
      </c>
      <c r="K3562" s="1019"/>
      <c r="L3562" s="1020"/>
      <c r="M3562" s="173"/>
      <c r="N3562" s="419"/>
      <c r="O3562" s="205"/>
      <c r="P3562" s="171"/>
      <c r="Q3562" s="171"/>
      <c r="R3562" s="171"/>
      <c r="S3562" s="51"/>
      <c r="T3562" s="203"/>
      <c r="U3562" s="203"/>
      <c r="V3562" s="203"/>
      <c r="W3562" s="203"/>
      <c r="X3562" s="203"/>
      <c r="Y3562" s="203"/>
    </row>
    <row r="3563" spans="1:25" s="27" customFormat="1" ht="30" customHeight="1" x14ac:dyDescent="0.35">
      <c r="A3563" s="588" t="s">
        <v>298</v>
      </c>
      <c r="B3563" s="1038" t="s">
        <v>321</v>
      </c>
      <c r="C3563" s="1039"/>
      <c r="D3563" s="1040"/>
      <c r="E3563" s="23" t="s">
        <v>290</v>
      </c>
      <c r="F3563" s="23" t="s">
        <v>322</v>
      </c>
      <c r="G3563" s="1034" t="s">
        <v>323</v>
      </c>
      <c r="H3563" s="1035"/>
      <c r="I3563" s="509" t="s">
        <v>299</v>
      </c>
      <c r="J3563" s="509"/>
      <c r="K3563" s="595" t="s">
        <v>292</v>
      </c>
      <c r="L3563" s="739"/>
      <c r="M3563" s="363"/>
      <c r="N3563" s="68"/>
      <c r="O3563" s="205"/>
      <c r="P3563" s="171"/>
      <c r="Q3563" s="171"/>
      <c r="R3563" s="171"/>
      <c r="S3563" s="51"/>
      <c r="T3563" s="203"/>
      <c r="U3563" s="203"/>
      <c r="V3563" s="203"/>
      <c r="W3563" s="203"/>
      <c r="X3563" s="203"/>
      <c r="Y3563" s="203"/>
    </row>
    <row r="3564" spans="1:25" ht="30" customHeight="1" x14ac:dyDescent="0.35">
      <c r="A3564" s="717" t="s">
        <v>1514</v>
      </c>
      <c r="B3564" s="1031" t="s">
        <v>1515</v>
      </c>
      <c r="C3564" s="1032"/>
      <c r="D3564" s="1033"/>
      <c r="E3564" s="453">
        <v>128</v>
      </c>
      <c r="F3564" s="3" t="s">
        <v>8</v>
      </c>
      <c r="G3564" s="458"/>
      <c r="H3564" s="458"/>
      <c r="I3564" s="446">
        <v>1.05</v>
      </c>
      <c r="J3564" s="446"/>
      <c r="K3564" s="453">
        <f>+E3564*I3564</f>
        <v>134.4</v>
      </c>
      <c r="L3564" s="243" t="s">
        <v>8</v>
      </c>
      <c r="M3564" s="173"/>
      <c r="N3564" s="68"/>
      <c r="O3564" s="203"/>
      <c r="P3564" s="218"/>
      <c r="Q3564" s="68"/>
      <c r="R3564" s="217"/>
    </row>
    <row r="3565" spans="1:25" ht="30" customHeight="1" x14ac:dyDescent="0.35">
      <c r="A3565" s="717" t="s">
        <v>397</v>
      </c>
      <c r="B3565" s="1102" t="s">
        <v>3110</v>
      </c>
      <c r="C3565" s="1102"/>
      <c r="D3565" s="1102"/>
      <c r="E3565" s="453">
        <v>4.8600000000000003</v>
      </c>
      <c r="F3565" s="3" t="s">
        <v>8</v>
      </c>
      <c r="G3565" s="458"/>
      <c r="H3565" s="458"/>
      <c r="I3565" s="446">
        <v>1.05</v>
      </c>
      <c r="J3565" s="446"/>
      <c r="K3565" s="453">
        <f>+E3565*I3565</f>
        <v>5.1030000000000006</v>
      </c>
      <c r="L3565" s="243" t="s">
        <v>8</v>
      </c>
      <c r="M3565" s="173"/>
      <c r="N3565" s="68"/>
      <c r="O3565" s="203"/>
      <c r="P3565" s="218"/>
      <c r="Q3565" s="68"/>
      <c r="R3565" s="217"/>
      <c r="T3565" s="208"/>
      <c r="U3565" s="208"/>
      <c r="V3565" s="208"/>
      <c r="W3565" s="208"/>
      <c r="X3565" s="208"/>
    </row>
    <row r="3566" spans="1:25" ht="30" customHeight="1" x14ac:dyDescent="0.35">
      <c r="A3566" s="869"/>
      <c r="B3566" s="1335"/>
      <c r="C3566" s="1336"/>
      <c r="D3566" s="1337"/>
      <c r="E3566" s="864"/>
      <c r="F3566" s="865"/>
      <c r="G3566" s="865"/>
      <c r="H3566" s="865"/>
      <c r="I3566" s="865"/>
      <c r="J3566" s="865" t="s">
        <v>335</v>
      </c>
      <c r="K3566" s="864">
        <f>SUM(K3564:K3565)</f>
        <v>139.50300000000001</v>
      </c>
      <c r="L3566" s="866" t="s">
        <v>8</v>
      </c>
      <c r="M3566" s="173"/>
      <c r="N3566" s="214"/>
      <c r="O3566" s="203"/>
      <c r="P3566" s="218"/>
      <c r="Q3566" s="68"/>
      <c r="R3566" s="217"/>
      <c r="Y3566" s="208"/>
    </row>
    <row r="3567" spans="1:25" ht="30" customHeight="1" x14ac:dyDescent="0.35">
      <c r="A3567" s="241"/>
      <c r="B3567" s="506"/>
      <c r="C3567" s="506"/>
      <c r="D3567" s="506"/>
      <c r="E3567" s="453"/>
      <c r="F3567" s="1029" t="s">
        <v>302</v>
      </c>
      <c r="G3567" s="1058" t="s">
        <v>303</v>
      </c>
      <c r="H3567" s="1058"/>
      <c r="I3567" s="1058"/>
      <c r="J3567" s="1058"/>
      <c r="K3567" s="612">
        <v>1.07</v>
      </c>
      <c r="L3567" s="243"/>
      <c r="M3567" s="173"/>
      <c r="N3567" s="293"/>
      <c r="O3567" s="293"/>
      <c r="P3567" s="218"/>
      <c r="Q3567" s="68"/>
      <c r="R3567" s="217"/>
      <c r="S3567" s="208"/>
    </row>
    <row r="3568" spans="1:25" ht="30" customHeight="1" x14ac:dyDescent="0.35">
      <c r="A3568" s="241"/>
      <c r="B3568" s="506"/>
      <c r="C3568" s="506"/>
      <c r="D3568" s="506"/>
      <c r="E3568" s="453"/>
      <c r="F3568" s="1030"/>
      <c r="G3568" s="1073" t="s">
        <v>2374</v>
      </c>
      <c r="H3568" s="1073"/>
      <c r="I3568" s="1073"/>
      <c r="J3568" s="1073"/>
      <c r="K3568" s="612">
        <v>1.08</v>
      </c>
      <c r="L3568" s="243"/>
      <c r="M3568" s="173"/>
      <c r="N3568" s="293"/>
      <c r="O3568" s="203"/>
      <c r="P3568" s="218"/>
      <c r="Q3568" s="68"/>
      <c r="R3568" s="217"/>
    </row>
    <row r="3569" spans="1:25" s="208" customFormat="1" ht="30" customHeight="1" x14ac:dyDescent="0.35">
      <c r="A3569" s="241"/>
      <c r="B3569" s="446"/>
      <c r="C3569" s="458"/>
      <c r="D3569" s="458"/>
      <c r="E3569" s="458"/>
      <c r="F3569" s="458"/>
      <c r="G3569" s="458"/>
      <c r="H3569" s="458"/>
      <c r="I3569" s="458"/>
      <c r="J3569" s="446" t="s">
        <v>2356</v>
      </c>
      <c r="K3569" s="591">
        <f>+K3566*K3567/K3568</f>
        <v>138.21130555555555</v>
      </c>
      <c r="L3569" s="243" t="s">
        <v>8</v>
      </c>
      <c r="M3569" s="173"/>
      <c r="N3569" s="214"/>
      <c r="O3569" s="203"/>
      <c r="P3569" s="218"/>
      <c r="Q3569" s="68"/>
      <c r="R3569" s="217"/>
      <c r="S3569" s="203"/>
      <c r="T3569" s="203"/>
      <c r="U3569" s="203"/>
      <c r="V3569" s="203"/>
      <c r="W3569" s="203"/>
      <c r="X3569" s="203"/>
      <c r="Y3569" s="203"/>
    </row>
    <row r="3570" spans="1:25" ht="30" customHeight="1" thickBot="1" x14ac:dyDescent="0.4">
      <c r="A3570" s="241"/>
      <c r="B3570" s="446"/>
      <c r="C3570" s="458"/>
      <c r="D3570" s="458"/>
      <c r="E3570" s="458"/>
      <c r="F3570" s="458"/>
      <c r="G3570" s="592" t="s">
        <v>2358</v>
      </c>
      <c r="H3570" s="458"/>
      <c r="I3570" s="458"/>
      <c r="J3570" s="583">
        <f>VLOOKUP(B3562,'Mil Cost Premiums for PUCs'!$A$4:$R$272,18,FALSE)</f>
        <v>1.0209999999999999</v>
      </c>
      <c r="K3570" s="591">
        <f>+K3569*J3570</f>
        <v>141.11374297222221</v>
      </c>
      <c r="L3570" s="243" t="s">
        <v>8</v>
      </c>
      <c r="M3570" s="173"/>
      <c r="N3570" s="214"/>
      <c r="O3570" s="203"/>
      <c r="P3570" s="218"/>
      <c r="Q3570" s="68"/>
      <c r="R3570" s="217"/>
    </row>
    <row r="3571" spans="1:25" ht="30" customHeight="1" thickBot="1" x14ac:dyDescent="0.4">
      <c r="A3571" s="481"/>
      <c r="B3571" s="482"/>
      <c r="C3571" s="482"/>
      <c r="D3571" s="482"/>
      <c r="E3571" s="482"/>
      <c r="F3571" s="482"/>
      <c r="G3571" s="482"/>
      <c r="H3571" s="482"/>
      <c r="I3571" s="482"/>
      <c r="J3571" s="482"/>
      <c r="K3571" s="482"/>
      <c r="L3571" s="483"/>
      <c r="M3571" s="173"/>
      <c r="O3571" s="203"/>
      <c r="P3571" s="218"/>
      <c r="Q3571" s="68"/>
      <c r="R3571" s="217"/>
    </row>
    <row r="3572" spans="1:25" ht="30" customHeight="1" x14ac:dyDescent="0.35">
      <c r="A3572" s="465" t="s">
        <v>278</v>
      </c>
      <c r="B3572" s="539">
        <v>7447</v>
      </c>
      <c r="C3572" s="1060" t="s">
        <v>1582</v>
      </c>
      <c r="D3572" s="1061"/>
      <c r="E3572" s="541" t="s">
        <v>280</v>
      </c>
      <c r="F3572" s="542" t="s">
        <v>8</v>
      </c>
      <c r="G3572" s="543" t="s">
        <v>285</v>
      </c>
      <c r="H3572" s="569">
        <v>4255</v>
      </c>
      <c r="I3572" s="541" t="s">
        <v>281</v>
      </c>
      <c r="J3572" s="1019" t="s">
        <v>3111</v>
      </c>
      <c r="K3572" s="1019"/>
      <c r="L3572" s="1020"/>
      <c r="M3572" s="173"/>
      <c r="O3572" s="203"/>
      <c r="P3572" s="218"/>
      <c r="Q3572" s="68"/>
      <c r="R3572" s="217"/>
    </row>
    <row r="3573" spans="1:25" ht="30" customHeight="1" x14ac:dyDescent="0.35">
      <c r="A3573" s="545" t="s">
        <v>288</v>
      </c>
      <c r="B3573" s="1051" t="s">
        <v>282</v>
      </c>
      <c r="C3573" s="1051"/>
      <c r="D3573" s="1051"/>
      <c r="E3573" s="509" t="s">
        <v>290</v>
      </c>
      <c r="F3573" s="509" t="s">
        <v>289</v>
      </c>
      <c r="G3573" s="1021" t="s">
        <v>323</v>
      </c>
      <c r="H3573" s="1021"/>
      <c r="I3573" s="1052" t="s">
        <v>405</v>
      </c>
      <c r="J3573" s="1053"/>
      <c r="K3573" s="595" t="s">
        <v>292</v>
      </c>
      <c r="L3573" s="739"/>
      <c r="M3573" s="173"/>
      <c r="O3573" s="203"/>
      <c r="P3573" s="218"/>
      <c r="Q3573" s="68"/>
      <c r="R3573" s="217"/>
    </row>
    <row r="3574" spans="1:25" ht="30" customHeight="1" x14ac:dyDescent="0.35">
      <c r="A3574" s="241">
        <v>44220</v>
      </c>
      <c r="B3574" s="1031" t="s">
        <v>1583</v>
      </c>
      <c r="C3574" s="1032"/>
      <c r="D3574" s="1033"/>
      <c r="E3574" s="453">
        <v>136</v>
      </c>
      <c r="F3574" s="694">
        <v>4191</v>
      </c>
      <c r="G3574" s="462"/>
      <c r="H3574" s="462"/>
      <c r="I3574" s="1091">
        <f>+'2021 MILCON Inflation Table'!F20</f>
        <v>0.9432470865927236</v>
      </c>
      <c r="J3574" s="1092"/>
      <c r="K3574" s="463">
        <f>+E3574*I3574</f>
        <v>128.28160377661041</v>
      </c>
      <c r="L3574" s="564" t="s">
        <v>8</v>
      </c>
      <c r="M3574" s="173"/>
      <c r="O3574" s="203"/>
      <c r="P3574" s="218"/>
      <c r="Q3574" s="68"/>
      <c r="R3574" s="217"/>
    </row>
    <row r="3575" spans="1:25" ht="30" customHeight="1" x14ac:dyDescent="0.35">
      <c r="A3575" s="241">
        <v>44220</v>
      </c>
      <c r="B3575" s="1082" t="s">
        <v>1584</v>
      </c>
      <c r="C3575" s="1083"/>
      <c r="D3575" s="1093"/>
      <c r="E3575" s="453">
        <v>345</v>
      </c>
      <c r="F3575" s="694">
        <v>8600</v>
      </c>
      <c r="G3575" s="462"/>
      <c r="H3575" s="462"/>
      <c r="I3575" s="1091">
        <f>+'2021 MILCON Inflation Table'!F20</f>
        <v>0.9432470865927236</v>
      </c>
      <c r="J3575" s="1092"/>
      <c r="K3575" s="463">
        <f>+E3575*I3575</f>
        <v>325.42024487448964</v>
      </c>
      <c r="L3575" s="564" t="s">
        <v>8</v>
      </c>
      <c r="M3575" s="293"/>
      <c r="N3575" s="68"/>
      <c r="O3575" s="171"/>
      <c r="P3575" s="216"/>
      <c r="Q3575" s="419"/>
      <c r="R3575" s="219"/>
    </row>
    <row r="3576" spans="1:25" ht="30" customHeight="1" thickBot="1" x14ac:dyDescent="0.4">
      <c r="A3576" s="241"/>
      <c r="B3576" s="1031"/>
      <c r="C3576" s="1032"/>
      <c r="D3576" s="1033"/>
      <c r="E3576" s="457"/>
      <c r="F3576" s="464"/>
      <c r="G3576" s="457"/>
      <c r="H3576" s="457" t="s">
        <v>304</v>
      </c>
      <c r="I3576" s="458"/>
      <c r="J3576" s="510" t="s">
        <v>2356</v>
      </c>
      <c r="K3576" s="459">
        <f>AVERAGE(K3574:K3575)</f>
        <v>226.85092432555001</v>
      </c>
      <c r="L3576" s="564" t="s">
        <v>8</v>
      </c>
      <c r="M3576" s="293"/>
      <c r="N3576" s="68"/>
      <c r="O3576" s="171"/>
      <c r="P3576" s="216"/>
      <c r="Q3576" s="419"/>
      <c r="R3576" s="219"/>
    </row>
    <row r="3577" spans="1:25" ht="30" customHeight="1" thickBot="1" x14ac:dyDescent="0.4">
      <c r="A3577" s="481"/>
      <c r="B3577" s="482"/>
      <c r="C3577" s="482"/>
      <c r="D3577" s="482"/>
      <c r="E3577" s="482"/>
      <c r="F3577" s="482"/>
      <c r="G3577" s="482"/>
      <c r="H3577" s="482"/>
      <c r="I3577" s="482"/>
      <c r="J3577" s="482"/>
      <c r="K3577" s="482"/>
      <c r="L3577" s="483"/>
      <c r="M3577" s="173"/>
      <c r="P3577" s="218"/>
      <c r="Q3577" s="68"/>
      <c r="R3577" s="217"/>
    </row>
    <row r="3578" spans="1:25" ht="30" customHeight="1" x14ac:dyDescent="0.35">
      <c r="A3578" s="856" t="s">
        <v>278</v>
      </c>
      <c r="B3578" s="857">
        <v>7448</v>
      </c>
      <c r="C3578" s="1348" t="s">
        <v>1585</v>
      </c>
      <c r="D3578" s="1349"/>
      <c r="E3578" s="858" t="s">
        <v>280</v>
      </c>
      <c r="F3578" s="872" t="s">
        <v>8</v>
      </c>
      <c r="G3578" s="543" t="s">
        <v>285</v>
      </c>
      <c r="H3578" s="860">
        <v>1360</v>
      </c>
      <c r="I3578" s="858" t="s">
        <v>281</v>
      </c>
      <c r="J3578" s="1019" t="s">
        <v>2371</v>
      </c>
      <c r="K3578" s="1019"/>
      <c r="L3578" s="1020"/>
      <c r="M3578" s="173"/>
      <c r="N3578" s="68"/>
      <c r="O3578" s="208"/>
      <c r="P3578" s="218"/>
      <c r="Q3578" s="68"/>
      <c r="R3578" s="217"/>
    </row>
    <row r="3579" spans="1:25" ht="30" customHeight="1" x14ac:dyDescent="0.35">
      <c r="A3579" s="861" t="s">
        <v>298</v>
      </c>
      <c r="B3579" s="1330" t="s">
        <v>321</v>
      </c>
      <c r="C3579" s="1331"/>
      <c r="D3579" s="1332"/>
      <c r="E3579" s="284" t="s">
        <v>290</v>
      </c>
      <c r="F3579" s="284" t="s">
        <v>322</v>
      </c>
      <c r="G3579" s="1333" t="s">
        <v>323</v>
      </c>
      <c r="H3579" s="1334"/>
      <c r="I3579" s="862" t="s">
        <v>1490</v>
      </c>
      <c r="J3579" s="509" t="s">
        <v>405</v>
      </c>
      <c r="K3579" s="595" t="s">
        <v>292</v>
      </c>
      <c r="L3579" s="739"/>
      <c r="M3579" s="173"/>
      <c r="N3579" s="68"/>
      <c r="O3579" s="203"/>
      <c r="P3579" s="218"/>
      <c r="Q3579" s="68"/>
      <c r="R3579" s="217"/>
      <c r="T3579" s="208"/>
      <c r="U3579" s="208"/>
      <c r="V3579" s="208"/>
      <c r="W3579" s="208"/>
      <c r="X3579" s="208"/>
    </row>
    <row r="3580" spans="1:25" ht="30" customHeight="1" x14ac:dyDescent="0.35">
      <c r="A3580" s="869" t="s">
        <v>1421</v>
      </c>
      <c r="B3580" s="1165" t="s">
        <v>2486</v>
      </c>
      <c r="C3580" s="1166"/>
      <c r="D3580" s="1167"/>
      <c r="E3580" s="291">
        <v>61.5</v>
      </c>
      <c r="F3580" s="285" t="s">
        <v>8</v>
      </c>
      <c r="G3580" s="292"/>
      <c r="H3580" s="287"/>
      <c r="I3580" s="865">
        <v>1.04</v>
      </c>
      <c r="J3580" s="178">
        <f>+'2021 MILCON Inflation Table'!$F$13</f>
        <v>1.1643998639918394</v>
      </c>
      <c r="K3580" s="871">
        <f>+E3580*I3580*J3580</f>
        <v>74.475015300918045</v>
      </c>
      <c r="L3580" s="885" t="s">
        <v>8</v>
      </c>
      <c r="M3580" s="173"/>
      <c r="N3580" s="68"/>
      <c r="O3580" s="203"/>
      <c r="P3580" s="218"/>
      <c r="Q3580" s="68"/>
      <c r="R3580" s="217"/>
      <c r="Y3580" s="208"/>
    </row>
    <row r="3581" spans="1:25" ht="30" customHeight="1" x14ac:dyDescent="0.35">
      <c r="A3581" s="863" t="s">
        <v>360</v>
      </c>
      <c r="B3581" s="1335" t="s">
        <v>2163</v>
      </c>
      <c r="C3581" s="1336"/>
      <c r="D3581" s="1337"/>
      <c r="E3581" s="864">
        <v>4.1500000000000004</v>
      </c>
      <c r="F3581" s="285" t="s">
        <v>8</v>
      </c>
      <c r="G3581" s="886">
        <v>1.1499999999999999</v>
      </c>
      <c r="H3581" s="887" t="s">
        <v>1586</v>
      </c>
      <c r="I3581" s="865">
        <v>1.04</v>
      </c>
      <c r="J3581" s="285"/>
      <c r="K3581" s="871">
        <f>+E3581*G3581*I3581</f>
        <v>4.9634</v>
      </c>
      <c r="L3581" s="866"/>
      <c r="M3581" s="173"/>
      <c r="N3581" s="419"/>
      <c r="O3581" s="203"/>
      <c r="P3581" s="218"/>
      <c r="Q3581" s="68"/>
      <c r="R3581" s="217"/>
      <c r="S3581" s="208"/>
    </row>
    <row r="3582" spans="1:25" ht="30" customHeight="1" x14ac:dyDescent="0.35">
      <c r="A3582" s="888"/>
      <c r="B3582" s="870"/>
      <c r="C3582" s="870"/>
      <c r="D3582" s="870"/>
      <c r="E3582" s="864"/>
      <c r="F3582" s="865"/>
      <c r="G3582" s="865"/>
      <c r="H3582" s="865"/>
      <c r="I3582" s="865"/>
      <c r="J3582" s="865" t="s">
        <v>335</v>
      </c>
      <c r="K3582" s="864">
        <f>SUM(K3580:K3581)</f>
        <v>79.438415300918052</v>
      </c>
      <c r="L3582" s="866" t="s">
        <v>8</v>
      </c>
      <c r="M3582" s="173"/>
      <c r="N3582" s="419"/>
      <c r="O3582" s="203"/>
      <c r="P3582" s="218"/>
      <c r="Q3582" s="68"/>
      <c r="R3582" s="217"/>
    </row>
    <row r="3583" spans="1:25" s="208" customFormat="1" ht="30" customHeight="1" x14ac:dyDescent="0.35">
      <c r="A3583" s="241"/>
      <c r="B3583" s="506"/>
      <c r="C3583" s="506"/>
      <c r="D3583" s="506"/>
      <c r="E3583" s="453"/>
      <c r="F3583" s="1029" t="s">
        <v>302</v>
      </c>
      <c r="G3583" s="1058" t="s">
        <v>303</v>
      </c>
      <c r="H3583" s="1058"/>
      <c r="I3583" s="1058"/>
      <c r="J3583" s="1058"/>
      <c r="K3583" s="612">
        <v>1.07</v>
      </c>
      <c r="L3583" s="243"/>
      <c r="M3583" s="363"/>
      <c r="N3583" s="68"/>
      <c r="O3583" s="171"/>
      <c r="P3583" s="218"/>
      <c r="Q3583" s="68"/>
      <c r="R3583" s="217"/>
      <c r="S3583" s="203"/>
      <c r="T3583" s="203"/>
      <c r="U3583" s="203"/>
      <c r="V3583" s="203"/>
      <c r="W3583" s="203"/>
      <c r="X3583" s="203"/>
      <c r="Y3583" s="203"/>
    </row>
    <row r="3584" spans="1:25" ht="30" customHeight="1" x14ac:dyDescent="0.35">
      <c r="A3584" s="241"/>
      <c r="B3584" s="506"/>
      <c r="C3584" s="506"/>
      <c r="D3584" s="506"/>
      <c r="E3584" s="453"/>
      <c r="F3584" s="1030"/>
      <c r="G3584" s="1073" t="s">
        <v>2374</v>
      </c>
      <c r="H3584" s="1073"/>
      <c r="I3584" s="1073"/>
      <c r="J3584" s="1073"/>
      <c r="K3584" s="612">
        <v>1.08</v>
      </c>
      <c r="L3584" s="243"/>
      <c r="M3584" s="173"/>
      <c r="N3584" s="68"/>
      <c r="O3584" s="171"/>
      <c r="P3584" s="218"/>
      <c r="Q3584" s="68"/>
      <c r="R3584" s="217"/>
    </row>
    <row r="3585" spans="1:25" ht="30" customHeight="1" x14ac:dyDescent="0.35">
      <c r="A3585" s="869"/>
      <c r="B3585" s="865"/>
      <c r="C3585" s="870"/>
      <c r="D3585" s="870"/>
      <c r="E3585" s="870"/>
      <c r="F3585" s="870"/>
      <c r="G3585" s="870"/>
      <c r="H3585" s="870"/>
      <c r="I3585" s="870"/>
      <c r="J3585" s="865" t="s">
        <v>2356</v>
      </c>
      <c r="K3585" s="871">
        <f>+K3582*K3583/K3584</f>
        <v>78.702874418502148</v>
      </c>
      <c r="L3585" s="866" t="s">
        <v>8</v>
      </c>
      <c r="M3585" s="173"/>
      <c r="N3585" s="68"/>
      <c r="O3585" s="203"/>
      <c r="P3585" s="218"/>
      <c r="Q3585" s="68"/>
      <c r="R3585" s="217"/>
    </row>
    <row r="3586" spans="1:25" ht="30" customHeight="1" thickBot="1" x14ac:dyDescent="0.4">
      <c r="A3586" s="869"/>
      <c r="B3586" s="865"/>
      <c r="C3586" s="870"/>
      <c r="D3586" s="870"/>
      <c r="E3586" s="870"/>
      <c r="F3586" s="870"/>
      <c r="G3586" s="592" t="s">
        <v>2358</v>
      </c>
      <c r="H3586" s="870"/>
      <c r="I3586" s="870"/>
      <c r="J3586" s="583">
        <f>VLOOKUP(B3578,'Mil Cost Premiums for PUCs'!$A$4:$R$272,18,FALSE)</f>
        <v>1.1379589900046172</v>
      </c>
      <c r="K3586" s="871">
        <f>+K3585*J3586</f>
        <v>89.560643483738929</v>
      </c>
      <c r="L3586" s="866" t="s">
        <v>8</v>
      </c>
      <c r="M3586" s="173"/>
      <c r="N3586" s="68"/>
      <c r="O3586" s="203"/>
      <c r="P3586" s="216"/>
      <c r="Q3586" s="419"/>
      <c r="R3586" s="219"/>
    </row>
    <row r="3587" spans="1:25" ht="30" customHeight="1" thickBot="1" x14ac:dyDescent="0.4">
      <c r="A3587" s="481"/>
      <c r="B3587" s="482"/>
      <c r="C3587" s="482"/>
      <c r="D3587" s="482"/>
      <c r="E3587" s="482"/>
      <c r="F3587" s="482"/>
      <c r="G3587" s="482"/>
      <c r="H3587" s="482"/>
      <c r="I3587" s="482"/>
      <c r="J3587" s="482"/>
      <c r="K3587" s="482"/>
      <c r="L3587" s="483"/>
      <c r="M3587" s="173"/>
      <c r="N3587" s="68"/>
      <c r="O3587" s="203"/>
      <c r="P3587" s="216"/>
      <c r="Q3587" s="419"/>
      <c r="R3587" s="219"/>
    </row>
    <row r="3588" spans="1:25" ht="30" customHeight="1" x14ac:dyDescent="0.35">
      <c r="A3588" s="465" t="s">
        <v>278</v>
      </c>
      <c r="B3588" s="539">
        <v>7449</v>
      </c>
      <c r="C3588" s="1017" t="s">
        <v>1587</v>
      </c>
      <c r="D3588" s="1018"/>
      <c r="E3588" s="541" t="s">
        <v>280</v>
      </c>
      <c r="F3588" s="542" t="s">
        <v>8</v>
      </c>
      <c r="G3588" s="543" t="s">
        <v>285</v>
      </c>
      <c r="H3588" s="632">
        <v>2543</v>
      </c>
      <c r="I3588" s="541" t="s">
        <v>281</v>
      </c>
      <c r="J3588" s="1019" t="s">
        <v>2371</v>
      </c>
      <c r="K3588" s="1019"/>
      <c r="L3588" s="1020"/>
      <c r="M3588" s="173"/>
      <c r="N3588" s="68"/>
      <c r="O3588" s="203"/>
      <c r="P3588" s="218"/>
      <c r="Q3588" s="68"/>
      <c r="R3588" s="217"/>
    </row>
    <row r="3589" spans="1:25" ht="30" customHeight="1" x14ac:dyDescent="0.35">
      <c r="A3589" s="588" t="s">
        <v>298</v>
      </c>
      <c r="B3589" s="1038" t="s">
        <v>321</v>
      </c>
      <c r="C3589" s="1039"/>
      <c r="D3589" s="1040"/>
      <c r="E3589" s="23" t="s">
        <v>290</v>
      </c>
      <c r="F3589" s="23" t="s">
        <v>322</v>
      </c>
      <c r="G3589" s="1034" t="s">
        <v>323</v>
      </c>
      <c r="H3589" s="1035"/>
      <c r="I3589" s="509" t="s">
        <v>299</v>
      </c>
      <c r="J3589" s="509"/>
      <c r="K3589" s="595" t="s">
        <v>292</v>
      </c>
      <c r="L3589" s="739"/>
      <c r="M3589" s="230"/>
      <c r="N3589" s="68"/>
      <c r="O3589" s="208"/>
      <c r="P3589" s="218"/>
      <c r="Q3589" s="68"/>
      <c r="R3589" s="217"/>
    </row>
    <row r="3590" spans="1:25" ht="30" customHeight="1" x14ac:dyDescent="0.35">
      <c r="A3590" s="832" t="s">
        <v>1588</v>
      </c>
      <c r="B3590" s="1031" t="s">
        <v>1589</v>
      </c>
      <c r="C3590" s="1032"/>
      <c r="D3590" s="1033"/>
      <c r="E3590" s="453">
        <v>134</v>
      </c>
      <c r="F3590" s="446" t="s">
        <v>8</v>
      </c>
      <c r="G3590" s="454"/>
      <c r="H3590" s="446"/>
      <c r="I3590" s="446">
        <v>1.05</v>
      </c>
      <c r="J3590" s="446"/>
      <c r="K3590" s="453">
        <f>+E3590*I3590</f>
        <v>140.70000000000002</v>
      </c>
      <c r="L3590" s="243" t="s">
        <v>8</v>
      </c>
      <c r="M3590" s="173"/>
      <c r="N3590" s="68"/>
      <c r="O3590" s="203"/>
      <c r="P3590" s="218"/>
      <c r="Q3590" s="68"/>
      <c r="R3590" s="217"/>
      <c r="T3590" s="208"/>
      <c r="U3590" s="208"/>
      <c r="V3590" s="208"/>
      <c r="W3590" s="208"/>
      <c r="X3590" s="208"/>
    </row>
    <row r="3591" spans="1:25" ht="30" customHeight="1" x14ac:dyDescent="0.35">
      <c r="A3591" s="832" t="s">
        <v>397</v>
      </c>
      <c r="B3591" s="1082" t="s">
        <v>1590</v>
      </c>
      <c r="C3591" s="1083"/>
      <c r="D3591" s="1093"/>
      <c r="E3591" s="591">
        <v>4.8600000000000003</v>
      </c>
      <c r="F3591" s="446" t="s">
        <v>8</v>
      </c>
      <c r="G3591" s="605"/>
      <c r="H3591" s="508"/>
      <c r="I3591" s="446">
        <v>1.05</v>
      </c>
      <c r="J3591" s="446"/>
      <c r="K3591" s="453">
        <f>+E3591*I3591</f>
        <v>5.1030000000000006</v>
      </c>
      <c r="L3591" s="243" t="s">
        <v>8</v>
      </c>
      <c r="M3591" s="173"/>
      <c r="N3591" s="68"/>
      <c r="O3591" s="171"/>
      <c r="P3591" s="218"/>
      <c r="Q3591" s="68"/>
      <c r="R3591" s="217"/>
      <c r="Y3591" s="208"/>
    </row>
    <row r="3592" spans="1:25" ht="30" customHeight="1" x14ac:dyDescent="0.35">
      <c r="A3592" s="832" t="s">
        <v>1591</v>
      </c>
      <c r="B3592" s="1082" t="s">
        <v>3112</v>
      </c>
      <c r="C3592" s="1083"/>
      <c r="D3592" s="1093"/>
      <c r="E3592" s="591">
        <f>((3.54+6.61)/2)*960</f>
        <v>4872</v>
      </c>
      <c r="F3592" s="446" t="s">
        <v>10</v>
      </c>
      <c r="G3592" s="778">
        <f>+H3588</f>
        <v>2543</v>
      </c>
      <c r="H3592" s="548" t="s">
        <v>908</v>
      </c>
      <c r="I3592" s="446">
        <v>1.02</v>
      </c>
      <c r="J3592" s="446"/>
      <c r="K3592" s="453">
        <f>+E3592/G3592*I3592</f>
        <v>1.9541643727880458</v>
      </c>
      <c r="L3592" s="243" t="s">
        <v>8</v>
      </c>
      <c r="M3592" s="173"/>
      <c r="N3592" s="419"/>
      <c r="O3592" s="171"/>
      <c r="P3592" s="218"/>
      <c r="Q3592" s="68"/>
      <c r="R3592" s="217"/>
      <c r="S3592" s="208"/>
    </row>
    <row r="3593" spans="1:25" ht="30" customHeight="1" x14ac:dyDescent="0.35">
      <c r="A3593" s="832" t="s">
        <v>1591</v>
      </c>
      <c r="B3593" s="1082" t="s">
        <v>2418</v>
      </c>
      <c r="C3593" s="1083"/>
      <c r="D3593" s="1093"/>
      <c r="E3593" s="591">
        <f>((4.41+8.11)/2)*800</f>
        <v>5008</v>
      </c>
      <c r="F3593" s="446" t="s">
        <v>10</v>
      </c>
      <c r="G3593" s="778">
        <f>H3588</f>
        <v>2543</v>
      </c>
      <c r="H3593" s="548" t="s">
        <v>908</v>
      </c>
      <c r="I3593" s="446">
        <v>1.02</v>
      </c>
      <c r="J3593" s="446"/>
      <c r="K3593" s="453">
        <f>+E3593/G3593*I3593</f>
        <v>2.0087141171844278</v>
      </c>
      <c r="L3593" s="243" t="s">
        <v>8</v>
      </c>
      <c r="M3593" s="173"/>
      <c r="N3593" s="419"/>
      <c r="O3593" s="203"/>
      <c r="P3593" s="218"/>
      <c r="Q3593" s="68"/>
      <c r="R3593" s="217"/>
    </row>
    <row r="3594" spans="1:25" s="208" customFormat="1" ht="30" customHeight="1" x14ac:dyDescent="0.35">
      <c r="A3594" s="241" t="s">
        <v>1591</v>
      </c>
      <c r="B3594" s="1082" t="s">
        <v>1592</v>
      </c>
      <c r="C3594" s="1083"/>
      <c r="D3594" s="1093"/>
      <c r="E3594" s="591">
        <f>((185+353)/2)</f>
        <v>269</v>
      </c>
      <c r="F3594" s="446" t="s">
        <v>10</v>
      </c>
      <c r="G3594" s="778">
        <f>H3588</f>
        <v>2543</v>
      </c>
      <c r="H3594" s="548" t="s">
        <v>908</v>
      </c>
      <c r="I3594" s="446">
        <v>1.02</v>
      </c>
      <c r="J3594" s="446"/>
      <c r="K3594" s="453">
        <f>+(E3594*4)/G3594*I3594</f>
        <v>0.43158474243020056</v>
      </c>
      <c r="L3594" s="243" t="s">
        <v>8</v>
      </c>
      <c r="M3594" s="173"/>
      <c r="N3594" s="68"/>
      <c r="O3594" s="203"/>
      <c r="P3594" s="216"/>
      <c r="Q3594" s="419"/>
      <c r="R3594" s="219"/>
      <c r="S3594" s="203"/>
      <c r="T3594" s="203"/>
      <c r="U3594" s="203"/>
      <c r="V3594" s="203"/>
      <c r="W3594" s="203"/>
      <c r="X3594" s="203"/>
      <c r="Y3594" s="203"/>
    </row>
    <row r="3595" spans="1:25" ht="30" customHeight="1" x14ac:dyDescent="0.35">
      <c r="A3595" s="736"/>
      <c r="B3595" s="1059"/>
      <c r="C3595" s="1059"/>
      <c r="D3595" s="1059"/>
      <c r="E3595" s="453"/>
      <c r="F3595" s="446"/>
      <c r="G3595" s="519"/>
      <c r="H3595" s="508"/>
      <c r="I3595" s="446"/>
      <c r="J3595" s="446" t="s">
        <v>335</v>
      </c>
      <c r="K3595" s="453">
        <f>SUM(K3590:K3594)</f>
        <v>150.19746323240273</v>
      </c>
      <c r="L3595" s="243" t="s">
        <v>8</v>
      </c>
      <c r="M3595" s="173"/>
      <c r="N3595" s="68"/>
      <c r="O3595" s="203"/>
      <c r="P3595" s="216"/>
      <c r="Q3595" s="419"/>
      <c r="R3595" s="219"/>
    </row>
    <row r="3596" spans="1:25" ht="30" customHeight="1" x14ac:dyDescent="0.35">
      <c r="A3596" s="241"/>
      <c r="B3596" s="506"/>
      <c r="C3596" s="506"/>
      <c r="D3596" s="506"/>
      <c r="E3596" s="453"/>
      <c r="F3596" s="1029" t="s">
        <v>302</v>
      </c>
      <c r="G3596" s="1058" t="s">
        <v>303</v>
      </c>
      <c r="H3596" s="1058"/>
      <c r="I3596" s="1058"/>
      <c r="J3596" s="1058"/>
      <c r="K3596" s="612">
        <v>1.07</v>
      </c>
      <c r="L3596" s="243"/>
      <c r="M3596" s="173"/>
      <c r="N3596" s="68"/>
      <c r="O3596" s="203"/>
      <c r="P3596" s="218"/>
      <c r="Q3596" s="68"/>
      <c r="R3596" s="217"/>
    </row>
    <row r="3597" spans="1:25" ht="30" customHeight="1" x14ac:dyDescent="0.35">
      <c r="A3597" s="241"/>
      <c r="B3597" s="506"/>
      <c r="C3597" s="506"/>
      <c r="D3597" s="506"/>
      <c r="E3597" s="453"/>
      <c r="F3597" s="1030"/>
      <c r="G3597" s="1073" t="s">
        <v>2374</v>
      </c>
      <c r="H3597" s="1073"/>
      <c r="I3597" s="1073"/>
      <c r="J3597" s="1073"/>
      <c r="K3597" s="612">
        <v>1.08</v>
      </c>
      <c r="L3597" s="243"/>
      <c r="M3597" s="173"/>
      <c r="N3597" s="68"/>
      <c r="O3597" s="208"/>
      <c r="P3597" s="218"/>
      <c r="Q3597" s="68"/>
      <c r="R3597" s="217"/>
    </row>
    <row r="3598" spans="1:25" ht="30" customHeight="1" x14ac:dyDescent="0.35">
      <c r="A3598" s="241"/>
      <c r="B3598" s="446"/>
      <c r="C3598" s="458"/>
      <c r="D3598" s="458"/>
      <c r="E3598" s="458"/>
      <c r="F3598" s="458"/>
      <c r="G3598" s="458"/>
      <c r="H3598" s="458"/>
      <c r="I3598" s="458"/>
      <c r="J3598" s="446" t="s">
        <v>2356</v>
      </c>
      <c r="K3598" s="591">
        <f>+K3595*K3596/K3597</f>
        <v>148.80674598025087</v>
      </c>
      <c r="L3598" s="243" t="s">
        <v>8</v>
      </c>
      <c r="M3598" s="173"/>
      <c r="N3598" s="68"/>
      <c r="O3598" s="203"/>
      <c r="P3598" s="218"/>
      <c r="Q3598" s="68"/>
      <c r="R3598" s="217"/>
      <c r="T3598" s="208"/>
      <c r="U3598" s="208"/>
      <c r="V3598" s="208"/>
      <c r="W3598" s="208"/>
      <c r="X3598" s="208"/>
    </row>
    <row r="3599" spans="1:25" ht="30" customHeight="1" thickBot="1" x14ac:dyDescent="0.4">
      <c r="A3599" s="241"/>
      <c r="B3599" s="446"/>
      <c r="C3599" s="458"/>
      <c r="D3599" s="458"/>
      <c r="E3599" s="458"/>
      <c r="F3599" s="458"/>
      <c r="G3599" s="592" t="s">
        <v>2358</v>
      </c>
      <c r="H3599" s="458"/>
      <c r="I3599" s="458"/>
      <c r="J3599" s="583">
        <f>VLOOKUP(B3588,'Mil Cost Premiums for PUCs'!$A$4:$R$272,18,FALSE)</f>
        <v>1.3319480854780448</v>
      </c>
      <c r="K3599" s="591">
        <f>+K3598*J3599</f>
        <v>198.20286041461287</v>
      </c>
      <c r="L3599" s="243" t="s">
        <v>8</v>
      </c>
      <c r="M3599" s="173"/>
      <c r="N3599" s="68"/>
      <c r="O3599" s="171"/>
      <c r="P3599" s="218"/>
      <c r="Q3599" s="68"/>
      <c r="R3599" s="217"/>
      <c r="Y3599" s="208"/>
    </row>
    <row r="3600" spans="1:25" ht="30" customHeight="1" thickBot="1" x14ac:dyDescent="0.4">
      <c r="A3600" s="481"/>
      <c r="B3600" s="482"/>
      <c r="C3600" s="482"/>
      <c r="D3600" s="482"/>
      <c r="E3600" s="482"/>
      <c r="F3600" s="482"/>
      <c r="G3600" s="482"/>
      <c r="H3600" s="482"/>
      <c r="I3600" s="482"/>
      <c r="J3600" s="482"/>
      <c r="K3600" s="482"/>
      <c r="L3600" s="483"/>
      <c r="M3600" s="173"/>
      <c r="N3600" s="419"/>
      <c r="O3600" s="171"/>
      <c r="P3600" s="218"/>
      <c r="Q3600" s="68"/>
      <c r="R3600" s="217"/>
      <c r="S3600" s="208"/>
    </row>
    <row r="3601" spans="1:25" ht="30" customHeight="1" x14ac:dyDescent="0.35">
      <c r="A3601" s="465" t="s">
        <v>278</v>
      </c>
      <c r="B3601" s="539">
        <v>7511</v>
      </c>
      <c r="C3601" s="1060" t="s">
        <v>1593</v>
      </c>
      <c r="D3601" s="1061"/>
      <c r="E3601" s="541" t="s">
        <v>280</v>
      </c>
      <c r="F3601" s="542" t="s">
        <v>10</v>
      </c>
      <c r="G3601" s="560" t="s">
        <v>279</v>
      </c>
      <c r="H3601" s="569">
        <v>1</v>
      </c>
      <c r="I3601" s="541" t="s">
        <v>281</v>
      </c>
      <c r="J3601" s="1019" t="s">
        <v>296</v>
      </c>
      <c r="K3601" s="1019"/>
      <c r="L3601" s="1020"/>
      <c r="M3601" s="173"/>
      <c r="N3601" s="419"/>
      <c r="O3601" s="203"/>
      <c r="P3601" s="218"/>
      <c r="Q3601" s="68"/>
      <c r="R3601" s="217"/>
    </row>
    <row r="3602" spans="1:25" s="208" customFormat="1" ht="30" customHeight="1" x14ac:dyDescent="0.35">
      <c r="A3602" s="545" t="s">
        <v>288</v>
      </c>
      <c r="B3602" s="1051" t="s">
        <v>282</v>
      </c>
      <c r="C3602" s="1051"/>
      <c r="D3602" s="1051"/>
      <c r="E3602" s="561" t="s">
        <v>1594</v>
      </c>
      <c r="F3602" s="509" t="s">
        <v>289</v>
      </c>
      <c r="G3602" s="1094" t="s">
        <v>323</v>
      </c>
      <c r="H3602" s="1095"/>
      <c r="I3602" s="1052" t="s">
        <v>405</v>
      </c>
      <c r="J3602" s="1053"/>
      <c r="K3602" s="595" t="s">
        <v>292</v>
      </c>
      <c r="L3602" s="739"/>
      <c r="M3602" s="173"/>
      <c r="N3602" s="68"/>
      <c r="O3602" s="203"/>
      <c r="P3602" s="216"/>
      <c r="Q3602" s="419"/>
      <c r="R3602" s="219"/>
      <c r="S3602" s="203"/>
      <c r="T3602" s="203"/>
      <c r="U3602" s="203"/>
      <c r="V3602" s="203"/>
      <c r="W3602" s="203"/>
      <c r="X3602" s="203"/>
      <c r="Y3602" s="203"/>
    </row>
    <row r="3603" spans="1:25" ht="30" customHeight="1" x14ac:dyDescent="0.35">
      <c r="A3603" s="241">
        <v>75018</v>
      </c>
      <c r="B3603" s="1102" t="s">
        <v>1595</v>
      </c>
      <c r="C3603" s="1102"/>
      <c r="D3603" s="1102"/>
      <c r="E3603" s="453">
        <v>20</v>
      </c>
      <c r="F3603" s="694">
        <v>16700</v>
      </c>
      <c r="G3603" s="726" t="s">
        <v>520</v>
      </c>
      <c r="H3603" s="462"/>
      <c r="I3603" s="1091">
        <f>+'2021 MILCON Inflation Table'!$F$15</f>
        <v>1.0621074668527564</v>
      </c>
      <c r="J3603" s="1092"/>
      <c r="K3603" s="463">
        <f>+E3603*F3603*I3603</f>
        <v>354743.89392882062</v>
      </c>
      <c r="L3603" s="564" t="s">
        <v>10</v>
      </c>
      <c r="M3603" s="173"/>
      <c r="N3603" s="68"/>
      <c r="O3603" s="203"/>
      <c r="P3603" s="216"/>
      <c r="Q3603" s="419"/>
      <c r="R3603" s="219"/>
    </row>
    <row r="3604" spans="1:25" ht="30" customHeight="1" x14ac:dyDescent="0.35">
      <c r="A3604" s="241">
        <v>75018</v>
      </c>
      <c r="B3604" s="1102" t="s">
        <v>1596</v>
      </c>
      <c r="C3604" s="1102"/>
      <c r="D3604" s="1102"/>
      <c r="E3604" s="889">
        <v>16</v>
      </c>
      <c r="F3604" s="694">
        <v>23900</v>
      </c>
      <c r="G3604" s="726" t="s">
        <v>520</v>
      </c>
      <c r="H3604" s="462"/>
      <c r="I3604" s="1091">
        <f>+'2021 MILCON Inflation Table'!$F$15</f>
        <v>1.0621074668527564</v>
      </c>
      <c r="J3604" s="1092"/>
      <c r="K3604" s="463">
        <f>+E3604*F3604*I3604</f>
        <v>406149.89532449405</v>
      </c>
      <c r="L3604" s="564" t="s">
        <v>10</v>
      </c>
      <c r="M3604" s="173"/>
      <c r="N3604" s="68"/>
      <c r="O3604" s="203"/>
      <c r="P3604" s="218"/>
      <c r="Q3604" s="68"/>
      <c r="R3604" s="217"/>
    </row>
    <row r="3605" spans="1:25" ht="30" customHeight="1" x14ac:dyDescent="0.35">
      <c r="A3605" s="241">
        <v>75018</v>
      </c>
      <c r="B3605" s="1102" t="s">
        <v>1597</v>
      </c>
      <c r="C3605" s="1102"/>
      <c r="D3605" s="1102"/>
      <c r="E3605" s="453">
        <v>11</v>
      </c>
      <c r="F3605" s="694">
        <v>4760</v>
      </c>
      <c r="G3605" s="726" t="s">
        <v>520</v>
      </c>
      <c r="H3605" s="462"/>
      <c r="I3605" s="1091">
        <f>+'2021 MILCON Inflation Table'!$F$15</f>
        <v>1.0621074668527564</v>
      </c>
      <c r="J3605" s="1092"/>
      <c r="K3605" s="463">
        <f>+E3605*F3605*I3605</f>
        <v>55611.946964410323</v>
      </c>
      <c r="L3605" s="564" t="s">
        <v>10</v>
      </c>
      <c r="M3605" s="173"/>
      <c r="N3605" s="68"/>
      <c r="O3605" s="208"/>
      <c r="P3605" s="218"/>
      <c r="Q3605" s="68"/>
      <c r="R3605" s="217"/>
    </row>
    <row r="3606" spans="1:25" ht="30" customHeight="1" x14ac:dyDescent="0.35">
      <c r="A3606" s="241">
        <v>75018</v>
      </c>
      <c r="B3606" s="1102" t="s">
        <v>1598</v>
      </c>
      <c r="C3606" s="1102"/>
      <c r="D3606" s="1102"/>
      <c r="E3606" s="453">
        <v>8.3000000000000007</v>
      </c>
      <c r="F3606" s="694">
        <v>11340</v>
      </c>
      <c r="G3606" s="726" t="s">
        <v>520</v>
      </c>
      <c r="H3606" s="462"/>
      <c r="I3606" s="1091">
        <f>+'2021 MILCON Inflation Table'!$F$15</f>
        <v>1.0621074668527564</v>
      </c>
      <c r="J3606" s="1092"/>
      <c r="K3606" s="463">
        <f>+E3606*F3606*I3606</f>
        <v>99967.678995115144</v>
      </c>
      <c r="L3606" s="564" t="s">
        <v>10</v>
      </c>
      <c r="M3606" s="173"/>
      <c r="N3606" s="68"/>
      <c r="O3606" s="203"/>
      <c r="P3606" s="218"/>
      <c r="Q3606" s="68"/>
      <c r="R3606" s="217"/>
      <c r="T3606" s="208"/>
      <c r="U3606" s="208"/>
      <c r="V3606" s="208"/>
      <c r="W3606" s="208"/>
      <c r="X3606" s="208"/>
    </row>
    <row r="3607" spans="1:25" ht="30" customHeight="1" thickBot="1" x14ac:dyDescent="0.4">
      <c r="A3607" s="241"/>
      <c r="B3607" s="1031"/>
      <c r="C3607" s="1032"/>
      <c r="D3607" s="1033"/>
      <c r="E3607" s="553"/>
      <c r="F3607" s="706"/>
      <c r="G3607" s="553"/>
      <c r="H3607" s="707" t="s">
        <v>304</v>
      </c>
      <c r="I3607" s="458"/>
      <c r="J3607" s="510" t="s">
        <v>2356</v>
      </c>
      <c r="K3607" s="459">
        <f>AVERAGE(K3603:K3606)</f>
        <v>229118.35380321005</v>
      </c>
      <c r="L3607" s="564" t="s">
        <v>10</v>
      </c>
      <c r="M3607" s="173"/>
      <c r="N3607" s="68"/>
      <c r="O3607" s="203"/>
      <c r="P3607" s="218"/>
      <c r="Q3607" s="68"/>
      <c r="R3607" s="217"/>
      <c r="Y3607" s="208"/>
    </row>
    <row r="3608" spans="1:25" ht="30" customHeight="1" thickBot="1" x14ac:dyDescent="0.4">
      <c r="A3608" s="481"/>
      <c r="B3608" s="482"/>
      <c r="C3608" s="482"/>
      <c r="D3608" s="482"/>
      <c r="E3608" s="482"/>
      <c r="F3608" s="482"/>
      <c r="G3608" s="482"/>
      <c r="H3608" s="482"/>
      <c r="I3608" s="482"/>
      <c r="J3608" s="482"/>
      <c r="K3608" s="482"/>
      <c r="L3608" s="483"/>
      <c r="M3608" s="173"/>
      <c r="N3608" s="419"/>
      <c r="O3608" s="171"/>
      <c r="P3608" s="218"/>
      <c r="Q3608" s="68"/>
      <c r="R3608" s="217"/>
      <c r="S3608" s="208"/>
    </row>
    <row r="3609" spans="1:25" ht="30" customHeight="1" x14ac:dyDescent="0.35">
      <c r="A3609" s="465" t="s">
        <v>278</v>
      </c>
      <c r="B3609" s="539">
        <v>7512</v>
      </c>
      <c r="C3609" s="1017" t="s">
        <v>1599</v>
      </c>
      <c r="D3609" s="1018"/>
      <c r="E3609" s="541" t="s">
        <v>280</v>
      </c>
      <c r="F3609" s="542" t="s">
        <v>10</v>
      </c>
      <c r="G3609" s="553" t="s">
        <v>279</v>
      </c>
      <c r="H3609" s="555">
        <v>1</v>
      </c>
      <c r="I3609" s="541" t="s">
        <v>281</v>
      </c>
      <c r="J3609" s="1019" t="s">
        <v>2371</v>
      </c>
      <c r="K3609" s="1019"/>
      <c r="L3609" s="1020"/>
      <c r="M3609" s="173"/>
      <c r="N3609" s="419"/>
      <c r="O3609" s="171"/>
      <c r="P3609" s="218"/>
      <c r="Q3609" s="68"/>
      <c r="R3609" s="217"/>
    </row>
    <row r="3610" spans="1:25" s="208" customFormat="1" ht="30" customHeight="1" x14ac:dyDescent="0.35">
      <c r="A3610" s="588" t="s">
        <v>298</v>
      </c>
      <c r="B3610" s="1038" t="s">
        <v>321</v>
      </c>
      <c r="C3610" s="1039"/>
      <c r="D3610" s="1040"/>
      <c r="E3610" s="23" t="s">
        <v>290</v>
      </c>
      <c r="F3610" s="23" t="s">
        <v>322</v>
      </c>
      <c r="G3610" s="1034" t="s">
        <v>323</v>
      </c>
      <c r="H3610" s="1035"/>
      <c r="I3610" s="509" t="s">
        <v>299</v>
      </c>
      <c r="J3610" s="509"/>
      <c r="K3610" s="595" t="s">
        <v>292</v>
      </c>
      <c r="L3610" s="739"/>
      <c r="M3610" s="173"/>
      <c r="N3610" s="68"/>
      <c r="O3610" s="203"/>
      <c r="P3610" s="218"/>
      <c r="Q3610" s="68"/>
      <c r="R3610" s="217"/>
      <c r="S3610" s="203"/>
      <c r="T3610" s="203"/>
      <c r="U3610" s="203"/>
      <c r="V3610" s="203"/>
      <c r="W3610" s="203"/>
      <c r="X3610" s="203"/>
      <c r="Y3610" s="203"/>
    </row>
    <row r="3611" spans="1:25" ht="30" customHeight="1" x14ac:dyDescent="0.35">
      <c r="A3611" s="588"/>
      <c r="B3611" s="1082" t="s">
        <v>517</v>
      </c>
      <c r="C3611" s="1083"/>
      <c r="D3611" s="1093"/>
      <c r="E3611" s="23"/>
      <c r="F3611" s="23"/>
      <c r="G3611" s="486"/>
      <c r="H3611" s="487"/>
      <c r="I3611" s="647"/>
      <c r="J3611" s="647"/>
      <c r="K3611" s="23"/>
      <c r="L3611" s="715"/>
      <c r="M3611" s="173"/>
      <c r="N3611" s="68"/>
      <c r="O3611" s="203"/>
      <c r="P3611" s="216"/>
      <c r="Q3611" s="419"/>
      <c r="R3611" s="219"/>
    </row>
    <row r="3612" spans="1:25" ht="30" customHeight="1" x14ac:dyDescent="0.35">
      <c r="A3612" s="241" t="s">
        <v>1600</v>
      </c>
      <c r="B3612" s="1031" t="s">
        <v>1601</v>
      </c>
      <c r="C3612" s="1032"/>
      <c r="D3612" s="1033"/>
      <c r="E3612" s="41">
        <f>+(67.5+83.5)/2</f>
        <v>75.5</v>
      </c>
      <c r="F3612" s="3" t="s">
        <v>8</v>
      </c>
      <c r="G3612" s="716">
        <v>13455</v>
      </c>
      <c r="H3612" s="659" t="s">
        <v>520</v>
      </c>
      <c r="I3612" s="446">
        <v>1.02</v>
      </c>
      <c r="J3612" s="446"/>
      <c r="K3612" s="41">
        <f>+I3612*G3612*E3612</f>
        <v>1036169.55</v>
      </c>
      <c r="L3612" s="676" t="s">
        <v>10</v>
      </c>
      <c r="M3612" s="363"/>
      <c r="N3612" s="68"/>
      <c r="O3612" s="203"/>
      <c r="P3612" s="216"/>
      <c r="Q3612" s="419"/>
      <c r="R3612" s="219"/>
    </row>
    <row r="3613" spans="1:25" ht="30" customHeight="1" x14ac:dyDescent="0.35">
      <c r="A3613" s="241"/>
      <c r="B3613" s="1031" t="s">
        <v>2419</v>
      </c>
      <c r="C3613" s="1032"/>
      <c r="D3613" s="1033"/>
      <c r="E3613" s="41"/>
      <c r="F3613" s="3"/>
      <c r="G3613" s="716"/>
      <c r="H3613" s="659"/>
      <c r="I3613" s="446"/>
      <c r="J3613" s="446"/>
      <c r="K3613" s="41">
        <f>+K3612*0.8</f>
        <v>828935.64000000013</v>
      </c>
      <c r="L3613" s="676" t="s">
        <v>10</v>
      </c>
      <c r="M3613" s="173"/>
      <c r="N3613" s="68"/>
      <c r="O3613" s="203"/>
      <c r="P3613" s="218"/>
      <c r="Q3613" s="68"/>
      <c r="R3613" s="217"/>
    </row>
    <row r="3614" spans="1:25" ht="30" customHeight="1" x14ac:dyDescent="0.35">
      <c r="A3614" s="848" t="s">
        <v>493</v>
      </c>
      <c r="B3614" s="1031" t="s">
        <v>2252</v>
      </c>
      <c r="C3614" s="1032"/>
      <c r="D3614" s="1033"/>
      <c r="E3614" s="41">
        <f>+(4.79+7.16)/2</f>
        <v>5.9749999999999996</v>
      </c>
      <c r="F3614" s="3" t="s">
        <v>8</v>
      </c>
      <c r="G3614" s="716">
        <v>11238</v>
      </c>
      <c r="H3614" s="659" t="s">
        <v>520</v>
      </c>
      <c r="I3614" s="446">
        <v>1.02</v>
      </c>
      <c r="J3614" s="446"/>
      <c r="K3614" s="41">
        <f>+I3614*G3614*E3614</f>
        <v>68489.990999999995</v>
      </c>
      <c r="L3614" s="676" t="s">
        <v>10</v>
      </c>
      <c r="M3614" s="173"/>
      <c r="N3614" s="68"/>
      <c r="O3614" s="208"/>
      <c r="P3614" s="218"/>
      <c r="Q3614" s="68"/>
      <c r="R3614" s="217"/>
    </row>
    <row r="3615" spans="1:25" ht="30" customHeight="1" x14ac:dyDescent="0.35">
      <c r="A3615" s="848" t="s">
        <v>493</v>
      </c>
      <c r="B3615" s="1031" t="s">
        <v>1602</v>
      </c>
      <c r="C3615" s="1032"/>
      <c r="D3615" s="1033"/>
      <c r="E3615" s="41">
        <f>+(0.44+1.13)/2</f>
        <v>0.78499999999999992</v>
      </c>
      <c r="F3615" s="3" t="s">
        <v>8</v>
      </c>
      <c r="G3615" s="716">
        <v>11238</v>
      </c>
      <c r="H3615" s="659" t="s">
        <v>520</v>
      </c>
      <c r="I3615" s="446">
        <v>1.02</v>
      </c>
      <c r="J3615" s="446"/>
      <c r="K3615" s="41">
        <f>+I3615*G3615*E3615</f>
        <v>8998.266599999999</v>
      </c>
      <c r="L3615" s="676" t="s">
        <v>10</v>
      </c>
      <c r="M3615" s="173"/>
      <c r="N3615" s="68"/>
      <c r="O3615" s="203"/>
      <c r="P3615" s="218"/>
      <c r="Q3615" s="68"/>
      <c r="R3615" s="217"/>
      <c r="T3615" s="208"/>
      <c r="U3615" s="208"/>
      <c r="V3615" s="208"/>
      <c r="W3615" s="208"/>
      <c r="X3615" s="208"/>
    </row>
    <row r="3616" spans="1:25" ht="30" customHeight="1" x14ac:dyDescent="0.35">
      <c r="A3616" s="848" t="s">
        <v>1591</v>
      </c>
      <c r="B3616" s="1031" t="s">
        <v>2420</v>
      </c>
      <c r="C3616" s="1032"/>
      <c r="D3616" s="1033"/>
      <c r="E3616" s="890">
        <f>17.75+2.33</f>
        <v>20.079999999999998</v>
      </c>
      <c r="F3616" s="639" t="s">
        <v>6</v>
      </c>
      <c r="G3616" s="639">
        <v>650</v>
      </c>
      <c r="H3616" s="659" t="s">
        <v>1603</v>
      </c>
      <c r="I3616" s="446">
        <v>1.02</v>
      </c>
      <c r="J3616" s="446"/>
      <c r="K3616" s="890">
        <f>+I3616*G3616*E3616</f>
        <v>13313.039999999999</v>
      </c>
      <c r="L3616" s="243" t="s">
        <v>10</v>
      </c>
      <c r="M3616" s="173"/>
      <c r="N3616" s="68"/>
      <c r="O3616" s="203"/>
      <c r="P3616" s="218"/>
      <c r="Q3616" s="68"/>
      <c r="R3616" s="217"/>
      <c r="Y3616" s="208"/>
    </row>
    <row r="3617" spans="1:25" ht="30" customHeight="1" x14ac:dyDescent="0.35">
      <c r="A3617" s="848" t="s">
        <v>1591</v>
      </c>
      <c r="B3617" s="1082" t="s">
        <v>2421</v>
      </c>
      <c r="C3617" s="1083"/>
      <c r="D3617" s="1093"/>
      <c r="E3617" s="890">
        <v>494</v>
      </c>
      <c r="F3617" s="639" t="s">
        <v>10</v>
      </c>
      <c r="G3617" s="496">
        <v>4</v>
      </c>
      <c r="H3617" s="498" t="s">
        <v>10</v>
      </c>
      <c r="I3617" s="446">
        <v>1.02</v>
      </c>
      <c r="J3617" s="446"/>
      <c r="K3617" s="890">
        <f>+I3617*G3617*E3617</f>
        <v>2015.52</v>
      </c>
      <c r="L3617" s="243" t="s">
        <v>10</v>
      </c>
      <c r="M3617" s="173"/>
      <c r="N3617" s="419"/>
      <c r="O3617" s="171"/>
      <c r="P3617" s="218"/>
      <c r="Q3617" s="68"/>
      <c r="R3617" s="217"/>
      <c r="S3617" s="208"/>
    </row>
    <row r="3618" spans="1:25" ht="30" customHeight="1" x14ac:dyDescent="0.35">
      <c r="A3618" s="717"/>
      <c r="B3618" s="1102"/>
      <c r="C3618" s="1102"/>
      <c r="D3618" s="1102"/>
      <c r="E3618" s="453"/>
      <c r="F3618" s="446"/>
      <c r="G3618" s="42"/>
      <c r="H3618" s="3"/>
      <c r="I3618" s="446"/>
      <c r="J3618" s="446" t="s">
        <v>335</v>
      </c>
      <c r="K3618" s="679">
        <f>SUM(K3613:K3616)</f>
        <v>919736.93760000018</v>
      </c>
      <c r="L3618" s="243" t="s">
        <v>10</v>
      </c>
      <c r="M3618" s="173"/>
      <c r="N3618" s="419"/>
      <c r="O3618" s="171"/>
      <c r="P3618" s="218"/>
      <c r="Q3618" s="68"/>
      <c r="R3618" s="217"/>
    </row>
    <row r="3619" spans="1:25" s="208" customFormat="1" ht="30" customHeight="1" x14ac:dyDescent="0.35">
      <c r="A3619" s="241"/>
      <c r="B3619" s="506"/>
      <c r="C3619" s="506"/>
      <c r="D3619" s="506"/>
      <c r="E3619" s="453"/>
      <c r="F3619" s="1029" t="s">
        <v>302</v>
      </c>
      <c r="G3619" s="1058" t="s">
        <v>303</v>
      </c>
      <c r="H3619" s="1058"/>
      <c r="I3619" s="1058"/>
      <c r="J3619" s="1058"/>
      <c r="K3619" s="612">
        <v>1.07</v>
      </c>
      <c r="L3619" s="243"/>
      <c r="M3619" s="173"/>
      <c r="N3619" s="68"/>
      <c r="O3619" s="203"/>
      <c r="P3619" s="218"/>
      <c r="Q3619" s="68"/>
      <c r="R3619" s="217"/>
      <c r="S3619" s="203"/>
      <c r="T3619" s="203"/>
      <c r="U3619" s="203"/>
      <c r="V3619" s="203"/>
      <c r="W3619" s="203"/>
      <c r="X3619" s="203"/>
      <c r="Y3619" s="203"/>
    </row>
    <row r="3620" spans="1:25" ht="30" customHeight="1" x14ac:dyDescent="0.35">
      <c r="A3620" s="241"/>
      <c r="B3620" s="506"/>
      <c r="C3620" s="506"/>
      <c r="D3620" s="506"/>
      <c r="E3620" s="453"/>
      <c r="F3620" s="1030"/>
      <c r="G3620" s="1073" t="s">
        <v>2374</v>
      </c>
      <c r="H3620" s="1073"/>
      <c r="I3620" s="1073"/>
      <c r="J3620" s="1073"/>
      <c r="K3620" s="612">
        <v>1.08</v>
      </c>
      <c r="L3620" s="243"/>
      <c r="M3620" s="173"/>
      <c r="N3620" s="68"/>
      <c r="O3620" s="203"/>
      <c r="P3620" s="216"/>
      <c r="Q3620" s="419"/>
      <c r="R3620" s="219"/>
    </row>
    <row r="3621" spans="1:25" ht="30" customHeight="1" x14ac:dyDescent="0.35">
      <c r="A3621" s="241"/>
      <c r="B3621" s="446"/>
      <c r="C3621" s="458"/>
      <c r="D3621" s="458"/>
      <c r="E3621" s="458"/>
      <c r="F3621" s="458"/>
      <c r="G3621" s="458"/>
      <c r="H3621" s="458"/>
      <c r="I3621" s="458"/>
      <c r="J3621" s="446" t="s">
        <v>2356</v>
      </c>
      <c r="K3621" s="680">
        <f>+K3618*K3619/K3620</f>
        <v>911220.85484444466</v>
      </c>
      <c r="L3621" s="243" t="s">
        <v>10</v>
      </c>
      <c r="M3621" s="173"/>
      <c r="N3621" s="68"/>
      <c r="O3621" s="203"/>
      <c r="P3621" s="216"/>
      <c r="Q3621" s="419"/>
      <c r="R3621" s="219"/>
    </row>
    <row r="3622" spans="1:25" ht="30" customHeight="1" thickBot="1" x14ac:dyDescent="0.4">
      <c r="A3622" s="241"/>
      <c r="B3622" s="446"/>
      <c r="C3622" s="458"/>
      <c r="D3622" s="458"/>
      <c r="E3622" s="458"/>
      <c r="F3622" s="458"/>
      <c r="G3622" s="592" t="s">
        <v>2358</v>
      </c>
      <c r="H3622" s="458"/>
      <c r="I3622" s="458"/>
      <c r="J3622" s="583">
        <f>VLOOKUP(B3609,'Mil Cost Premiums for PUCs'!$A$4:$R$272,18,FALSE)</f>
        <v>1.1379589900046172</v>
      </c>
      <c r="K3622" s="591">
        <f>+K3621*J3622</f>
        <v>1036931.9636499281</v>
      </c>
      <c r="L3622" s="243" t="s">
        <v>10</v>
      </c>
      <c r="M3622" s="173"/>
      <c r="N3622" s="68"/>
      <c r="O3622" s="203"/>
      <c r="P3622" s="218"/>
      <c r="Q3622" s="68"/>
      <c r="R3622" s="217"/>
    </row>
    <row r="3623" spans="1:25" ht="30" customHeight="1" thickBot="1" x14ac:dyDescent="0.4">
      <c r="A3623" s="481"/>
      <c r="B3623" s="482"/>
      <c r="C3623" s="482"/>
      <c r="D3623" s="482"/>
      <c r="E3623" s="482"/>
      <c r="F3623" s="482"/>
      <c r="G3623" s="482"/>
      <c r="H3623" s="482"/>
      <c r="I3623" s="482"/>
      <c r="J3623" s="482"/>
      <c r="K3623" s="482"/>
      <c r="L3623" s="483"/>
      <c r="M3623" s="173"/>
      <c r="N3623" s="68"/>
      <c r="O3623" s="208"/>
      <c r="P3623" s="218"/>
      <c r="Q3623" s="68"/>
      <c r="R3623" s="217"/>
    </row>
    <row r="3624" spans="1:25" ht="30" customHeight="1" x14ac:dyDescent="0.35">
      <c r="A3624" s="465" t="s">
        <v>278</v>
      </c>
      <c r="B3624" s="539">
        <v>7513</v>
      </c>
      <c r="C3624" s="1017" t="s">
        <v>1604</v>
      </c>
      <c r="D3624" s="1018"/>
      <c r="E3624" s="541" t="s">
        <v>280</v>
      </c>
      <c r="F3624" s="542" t="s">
        <v>10</v>
      </c>
      <c r="G3624" s="553" t="s">
        <v>279</v>
      </c>
      <c r="H3624" s="875">
        <v>1</v>
      </c>
      <c r="I3624" s="541" t="s">
        <v>281</v>
      </c>
      <c r="J3624" s="1019" t="s">
        <v>2371</v>
      </c>
      <c r="K3624" s="1019"/>
      <c r="L3624" s="1020"/>
      <c r="M3624" s="173"/>
      <c r="N3624" s="68"/>
      <c r="O3624" s="203"/>
      <c r="P3624" s="218"/>
      <c r="Q3624" s="68"/>
      <c r="R3624" s="217"/>
      <c r="T3624" s="208"/>
      <c r="U3624" s="208"/>
      <c r="V3624" s="208"/>
      <c r="W3624" s="208"/>
      <c r="X3624" s="208"/>
    </row>
    <row r="3625" spans="1:25" ht="30" customHeight="1" x14ac:dyDescent="0.35">
      <c r="A3625" s="588" t="s">
        <v>298</v>
      </c>
      <c r="B3625" s="1038" t="s">
        <v>321</v>
      </c>
      <c r="C3625" s="1039"/>
      <c r="D3625" s="1040"/>
      <c r="E3625" s="23" t="s">
        <v>290</v>
      </c>
      <c r="F3625" s="23" t="s">
        <v>322</v>
      </c>
      <c r="G3625" s="1034" t="s">
        <v>323</v>
      </c>
      <c r="H3625" s="1035"/>
      <c r="I3625" s="509" t="s">
        <v>299</v>
      </c>
      <c r="J3625" s="509"/>
      <c r="K3625" s="595" t="s">
        <v>292</v>
      </c>
      <c r="L3625" s="739"/>
      <c r="M3625" s="173"/>
      <c r="N3625" s="68"/>
      <c r="O3625" s="203"/>
      <c r="P3625" s="218"/>
      <c r="Q3625" s="68"/>
      <c r="R3625" s="217"/>
      <c r="Y3625" s="208"/>
    </row>
    <row r="3626" spans="1:25" ht="30" customHeight="1" x14ac:dyDescent="0.35">
      <c r="A3626" s="588"/>
      <c r="B3626" s="516" t="s">
        <v>1605</v>
      </c>
      <c r="C3626" s="635"/>
      <c r="D3626" s="636"/>
      <c r="E3626" s="23"/>
      <c r="F3626" s="23"/>
      <c r="G3626" s="486"/>
      <c r="H3626" s="487"/>
      <c r="I3626" s="647"/>
      <c r="J3626" s="647"/>
      <c r="K3626" s="23"/>
      <c r="L3626" s="715"/>
      <c r="M3626" s="173"/>
      <c r="N3626" s="419"/>
      <c r="O3626" s="203"/>
      <c r="P3626" s="218"/>
      <c r="Q3626" s="68"/>
      <c r="R3626" s="217"/>
      <c r="S3626" s="208"/>
    </row>
    <row r="3627" spans="1:25" ht="30" customHeight="1" x14ac:dyDescent="0.35">
      <c r="A3627" s="717" t="s">
        <v>1606</v>
      </c>
      <c r="B3627" s="1031" t="s">
        <v>1607</v>
      </c>
      <c r="C3627" s="1032"/>
      <c r="D3627" s="1033"/>
      <c r="E3627" s="453">
        <f>+(162000+238000)/2</f>
        <v>200000</v>
      </c>
      <c r="F3627" s="3" t="s">
        <v>1608</v>
      </c>
      <c r="G3627" s="639">
        <v>18</v>
      </c>
      <c r="H3627" s="659" t="s">
        <v>1609</v>
      </c>
      <c r="I3627" s="665">
        <v>1.02</v>
      </c>
      <c r="J3627" s="446"/>
      <c r="K3627" s="453">
        <f>+E3627*G3627*I3627</f>
        <v>3672000</v>
      </c>
      <c r="L3627" s="243" t="s">
        <v>10</v>
      </c>
      <c r="M3627" s="173"/>
      <c r="N3627" s="419"/>
      <c r="O3627" s="203"/>
      <c r="P3627" s="218"/>
      <c r="Q3627" s="68"/>
      <c r="R3627" s="217"/>
    </row>
    <row r="3628" spans="1:25" s="208" customFormat="1" ht="30" customHeight="1" x14ac:dyDescent="0.35">
      <c r="A3628" s="717" t="s">
        <v>1606</v>
      </c>
      <c r="B3628" s="1031" t="s">
        <v>1610</v>
      </c>
      <c r="C3628" s="1032"/>
      <c r="D3628" s="1033"/>
      <c r="E3628" s="453">
        <f>+(162000+238000)/2</f>
        <v>200000</v>
      </c>
      <c r="F3628" s="3" t="s">
        <v>1608</v>
      </c>
      <c r="G3628" s="639">
        <v>9</v>
      </c>
      <c r="H3628" s="659" t="s">
        <v>1609</v>
      </c>
      <c r="I3628" s="665">
        <v>1.02</v>
      </c>
      <c r="J3628" s="446"/>
      <c r="K3628" s="453">
        <f>+E3628*G3628*I3628</f>
        <v>1836000</v>
      </c>
      <c r="L3628" s="243" t="s">
        <v>10</v>
      </c>
      <c r="M3628" s="173"/>
      <c r="N3628" s="68"/>
      <c r="O3628" s="203"/>
      <c r="P3628" s="218"/>
      <c r="Q3628" s="68"/>
      <c r="R3628" s="217"/>
      <c r="S3628" s="203"/>
      <c r="T3628" s="203"/>
      <c r="U3628" s="203"/>
      <c r="V3628" s="203"/>
      <c r="W3628" s="203"/>
      <c r="X3628" s="203"/>
      <c r="Y3628" s="203"/>
    </row>
    <row r="3629" spans="1:25" ht="30" customHeight="1" x14ac:dyDescent="0.35">
      <c r="A3629" s="717"/>
      <c r="B3629" s="446"/>
      <c r="C3629" s="458"/>
      <c r="D3629" s="458"/>
      <c r="E3629" s="453"/>
      <c r="F3629" s="446"/>
      <c r="G3629" s="454"/>
      <c r="H3629" s="446"/>
      <c r="I3629" s="446"/>
      <c r="J3629" s="446" t="s">
        <v>304</v>
      </c>
      <c r="K3629" s="453">
        <f>AVERAGE(K3627:K3628)</f>
        <v>2754000</v>
      </c>
      <c r="L3629" s="243" t="s">
        <v>10</v>
      </c>
      <c r="M3629" s="173"/>
      <c r="N3629" s="68"/>
      <c r="O3629" s="203"/>
      <c r="P3629" s="218"/>
      <c r="Q3629" s="68"/>
      <c r="R3629" s="217"/>
    </row>
    <row r="3630" spans="1:25" ht="30" customHeight="1" x14ac:dyDescent="0.35">
      <c r="A3630" s="241"/>
      <c r="B3630" s="506"/>
      <c r="C3630" s="506"/>
      <c r="D3630" s="506"/>
      <c r="E3630" s="453"/>
      <c r="F3630" s="1029" t="s">
        <v>302</v>
      </c>
      <c r="G3630" s="1058" t="s">
        <v>303</v>
      </c>
      <c r="H3630" s="1058"/>
      <c r="I3630" s="1058"/>
      <c r="J3630" s="1058"/>
      <c r="K3630" s="612">
        <v>1.07</v>
      </c>
      <c r="L3630" s="243"/>
      <c r="M3630" s="173"/>
      <c r="N3630" s="68"/>
      <c r="O3630" s="203"/>
      <c r="P3630" s="218"/>
      <c r="Q3630" s="68"/>
      <c r="R3630" s="217"/>
    </row>
    <row r="3631" spans="1:25" ht="30" customHeight="1" x14ac:dyDescent="0.35">
      <c r="A3631" s="241"/>
      <c r="B3631" s="506"/>
      <c r="C3631" s="506"/>
      <c r="D3631" s="506"/>
      <c r="E3631" s="453"/>
      <c r="F3631" s="1030"/>
      <c r="G3631" s="1073" t="s">
        <v>2374</v>
      </c>
      <c r="H3631" s="1073"/>
      <c r="I3631" s="1073"/>
      <c r="J3631" s="1073"/>
      <c r="K3631" s="612">
        <v>1.08</v>
      </c>
      <c r="L3631" s="243"/>
      <c r="M3631" s="173"/>
      <c r="N3631" s="68"/>
      <c r="O3631" s="203"/>
      <c r="P3631" s="218"/>
      <c r="Q3631" s="68"/>
      <c r="R3631" s="217"/>
    </row>
    <row r="3632" spans="1:25" ht="30" customHeight="1" x14ac:dyDescent="0.35">
      <c r="A3632" s="241"/>
      <c r="B3632" s="446"/>
      <c r="C3632" s="458"/>
      <c r="D3632" s="458"/>
      <c r="E3632" s="458"/>
      <c r="F3632" s="458"/>
      <c r="G3632" s="458"/>
      <c r="H3632" s="458"/>
      <c r="I3632" s="458"/>
      <c r="J3632" s="446" t="s">
        <v>2356</v>
      </c>
      <c r="K3632" s="591">
        <f>+K3629*K3630/K3631</f>
        <v>2728500</v>
      </c>
      <c r="L3632" s="243" t="s">
        <v>10</v>
      </c>
      <c r="M3632" s="173"/>
      <c r="N3632" s="68"/>
      <c r="O3632" s="203"/>
      <c r="P3632" s="218"/>
      <c r="Q3632" s="68"/>
      <c r="R3632" s="217"/>
    </row>
    <row r="3633" spans="1:25" ht="30" customHeight="1" thickBot="1" x14ac:dyDescent="0.4">
      <c r="A3633" s="241"/>
      <c r="B3633" s="446"/>
      <c r="C3633" s="458"/>
      <c r="D3633" s="458"/>
      <c r="E3633" s="458"/>
      <c r="F3633" s="458"/>
      <c r="G3633" s="592" t="s">
        <v>2358</v>
      </c>
      <c r="H3633" s="458"/>
      <c r="I3633" s="458"/>
      <c r="J3633" s="583">
        <f>VLOOKUP(B3624,'Mil Cost Premiums for PUCs'!$A$4:$R$272,18,FALSE)</f>
        <v>1.1199953840399997</v>
      </c>
      <c r="K3633" s="591">
        <f>+K3632*J3633</f>
        <v>3055907.4053531392</v>
      </c>
      <c r="L3633" s="243" t="s">
        <v>10</v>
      </c>
      <c r="M3633" s="173"/>
      <c r="N3633" s="68"/>
      <c r="O3633" s="171"/>
      <c r="P3633" s="218"/>
      <c r="Q3633" s="68"/>
      <c r="R3633" s="217"/>
    </row>
    <row r="3634" spans="1:25" ht="30" customHeight="1" thickBot="1" x14ac:dyDescent="0.4">
      <c r="A3634" s="481"/>
      <c r="B3634" s="482"/>
      <c r="C3634" s="482"/>
      <c r="D3634" s="482"/>
      <c r="E3634" s="482"/>
      <c r="F3634" s="482"/>
      <c r="G3634" s="482"/>
      <c r="H3634" s="482"/>
      <c r="I3634" s="482"/>
      <c r="J3634" s="482"/>
      <c r="K3634" s="482"/>
      <c r="L3634" s="483"/>
      <c r="M3634" s="173"/>
      <c r="N3634" s="68"/>
      <c r="O3634" s="171"/>
      <c r="P3634" s="218"/>
      <c r="Q3634" s="68"/>
      <c r="R3634" s="217"/>
    </row>
    <row r="3635" spans="1:25" ht="30" customHeight="1" x14ac:dyDescent="0.35">
      <c r="A3635" s="465" t="s">
        <v>278</v>
      </c>
      <c r="B3635" s="539">
        <v>7514</v>
      </c>
      <c r="C3635" s="1017" t="s">
        <v>1611</v>
      </c>
      <c r="D3635" s="1018"/>
      <c r="E3635" s="541" t="s">
        <v>280</v>
      </c>
      <c r="F3635" s="542" t="s">
        <v>10</v>
      </c>
      <c r="G3635" s="553" t="s">
        <v>279</v>
      </c>
      <c r="H3635" s="875">
        <v>1</v>
      </c>
      <c r="I3635" s="541" t="s">
        <v>281</v>
      </c>
      <c r="J3635" s="1019" t="s">
        <v>2371</v>
      </c>
      <c r="K3635" s="1019"/>
      <c r="L3635" s="1020"/>
      <c r="M3635" s="173"/>
      <c r="N3635" s="68"/>
      <c r="O3635" s="203"/>
      <c r="P3635" s="218"/>
      <c r="Q3635" s="68"/>
      <c r="R3635" s="217"/>
    </row>
    <row r="3636" spans="1:25" ht="30" customHeight="1" x14ac:dyDescent="0.35">
      <c r="A3636" s="588" t="s">
        <v>298</v>
      </c>
      <c r="B3636" s="1038" t="s">
        <v>321</v>
      </c>
      <c r="C3636" s="1039"/>
      <c r="D3636" s="1040"/>
      <c r="E3636" s="23" t="s">
        <v>290</v>
      </c>
      <c r="F3636" s="23" t="s">
        <v>322</v>
      </c>
      <c r="G3636" s="1350" t="s">
        <v>323</v>
      </c>
      <c r="H3636" s="1351"/>
      <c r="I3636" s="509" t="s">
        <v>299</v>
      </c>
      <c r="J3636" s="509"/>
      <c r="K3636" s="595" t="s">
        <v>292</v>
      </c>
      <c r="L3636" s="739"/>
      <c r="M3636" s="173"/>
      <c r="N3636" s="68"/>
      <c r="O3636" s="207"/>
      <c r="P3636" s="216"/>
      <c r="Q3636" s="419"/>
      <c r="R3636" s="219"/>
    </row>
    <row r="3637" spans="1:25" ht="30" customHeight="1" x14ac:dyDescent="0.35">
      <c r="A3637" s="717" t="s">
        <v>1612</v>
      </c>
      <c r="B3637" s="1102" t="s">
        <v>3113</v>
      </c>
      <c r="C3637" s="1102"/>
      <c r="D3637" s="1102"/>
      <c r="E3637" s="453">
        <f>+(7600+11100)/2</f>
        <v>9350</v>
      </c>
      <c r="F3637" s="639" t="s">
        <v>1613</v>
      </c>
      <c r="G3637" s="639">
        <v>20</v>
      </c>
      <c r="H3637" s="655" t="s">
        <v>1614</v>
      </c>
      <c r="I3637" s="665">
        <v>1.02</v>
      </c>
      <c r="J3637" s="446"/>
      <c r="K3637" s="453">
        <f>+E3637*G3637*I3637</f>
        <v>190740</v>
      </c>
      <c r="L3637" s="243" t="s">
        <v>10</v>
      </c>
      <c r="M3637" s="173"/>
      <c r="N3637" s="68"/>
      <c r="P3637" s="216"/>
      <c r="Q3637" s="419"/>
      <c r="R3637" s="219"/>
      <c r="T3637" s="27"/>
      <c r="U3637" s="171"/>
    </row>
    <row r="3638" spans="1:25" ht="30" customHeight="1" x14ac:dyDescent="0.35">
      <c r="A3638" s="241"/>
      <c r="B3638" s="506"/>
      <c r="C3638" s="506"/>
      <c r="D3638" s="506"/>
      <c r="E3638" s="453"/>
      <c r="F3638" s="1029" t="s">
        <v>302</v>
      </c>
      <c r="G3638" s="1058" t="s">
        <v>303</v>
      </c>
      <c r="H3638" s="1058"/>
      <c r="I3638" s="1058"/>
      <c r="J3638" s="1058"/>
      <c r="K3638" s="612">
        <v>1.07</v>
      </c>
      <c r="L3638" s="243"/>
      <c r="M3638" s="173"/>
      <c r="N3638" s="68"/>
      <c r="P3638" s="218"/>
      <c r="Q3638" s="68"/>
      <c r="R3638" s="217"/>
      <c r="U3638" s="171"/>
    </row>
    <row r="3639" spans="1:25" ht="30" customHeight="1" x14ac:dyDescent="0.35">
      <c r="A3639" s="241"/>
      <c r="B3639" s="506"/>
      <c r="C3639" s="506"/>
      <c r="D3639" s="506"/>
      <c r="E3639" s="453"/>
      <c r="F3639" s="1030"/>
      <c r="G3639" s="1073" t="s">
        <v>2374</v>
      </c>
      <c r="H3639" s="1073"/>
      <c r="I3639" s="1073"/>
      <c r="J3639" s="1073"/>
      <c r="K3639" s="612">
        <v>1.08</v>
      </c>
      <c r="L3639" s="243"/>
      <c r="M3639" s="173"/>
      <c r="N3639" s="68"/>
      <c r="P3639" s="27"/>
      <c r="Q3639" s="27"/>
      <c r="R3639" s="27"/>
      <c r="S3639" s="27"/>
      <c r="U3639" s="27"/>
      <c r="V3639" s="27"/>
      <c r="W3639" s="27"/>
      <c r="X3639" s="27"/>
    </row>
    <row r="3640" spans="1:25" ht="30" customHeight="1" x14ac:dyDescent="0.35">
      <c r="A3640" s="241"/>
      <c r="B3640" s="446"/>
      <c r="C3640" s="458"/>
      <c r="D3640" s="458"/>
      <c r="E3640" s="458"/>
      <c r="F3640" s="458"/>
      <c r="G3640" s="458"/>
      <c r="H3640" s="458"/>
      <c r="I3640" s="458"/>
      <c r="J3640" s="446" t="s">
        <v>2356</v>
      </c>
      <c r="K3640" s="591">
        <f>+K3637*K3638/K3639</f>
        <v>188973.88888888891</v>
      </c>
      <c r="L3640" s="243" t="s">
        <v>10</v>
      </c>
      <c r="M3640" s="173"/>
      <c r="N3640" s="68"/>
      <c r="T3640" s="213"/>
      <c r="U3640" s="208"/>
      <c r="V3640" s="208"/>
      <c r="W3640" s="208"/>
      <c r="X3640" s="208"/>
      <c r="Y3640" s="27"/>
    </row>
    <row r="3641" spans="1:25" ht="30" customHeight="1" thickBot="1" x14ac:dyDescent="0.4">
      <c r="A3641" s="241"/>
      <c r="B3641" s="446"/>
      <c r="C3641" s="458"/>
      <c r="D3641" s="458"/>
      <c r="E3641" s="458"/>
      <c r="F3641" s="458"/>
      <c r="G3641" s="592" t="s">
        <v>2358</v>
      </c>
      <c r="H3641" s="458"/>
      <c r="I3641" s="458"/>
      <c r="J3641" s="583">
        <f>VLOOKUP(B3635,'Mil Cost Premiums for PUCs'!$A$4:$R$272,18,FALSE)</f>
        <v>1.1199953840399997</v>
      </c>
      <c r="K3641" s="591">
        <f>+K3640*J3641</f>
        <v>211649.88325964336</v>
      </c>
      <c r="L3641" s="243" t="s">
        <v>10</v>
      </c>
      <c r="M3641" s="173"/>
      <c r="N3641" s="68"/>
      <c r="O3641" s="203"/>
      <c r="T3641" s="51"/>
      <c r="Y3641" s="208"/>
    </row>
    <row r="3642" spans="1:25" ht="30" customHeight="1" thickBot="1" x14ac:dyDescent="0.4">
      <c r="A3642" s="481"/>
      <c r="B3642" s="482"/>
      <c r="C3642" s="482"/>
      <c r="D3642" s="482"/>
      <c r="E3642" s="482"/>
      <c r="F3642" s="482"/>
      <c r="G3642" s="482"/>
      <c r="H3642" s="482"/>
      <c r="I3642" s="482"/>
      <c r="J3642" s="482"/>
      <c r="K3642" s="482"/>
      <c r="L3642" s="483"/>
      <c r="M3642" s="173"/>
      <c r="N3642" s="419"/>
      <c r="O3642" s="203"/>
      <c r="P3642" s="75"/>
      <c r="Q3642" s="75"/>
      <c r="R3642" s="75"/>
      <c r="S3642" s="213"/>
    </row>
    <row r="3643" spans="1:25" s="27" customFormat="1" ht="30" customHeight="1" x14ac:dyDescent="0.35">
      <c r="A3643" s="465" t="s">
        <v>278</v>
      </c>
      <c r="B3643" s="539">
        <v>7515</v>
      </c>
      <c r="C3643" s="1017" t="s">
        <v>1615</v>
      </c>
      <c r="D3643" s="1018"/>
      <c r="E3643" s="541" t="s">
        <v>280</v>
      </c>
      <c r="F3643" s="542" t="s">
        <v>10</v>
      </c>
      <c r="G3643" s="553" t="s">
        <v>279</v>
      </c>
      <c r="H3643" s="875">
        <v>1</v>
      </c>
      <c r="I3643" s="541" t="s">
        <v>281</v>
      </c>
      <c r="J3643" s="1019" t="s">
        <v>2371</v>
      </c>
      <c r="K3643" s="1019"/>
      <c r="L3643" s="1020"/>
      <c r="M3643" s="173"/>
      <c r="N3643" s="419"/>
      <c r="O3643" s="203"/>
      <c r="P3643" s="171"/>
      <c r="Q3643" s="171"/>
      <c r="R3643" s="171"/>
      <c r="S3643" s="51"/>
      <c r="T3643" s="203"/>
      <c r="U3643" s="203"/>
      <c r="V3643" s="203"/>
      <c r="W3643" s="203"/>
      <c r="X3643" s="203"/>
      <c r="Y3643" s="203"/>
    </row>
    <row r="3644" spans="1:25" s="208" customFormat="1" ht="30" customHeight="1" x14ac:dyDescent="0.35">
      <c r="A3644" s="588" t="s">
        <v>298</v>
      </c>
      <c r="B3644" s="1038" t="s">
        <v>321</v>
      </c>
      <c r="C3644" s="1039"/>
      <c r="D3644" s="1040"/>
      <c r="E3644" s="23" t="s">
        <v>290</v>
      </c>
      <c r="F3644" s="23" t="s">
        <v>322</v>
      </c>
      <c r="G3644" s="1034" t="s">
        <v>323</v>
      </c>
      <c r="H3644" s="1035"/>
      <c r="I3644" s="509" t="s">
        <v>299</v>
      </c>
      <c r="J3644" s="509"/>
      <c r="K3644" s="595" t="s">
        <v>292</v>
      </c>
      <c r="L3644" s="739"/>
      <c r="M3644" s="173"/>
      <c r="N3644" s="68"/>
      <c r="P3644" s="218"/>
      <c r="Q3644" s="68"/>
      <c r="R3644" s="217"/>
      <c r="S3644" s="203"/>
      <c r="T3644" s="203"/>
      <c r="U3644" s="203"/>
      <c r="V3644" s="203"/>
      <c r="W3644" s="203"/>
      <c r="X3644" s="203"/>
      <c r="Y3644" s="203"/>
    </row>
    <row r="3645" spans="1:25" ht="30" customHeight="1" x14ac:dyDescent="0.35">
      <c r="A3645" s="717" t="s">
        <v>1612</v>
      </c>
      <c r="B3645" s="1031" t="s">
        <v>3114</v>
      </c>
      <c r="C3645" s="1032"/>
      <c r="D3645" s="1033"/>
      <c r="E3645" s="453">
        <f>+(41600+58750)/2</f>
        <v>50175</v>
      </c>
      <c r="F3645" s="3" t="s">
        <v>1608</v>
      </c>
      <c r="G3645" s="639">
        <v>9</v>
      </c>
      <c r="H3645" s="659" t="s">
        <v>1609</v>
      </c>
      <c r="I3645" s="665">
        <v>1.02</v>
      </c>
      <c r="J3645" s="446"/>
      <c r="K3645" s="453">
        <f>+E3645*G3645*I3645</f>
        <v>460606.5</v>
      </c>
      <c r="L3645" s="243" t="s">
        <v>10</v>
      </c>
      <c r="M3645" s="173"/>
      <c r="N3645" s="68"/>
      <c r="O3645" s="203"/>
      <c r="P3645" s="218"/>
      <c r="Q3645" s="68"/>
      <c r="R3645" s="217"/>
      <c r="T3645" s="208"/>
      <c r="U3645" s="208"/>
      <c r="V3645" s="208"/>
      <c r="W3645" s="208"/>
      <c r="X3645" s="208"/>
    </row>
    <row r="3646" spans="1:25" ht="30" customHeight="1" x14ac:dyDescent="0.35">
      <c r="A3646" s="241"/>
      <c r="B3646" s="506"/>
      <c r="C3646" s="506"/>
      <c r="D3646" s="506"/>
      <c r="E3646" s="453"/>
      <c r="F3646" s="1029" t="s">
        <v>302</v>
      </c>
      <c r="G3646" s="1058" t="s">
        <v>303</v>
      </c>
      <c r="H3646" s="1058"/>
      <c r="I3646" s="1058"/>
      <c r="J3646" s="1058"/>
      <c r="K3646" s="612">
        <v>1.07</v>
      </c>
      <c r="L3646" s="243"/>
      <c r="M3646" s="173"/>
      <c r="N3646" s="68"/>
      <c r="O3646" s="203"/>
      <c r="P3646" s="218"/>
      <c r="Q3646" s="68"/>
      <c r="R3646" s="217"/>
      <c r="Y3646" s="208"/>
    </row>
    <row r="3647" spans="1:25" ht="30" customHeight="1" x14ac:dyDescent="0.35">
      <c r="A3647" s="241"/>
      <c r="B3647" s="506"/>
      <c r="C3647" s="506"/>
      <c r="D3647" s="506"/>
      <c r="E3647" s="453"/>
      <c r="F3647" s="1030"/>
      <c r="G3647" s="1073" t="s">
        <v>2374</v>
      </c>
      <c r="H3647" s="1073"/>
      <c r="I3647" s="1073"/>
      <c r="J3647" s="1073"/>
      <c r="K3647" s="612">
        <v>1.08</v>
      </c>
      <c r="L3647" s="243"/>
      <c r="M3647" s="173"/>
      <c r="N3647" s="214"/>
      <c r="O3647" s="203"/>
      <c r="P3647" s="218"/>
      <c r="Q3647" s="68"/>
      <c r="R3647" s="217"/>
      <c r="S3647" s="208"/>
    </row>
    <row r="3648" spans="1:25" ht="30" customHeight="1" x14ac:dyDescent="0.35">
      <c r="A3648" s="717"/>
      <c r="B3648" s="639"/>
      <c r="C3648" s="761"/>
      <c r="D3648" s="766"/>
      <c r="E3648" s="453"/>
      <c r="F3648" s="496"/>
      <c r="G3648" s="727"/>
      <c r="H3648" s="659"/>
      <c r="I3648" s="659"/>
      <c r="J3648" s="446" t="s">
        <v>2356</v>
      </c>
      <c r="K3648" s="591">
        <f>+K3645*K3646/K3647</f>
        <v>456341.625</v>
      </c>
      <c r="L3648" s="243" t="s">
        <v>10</v>
      </c>
      <c r="M3648" s="363"/>
      <c r="N3648" s="208"/>
      <c r="O3648" s="203"/>
      <c r="P3648" s="218"/>
      <c r="Q3648" s="68"/>
      <c r="R3648" s="217"/>
    </row>
    <row r="3649" spans="1:25" s="208" customFormat="1" ht="30" customHeight="1" thickBot="1" x14ac:dyDescent="0.4">
      <c r="A3649" s="241"/>
      <c r="B3649" s="446"/>
      <c r="C3649" s="458"/>
      <c r="D3649" s="458"/>
      <c r="E3649" s="458"/>
      <c r="F3649" s="458"/>
      <c r="G3649" s="592" t="s">
        <v>2358</v>
      </c>
      <c r="H3649" s="458"/>
      <c r="I3649" s="458"/>
      <c r="J3649" s="583">
        <f>VLOOKUP(B3643,'Mil Cost Premiums for PUCs'!$A$4:$R$272,18,FALSE)</f>
        <v>1.0905505199999999</v>
      </c>
      <c r="K3649" s="591">
        <f>+K3648*J3649</f>
        <v>497663.59644139494</v>
      </c>
      <c r="L3649" s="243" t="s">
        <v>10</v>
      </c>
      <c r="M3649" s="173"/>
      <c r="N3649" s="203"/>
      <c r="O3649" s="203"/>
      <c r="P3649" s="218"/>
      <c r="Q3649" s="68"/>
      <c r="R3649" s="217"/>
      <c r="S3649" s="203"/>
      <c r="T3649" s="203"/>
      <c r="U3649" s="203"/>
      <c r="V3649" s="203"/>
      <c r="W3649" s="203"/>
      <c r="X3649" s="203"/>
      <c r="Y3649" s="203"/>
    </row>
    <row r="3650" spans="1:25" ht="30" customHeight="1" thickBot="1" x14ac:dyDescent="0.4">
      <c r="A3650" s="481"/>
      <c r="B3650" s="482"/>
      <c r="C3650" s="482"/>
      <c r="D3650" s="482"/>
      <c r="E3650" s="482"/>
      <c r="F3650" s="482"/>
      <c r="G3650" s="482"/>
      <c r="H3650" s="482"/>
      <c r="I3650" s="482"/>
      <c r="J3650" s="482"/>
      <c r="K3650" s="482"/>
      <c r="L3650" s="483"/>
      <c r="M3650" s="173"/>
      <c r="O3650" s="171"/>
      <c r="P3650" s="218"/>
      <c r="Q3650" s="68"/>
      <c r="R3650" s="217"/>
    </row>
    <row r="3651" spans="1:25" ht="30" customHeight="1" x14ac:dyDescent="0.35">
      <c r="A3651" s="465" t="s">
        <v>278</v>
      </c>
      <c r="B3651" s="539">
        <v>7516</v>
      </c>
      <c r="C3651" s="1096" t="s">
        <v>3115</v>
      </c>
      <c r="D3651" s="1097"/>
      <c r="E3651" s="543" t="s">
        <v>279</v>
      </c>
      <c r="F3651" s="854">
        <v>1</v>
      </c>
      <c r="G3651" s="541" t="s">
        <v>280</v>
      </c>
      <c r="H3651" s="542" t="s">
        <v>10</v>
      </c>
      <c r="I3651" s="541" t="s">
        <v>281</v>
      </c>
      <c r="J3651" s="1098" t="s">
        <v>3116</v>
      </c>
      <c r="K3651" s="1099"/>
      <c r="L3651" s="1100"/>
      <c r="M3651" s="173"/>
      <c r="O3651" s="171"/>
      <c r="P3651" s="218"/>
      <c r="Q3651" s="68"/>
      <c r="R3651" s="217"/>
    </row>
    <row r="3652" spans="1:25" ht="30" customHeight="1" x14ac:dyDescent="0.35">
      <c r="A3652" s="545"/>
      <c r="B3652" s="1021" t="s">
        <v>2921</v>
      </c>
      <c r="C3652" s="1021"/>
      <c r="D3652" s="1021"/>
      <c r="E3652" s="509" t="s">
        <v>290</v>
      </c>
      <c r="F3652" s="509" t="s">
        <v>322</v>
      </c>
      <c r="G3652" s="1034" t="s">
        <v>323</v>
      </c>
      <c r="H3652" s="1035"/>
      <c r="I3652" s="509" t="s">
        <v>327</v>
      </c>
      <c r="J3652" s="509" t="s">
        <v>419</v>
      </c>
      <c r="K3652" s="1012" t="s">
        <v>2356</v>
      </c>
      <c r="L3652" s="1013"/>
      <c r="M3652" s="173"/>
      <c r="N3652" s="68"/>
      <c r="O3652" s="203"/>
      <c r="P3652" s="218"/>
      <c r="Q3652" s="68"/>
      <c r="R3652" s="217"/>
    </row>
    <row r="3653" spans="1:25" ht="30" customHeight="1" thickBot="1" x14ac:dyDescent="0.4">
      <c r="A3653" s="546"/>
      <c r="B3653" s="1014">
        <v>20940.099999999999</v>
      </c>
      <c r="C3653" s="1014"/>
      <c r="D3653" s="1014"/>
      <c r="E3653" s="547"/>
      <c r="F3653" s="548"/>
      <c r="G3653" s="1015"/>
      <c r="H3653" s="1016"/>
      <c r="I3653" s="549"/>
      <c r="J3653" s="550">
        <v>1.0202</v>
      </c>
      <c r="K3653" s="551">
        <f>B3653*J3653</f>
        <v>21363.09002</v>
      </c>
      <c r="L3653" s="552" t="s">
        <v>10</v>
      </c>
      <c r="M3653" s="173"/>
      <c r="N3653" s="68"/>
      <c r="O3653" s="203"/>
      <c r="P3653" s="216"/>
      <c r="Q3653" s="419"/>
      <c r="R3653" s="219"/>
    </row>
    <row r="3654" spans="1:25" ht="30" customHeight="1" thickBot="1" x14ac:dyDescent="0.4">
      <c r="A3654" s="1086"/>
      <c r="B3654" s="1087"/>
      <c r="C3654" s="1087"/>
      <c r="D3654" s="1087"/>
      <c r="E3654" s="1087"/>
      <c r="F3654" s="1087"/>
      <c r="G3654" s="1087"/>
      <c r="H3654" s="1087"/>
      <c r="I3654" s="1087"/>
      <c r="J3654" s="1087"/>
      <c r="K3654" s="1087"/>
      <c r="L3654" s="1088"/>
      <c r="M3654" s="173"/>
      <c r="N3654" s="68"/>
      <c r="O3654" s="203"/>
      <c r="P3654" s="216"/>
      <c r="Q3654" s="419"/>
      <c r="R3654" s="219"/>
    </row>
    <row r="3655" spans="1:25" ht="30" customHeight="1" x14ac:dyDescent="0.35">
      <c r="A3655" s="465" t="s">
        <v>278</v>
      </c>
      <c r="B3655" s="539">
        <v>7517</v>
      </c>
      <c r="C3655" s="1017" t="s">
        <v>1616</v>
      </c>
      <c r="D3655" s="1018"/>
      <c r="E3655" s="541" t="s">
        <v>280</v>
      </c>
      <c r="F3655" s="542" t="s">
        <v>10</v>
      </c>
      <c r="G3655" s="553" t="s">
        <v>279</v>
      </c>
      <c r="H3655" s="875">
        <v>1</v>
      </c>
      <c r="I3655" s="541" t="s">
        <v>281</v>
      </c>
      <c r="J3655" s="1019" t="s">
        <v>2371</v>
      </c>
      <c r="K3655" s="1019"/>
      <c r="L3655" s="1020"/>
      <c r="M3655" s="173"/>
      <c r="N3655" s="68"/>
      <c r="O3655" s="203"/>
      <c r="P3655" s="218"/>
      <c r="Q3655" s="68"/>
      <c r="R3655" s="217"/>
    </row>
    <row r="3656" spans="1:25" ht="30" customHeight="1" x14ac:dyDescent="0.35">
      <c r="A3656" s="588" t="s">
        <v>298</v>
      </c>
      <c r="B3656" s="1038" t="s">
        <v>321</v>
      </c>
      <c r="C3656" s="1039"/>
      <c r="D3656" s="1040"/>
      <c r="E3656" s="23" t="s">
        <v>290</v>
      </c>
      <c r="F3656" s="23" t="s">
        <v>322</v>
      </c>
      <c r="G3656" s="1034" t="s">
        <v>323</v>
      </c>
      <c r="H3656" s="1035"/>
      <c r="I3656" s="509" t="s">
        <v>299</v>
      </c>
      <c r="J3656" s="509"/>
      <c r="K3656" s="595" t="s">
        <v>292</v>
      </c>
      <c r="L3656" s="739"/>
      <c r="M3656" s="173"/>
      <c r="N3656" s="68"/>
      <c r="O3656" s="208"/>
      <c r="P3656" s="218"/>
      <c r="Q3656" s="68"/>
      <c r="R3656" s="217"/>
    </row>
    <row r="3657" spans="1:25" ht="30" customHeight="1" x14ac:dyDescent="0.35">
      <c r="A3657" s="588"/>
      <c r="B3657" s="1031" t="s">
        <v>1617</v>
      </c>
      <c r="C3657" s="1032"/>
      <c r="D3657" s="1033"/>
      <c r="E3657" s="23"/>
      <c r="F3657" s="23"/>
      <c r="G3657" s="486"/>
      <c r="H3657" s="487"/>
      <c r="I3657" s="647"/>
      <c r="J3657" s="647"/>
      <c r="K3657" s="23"/>
      <c r="L3657" s="715"/>
      <c r="M3657" s="173"/>
      <c r="N3657" s="68"/>
      <c r="O3657" s="203"/>
      <c r="P3657" s="218"/>
      <c r="Q3657" s="68"/>
      <c r="R3657" s="217"/>
      <c r="T3657" s="208"/>
      <c r="U3657" s="208"/>
      <c r="V3657" s="208"/>
      <c r="W3657" s="208"/>
      <c r="X3657" s="208"/>
    </row>
    <row r="3658" spans="1:25" ht="30" customHeight="1" x14ac:dyDescent="0.35">
      <c r="A3658" s="717" t="s">
        <v>300</v>
      </c>
      <c r="B3658" s="1082" t="s">
        <v>1618</v>
      </c>
      <c r="C3658" s="1083"/>
      <c r="D3658" s="1093"/>
      <c r="E3658" s="453">
        <f>+(29+46.25)/2</f>
        <v>37.625</v>
      </c>
      <c r="F3658" s="3" t="s">
        <v>8</v>
      </c>
      <c r="G3658" s="639">
        <v>240</v>
      </c>
      <c r="H3658" s="659" t="s">
        <v>520</v>
      </c>
      <c r="I3658" s="665">
        <v>1.02</v>
      </c>
      <c r="J3658" s="446"/>
      <c r="K3658" s="453">
        <f>+E3658*G3658*I3658</f>
        <v>9210.6</v>
      </c>
      <c r="L3658" s="243" t="s">
        <v>10</v>
      </c>
      <c r="M3658" s="173"/>
      <c r="N3658" s="68"/>
      <c r="O3658" s="171"/>
      <c r="P3658" s="218"/>
      <c r="Q3658" s="68"/>
      <c r="R3658" s="217"/>
      <c r="Y3658" s="208"/>
    </row>
    <row r="3659" spans="1:25" ht="30" customHeight="1" x14ac:dyDescent="0.35">
      <c r="A3659" s="241"/>
      <c r="B3659" s="506"/>
      <c r="C3659" s="506"/>
      <c r="D3659" s="506"/>
      <c r="E3659" s="453"/>
      <c r="F3659" s="1029" t="s">
        <v>302</v>
      </c>
      <c r="G3659" s="1058" t="s">
        <v>303</v>
      </c>
      <c r="H3659" s="1058"/>
      <c r="I3659" s="1058"/>
      <c r="J3659" s="1058"/>
      <c r="K3659" s="612">
        <v>1.07</v>
      </c>
      <c r="L3659" s="243"/>
      <c r="M3659" s="173"/>
      <c r="N3659" s="419"/>
      <c r="O3659" s="171"/>
      <c r="P3659" s="218"/>
      <c r="Q3659" s="68"/>
      <c r="R3659" s="217"/>
      <c r="S3659" s="208"/>
    </row>
    <row r="3660" spans="1:25" ht="30" customHeight="1" x14ac:dyDescent="0.35">
      <c r="A3660" s="241"/>
      <c r="B3660" s="506"/>
      <c r="C3660" s="506"/>
      <c r="D3660" s="506"/>
      <c r="E3660" s="453"/>
      <c r="F3660" s="1030"/>
      <c r="G3660" s="1073" t="s">
        <v>2374</v>
      </c>
      <c r="H3660" s="1073"/>
      <c r="I3660" s="1073"/>
      <c r="J3660" s="1073"/>
      <c r="K3660" s="612">
        <v>1.08</v>
      </c>
      <c r="L3660" s="243"/>
      <c r="M3660" s="173"/>
      <c r="N3660" s="419"/>
      <c r="O3660" s="203"/>
      <c r="P3660" s="218"/>
      <c r="Q3660" s="68"/>
      <c r="R3660" s="217"/>
    </row>
    <row r="3661" spans="1:25" s="208" customFormat="1" ht="30" customHeight="1" x14ac:dyDescent="0.35">
      <c r="A3661" s="717"/>
      <c r="B3661" s="639"/>
      <c r="C3661" s="761"/>
      <c r="D3661" s="766"/>
      <c r="E3661" s="453"/>
      <c r="F3661" s="496"/>
      <c r="G3661" s="727"/>
      <c r="H3661" s="659"/>
      <c r="I3661" s="659"/>
      <c r="J3661" s="446" t="s">
        <v>2356</v>
      </c>
      <c r="K3661" s="591">
        <f>+K3658*K3659/K3660</f>
        <v>9125.3166666666657</v>
      </c>
      <c r="L3661" s="243" t="s">
        <v>10</v>
      </c>
      <c r="M3661" s="173"/>
      <c r="N3661" s="68"/>
      <c r="O3661" s="203"/>
      <c r="P3661" s="216"/>
      <c r="Q3661" s="419"/>
      <c r="R3661" s="219"/>
      <c r="S3661" s="203"/>
      <c r="T3661" s="203"/>
      <c r="U3661" s="203"/>
      <c r="V3661" s="203"/>
      <c r="W3661" s="203"/>
      <c r="X3661" s="203"/>
      <c r="Y3661" s="203"/>
    </row>
    <row r="3662" spans="1:25" ht="30" customHeight="1" thickBot="1" x14ac:dyDescent="0.4">
      <c r="A3662" s="241"/>
      <c r="B3662" s="446"/>
      <c r="C3662" s="458"/>
      <c r="D3662" s="458"/>
      <c r="E3662" s="458"/>
      <c r="F3662" s="458"/>
      <c r="G3662" s="592" t="s">
        <v>2358</v>
      </c>
      <c r="H3662" s="458"/>
      <c r="I3662" s="458"/>
      <c r="J3662" s="583">
        <f>VLOOKUP(B3655,'Mil Cost Premiums for PUCs'!$A$4:$R$272,18,FALSE)</f>
        <v>1.0209999999999999</v>
      </c>
      <c r="K3662" s="591">
        <f>+K3661*J3662</f>
        <v>9316.9483166666651</v>
      </c>
      <c r="L3662" s="243" t="s">
        <v>10</v>
      </c>
      <c r="M3662" s="364"/>
      <c r="N3662" s="68"/>
      <c r="O3662" s="203"/>
      <c r="P3662" s="216"/>
      <c r="Q3662" s="419"/>
      <c r="R3662" s="219"/>
    </row>
    <row r="3663" spans="1:25" ht="30" customHeight="1" thickBot="1" x14ac:dyDescent="0.4">
      <c r="A3663" s="481"/>
      <c r="B3663" s="482"/>
      <c r="C3663" s="482"/>
      <c r="D3663" s="482"/>
      <c r="E3663" s="482"/>
      <c r="F3663" s="482"/>
      <c r="G3663" s="482"/>
      <c r="H3663" s="482"/>
      <c r="I3663" s="482"/>
      <c r="J3663" s="482"/>
      <c r="K3663" s="482"/>
      <c r="L3663" s="483"/>
      <c r="M3663" s="173"/>
      <c r="N3663" s="68"/>
      <c r="O3663" s="208"/>
      <c r="P3663" s="218"/>
      <c r="Q3663" s="68"/>
      <c r="R3663" s="217"/>
    </row>
    <row r="3664" spans="1:25" ht="30" customHeight="1" x14ac:dyDescent="0.35">
      <c r="A3664" s="465" t="s">
        <v>278</v>
      </c>
      <c r="B3664" s="539">
        <v>7518</v>
      </c>
      <c r="C3664" s="1017" t="s">
        <v>1619</v>
      </c>
      <c r="D3664" s="1018"/>
      <c r="E3664" s="541" t="s">
        <v>280</v>
      </c>
      <c r="F3664" s="542" t="s">
        <v>10</v>
      </c>
      <c r="G3664" s="553" t="s">
        <v>279</v>
      </c>
      <c r="H3664" s="875">
        <v>1</v>
      </c>
      <c r="I3664" s="541" t="s">
        <v>281</v>
      </c>
      <c r="J3664" s="1019" t="s">
        <v>2371</v>
      </c>
      <c r="K3664" s="1019"/>
      <c r="L3664" s="1020"/>
      <c r="M3664" s="173"/>
      <c r="N3664" s="68"/>
      <c r="O3664" s="203"/>
      <c r="P3664" s="218"/>
      <c r="Q3664" s="68"/>
      <c r="R3664" s="217"/>
      <c r="T3664" s="208"/>
      <c r="U3664" s="208"/>
      <c r="V3664" s="208"/>
      <c r="W3664" s="208"/>
      <c r="X3664" s="208"/>
    </row>
    <row r="3665" spans="1:25" ht="30" customHeight="1" x14ac:dyDescent="0.35">
      <c r="A3665" s="588" t="s">
        <v>298</v>
      </c>
      <c r="B3665" s="1038" t="s">
        <v>321</v>
      </c>
      <c r="C3665" s="1039"/>
      <c r="D3665" s="1040"/>
      <c r="E3665" s="23" t="s">
        <v>290</v>
      </c>
      <c r="F3665" s="23" t="s">
        <v>322</v>
      </c>
      <c r="G3665" s="1034" t="s">
        <v>323</v>
      </c>
      <c r="H3665" s="1035"/>
      <c r="I3665" s="509" t="s">
        <v>299</v>
      </c>
      <c r="J3665" s="509"/>
      <c r="K3665" s="595" t="s">
        <v>292</v>
      </c>
      <c r="L3665" s="739"/>
      <c r="M3665" s="173"/>
      <c r="N3665" s="68"/>
      <c r="O3665" s="203"/>
      <c r="P3665" s="218"/>
      <c r="Q3665" s="68"/>
      <c r="R3665" s="217"/>
      <c r="Y3665" s="208"/>
    </row>
    <row r="3666" spans="1:25" ht="30" customHeight="1" x14ac:dyDescent="0.35">
      <c r="A3666" s="588"/>
      <c r="B3666" s="1082" t="s">
        <v>1620</v>
      </c>
      <c r="C3666" s="1083"/>
      <c r="D3666" s="1093"/>
      <c r="E3666" s="23"/>
      <c r="F3666" s="23"/>
      <c r="G3666" s="486"/>
      <c r="H3666" s="487"/>
      <c r="I3666" s="647"/>
      <c r="J3666" s="647"/>
      <c r="K3666" s="23"/>
      <c r="L3666" s="715"/>
      <c r="M3666" s="173"/>
      <c r="N3666" s="68"/>
      <c r="O3666" s="171"/>
      <c r="P3666" s="218"/>
      <c r="Q3666" s="68"/>
      <c r="R3666" s="217"/>
      <c r="S3666" s="208"/>
    </row>
    <row r="3667" spans="1:25" ht="30" customHeight="1" x14ac:dyDescent="0.35">
      <c r="A3667" s="717" t="s">
        <v>300</v>
      </c>
      <c r="B3667" s="1031" t="s">
        <v>1621</v>
      </c>
      <c r="C3667" s="1032"/>
      <c r="D3667" s="1033"/>
      <c r="E3667" s="453">
        <f>+(6800+12500)/2</f>
        <v>9650</v>
      </c>
      <c r="F3667" s="3" t="s">
        <v>8</v>
      </c>
      <c r="G3667" s="639">
        <v>90</v>
      </c>
      <c r="H3667" s="659" t="s">
        <v>1622</v>
      </c>
      <c r="I3667" s="665">
        <v>1.02</v>
      </c>
      <c r="J3667" s="446"/>
      <c r="K3667" s="453">
        <f>+E3667*G3667*I3667</f>
        <v>885870</v>
      </c>
      <c r="L3667" s="243" t="s">
        <v>10</v>
      </c>
      <c r="M3667" s="173"/>
      <c r="N3667" s="419"/>
      <c r="O3667" s="171"/>
      <c r="P3667" s="218"/>
      <c r="Q3667" s="68"/>
      <c r="R3667" s="217"/>
    </row>
    <row r="3668" spans="1:25" s="208" customFormat="1" ht="30" customHeight="1" x14ac:dyDescent="0.35">
      <c r="A3668" s="241"/>
      <c r="B3668" s="506"/>
      <c r="C3668" s="506"/>
      <c r="D3668" s="506"/>
      <c r="E3668" s="453"/>
      <c r="F3668" s="1029" t="s">
        <v>302</v>
      </c>
      <c r="G3668" s="1058" t="s">
        <v>303</v>
      </c>
      <c r="H3668" s="1058"/>
      <c r="I3668" s="1058"/>
      <c r="J3668" s="1058"/>
      <c r="K3668" s="612">
        <v>1.07</v>
      </c>
      <c r="L3668" s="243"/>
      <c r="M3668" s="173"/>
      <c r="N3668" s="419"/>
      <c r="O3668" s="203"/>
      <c r="P3668" s="218"/>
      <c r="Q3668" s="68"/>
      <c r="R3668" s="217"/>
      <c r="S3668" s="203"/>
      <c r="T3668" s="203"/>
      <c r="U3668" s="203"/>
      <c r="V3668" s="203"/>
      <c r="W3668" s="203"/>
      <c r="X3668" s="203"/>
      <c r="Y3668" s="203"/>
    </row>
    <row r="3669" spans="1:25" ht="30" customHeight="1" x14ac:dyDescent="0.35">
      <c r="A3669" s="241"/>
      <c r="B3669" s="506"/>
      <c r="C3669" s="506"/>
      <c r="D3669" s="506"/>
      <c r="E3669" s="453"/>
      <c r="F3669" s="1030"/>
      <c r="G3669" s="1073" t="s">
        <v>2374</v>
      </c>
      <c r="H3669" s="1073"/>
      <c r="I3669" s="1073"/>
      <c r="J3669" s="1073"/>
      <c r="K3669" s="612">
        <v>1.08</v>
      </c>
      <c r="L3669" s="243"/>
      <c r="M3669" s="173"/>
      <c r="N3669" s="68"/>
      <c r="O3669" s="203"/>
      <c r="P3669" s="216"/>
      <c r="Q3669" s="419"/>
      <c r="R3669" s="219"/>
    </row>
    <row r="3670" spans="1:25" ht="30" customHeight="1" x14ac:dyDescent="0.35">
      <c r="A3670" s="717"/>
      <c r="B3670" s="639"/>
      <c r="C3670" s="761"/>
      <c r="D3670" s="766"/>
      <c r="E3670" s="453"/>
      <c r="F3670" s="496"/>
      <c r="G3670" s="727"/>
      <c r="H3670" s="659"/>
      <c r="I3670" s="446"/>
      <c r="J3670" s="458" t="s">
        <v>2356</v>
      </c>
      <c r="K3670" s="591">
        <f>+K3667*K3668/K3669</f>
        <v>877667.5</v>
      </c>
      <c r="L3670" s="243" t="s">
        <v>10</v>
      </c>
      <c r="M3670" s="173"/>
      <c r="N3670" s="68"/>
      <c r="O3670" s="203"/>
      <c r="P3670" s="216"/>
      <c r="Q3670" s="419"/>
      <c r="R3670" s="219"/>
    </row>
    <row r="3671" spans="1:25" ht="30" customHeight="1" thickBot="1" x14ac:dyDescent="0.4">
      <c r="A3671" s="241"/>
      <c r="B3671" s="446"/>
      <c r="C3671" s="458"/>
      <c r="D3671" s="458"/>
      <c r="E3671" s="458"/>
      <c r="F3671" s="458"/>
      <c r="G3671" s="592" t="s">
        <v>2358</v>
      </c>
      <c r="H3671" s="458"/>
      <c r="I3671" s="458"/>
      <c r="J3671" s="583">
        <f>VLOOKUP(B3664,'Mil Cost Premiums for PUCs'!$A$4:$R$272,18,FALSE)</f>
        <v>1.1199953840399997</v>
      </c>
      <c r="K3671" s="591">
        <f>+K3670*J3671</f>
        <v>982983.5487219264</v>
      </c>
      <c r="L3671" s="243" t="s">
        <v>10</v>
      </c>
      <c r="M3671" s="173"/>
      <c r="N3671" s="68"/>
      <c r="O3671" s="203"/>
      <c r="P3671" s="218"/>
      <c r="Q3671" s="68"/>
      <c r="R3671" s="217"/>
    </row>
    <row r="3672" spans="1:25" ht="30" customHeight="1" thickBot="1" x14ac:dyDescent="0.4">
      <c r="A3672" s="481"/>
      <c r="B3672" s="482"/>
      <c r="C3672" s="482"/>
      <c r="D3672" s="482"/>
      <c r="E3672" s="482"/>
      <c r="F3672" s="482"/>
      <c r="G3672" s="482"/>
      <c r="H3672" s="482"/>
      <c r="I3672" s="482"/>
      <c r="J3672" s="482"/>
      <c r="K3672" s="482"/>
      <c r="L3672" s="483"/>
      <c r="M3672" s="173"/>
      <c r="N3672" s="68"/>
      <c r="O3672" s="203"/>
      <c r="P3672" s="218"/>
      <c r="Q3672" s="68"/>
      <c r="R3672" s="217"/>
    </row>
    <row r="3673" spans="1:25" ht="30" customHeight="1" x14ac:dyDescent="0.35">
      <c r="A3673" s="465" t="s">
        <v>278</v>
      </c>
      <c r="B3673" s="539">
        <v>7521</v>
      </c>
      <c r="C3673" s="1017" t="s">
        <v>1623</v>
      </c>
      <c r="D3673" s="1018"/>
      <c r="E3673" s="541" t="s">
        <v>280</v>
      </c>
      <c r="F3673" s="542" t="s">
        <v>10</v>
      </c>
      <c r="G3673" s="553" t="s">
        <v>279</v>
      </c>
      <c r="H3673" s="875">
        <v>1</v>
      </c>
      <c r="I3673" s="541" t="s">
        <v>281</v>
      </c>
      <c r="J3673" s="1019" t="s">
        <v>2797</v>
      </c>
      <c r="K3673" s="1019"/>
      <c r="L3673" s="1020"/>
      <c r="M3673" s="173"/>
      <c r="N3673" s="68"/>
      <c r="O3673" s="203"/>
      <c r="P3673" s="218"/>
      <c r="Q3673" s="68"/>
      <c r="R3673" s="217"/>
    </row>
    <row r="3674" spans="1:25" ht="30" customHeight="1" x14ac:dyDescent="0.35">
      <c r="A3674" s="588" t="s">
        <v>298</v>
      </c>
      <c r="B3674" s="1038" t="s">
        <v>321</v>
      </c>
      <c r="C3674" s="1039"/>
      <c r="D3674" s="1040"/>
      <c r="E3674" s="23" t="s">
        <v>290</v>
      </c>
      <c r="F3674" s="23" t="s">
        <v>322</v>
      </c>
      <c r="G3674" s="1034" t="s">
        <v>323</v>
      </c>
      <c r="H3674" s="1035"/>
      <c r="I3674" s="509" t="s">
        <v>299</v>
      </c>
      <c r="J3674" s="509" t="s">
        <v>405</v>
      </c>
      <c r="K3674" s="595" t="s">
        <v>292</v>
      </c>
      <c r="L3674" s="739"/>
      <c r="M3674" s="173"/>
      <c r="N3674" s="68"/>
      <c r="O3674" s="208"/>
      <c r="P3674" s="218"/>
      <c r="Q3674" s="68"/>
      <c r="R3674" s="217"/>
    </row>
    <row r="3675" spans="1:25" ht="30" customHeight="1" x14ac:dyDescent="0.35">
      <c r="A3675" s="588"/>
      <c r="B3675" s="1031" t="s">
        <v>1624</v>
      </c>
      <c r="C3675" s="1032"/>
      <c r="D3675" s="1033"/>
      <c r="E3675" s="23"/>
      <c r="F3675" s="23"/>
      <c r="G3675" s="486"/>
      <c r="H3675" s="487"/>
      <c r="I3675" s="647"/>
      <c r="J3675" s="647"/>
      <c r="K3675" s="23"/>
      <c r="L3675" s="715"/>
      <c r="M3675" s="173"/>
      <c r="N3675" s="68"/>
      <c r="O3675" s="203"/>
      <c r="P3675" s="218"/>
      <c r="Q3675" s="68"/>
      <c r="R3675" s="217"/>
      <c r="T3675" s="208"/>
      <c r="U3675" s="208"/>
      <c r="V3675" s="208"/>
      <c r="W3675" s="208"/>
      <c r="X3675" s="208"/>
    </row>
    <row r="3676" spans="1:25" ht="30" customHeight="1" x14ac:dyDescent="0.35">
      <c r="A3676" s="241" t="s">
        <v>1625</v>
      </c>
      <c r="B3676" s="1031" t="s">
        <v>2511</v>
      </c>
      <c r="C3676" s="1032"/>
      <c r="D3676" s="1033"/>
      <c r="E3676" s="41">
        <f>+(36400+56250)/2</f>
        <v>46325</v>
      </c>
      <c r="F3676" s="3" t="s">
        <v>10</v>
      </c>
      <c r="G3676" s="639"/>
      <c r="H3676" s="659"/>
      <c r="I3676" s="665">
        <v>1.02</v>
      </c>
      <c r="J3676" s="446"/>
      <c r="K3676" s="41">
        <f>+E3676*I3676</f>
        <v>47251.5</v>
      </c>
      <c r="L3676" s="676" t="s">
        <v>10</v>
      </c>
      <c r="M3676" s="173"/>
      <c r="N3676" s="68"/>
      <c r="O3676" s="203"/>
      <c r="P3676" s="218"/>
      <c r="Q3676" s="68"/>
      <c r="R3676" s="217"/>
      <c r="Y3676" s="208"/>
    </row>
    <row r="3677" spans="1:25" ht="30" customHeight="1" x14ac:dyDescent="0.35">
      <c r="A3677" s="241" t="s">
        <v>1625</v>
      </c>
      <c r="B3677" s="516" t="s">
        <v>1626</v>
      </c>
      <c r="C3677" s="570"/>
      <c r="D3677" s="571"/>
      <c r="E3677" s="41">
        <f>+(11600+16000)/2</f>
        <v>13800</v>
      </c>
      <c r="F3677" s="3" t="s">
        <v>10</v>
      </c>
      <c r="G3677" s="891">
        <v>0.5</v>
      </c>
      <c r="H3677" s="659"/>
      <c r="I3677" s="665">
        <v>1.02</v>
      </c>
      <c r="J3677" s="446"/>
      <c r="K3677" s="41">
        <f>+I3677*G3677*E3677</f>
        <v>7038</v>
      </c>
      <c r="L3677" s="676" t="s">
        <v>10</v>
      </c>
      <c r="M3677" s="173"/>
      <c r="N3677" s="419"/>
      <c r="O3677" s="203"/>
      <c r="P3677" s="218"/>
      <c r="Q3677" s="68"/>
      <c r="R3677" s="217"/>
      <c r="S3677" s="208"/>
    </row>
    <row r="3678" spans="1:25" ht="30" customHeight="1" x14ac:dyDescent="0.35">
      <c r="A3678" s="241" t="s">
        <v>1625</v>
      </c>
      <c r="B3678" s="1031" t="s">
        <v>1627</v>
      </c>
      <c r="C3678" s="1032"/>
      <c r="D3678" s="1033"/>
      <c r="E3678" s="41">
        <f>+(9900+14800)/2</f>
        <v>12350</v>
      </c>
      <c r="F3678" s="3" t="s">
        <v>10</v>
      </c>
      <c r="G3678" s="639"/>
      <c r="H3678" s="659"/>
      <c r="I3678" s="665">
        <v>1.02</v>
      </c>
      <c r="J3678" s="446"/>
      <c r="K3678" s="41">
        <f>+E3678*I3678</f>
        <v>12597</v>
      </c>
      <c r="L3678" s="676" t="s">
        <v>10</v>
      </c>
      <c r="M3678" s="173"/>
      <c r="N3678" s="419"/>
      <c r="O3678" s="171"/>
      <c r="P3678" s="218"/>
      <c r="Q3678" s="68"/>
      <c r="R3678" s="217"/>
    </row>
    <row r="3679" spans="1:25" s="208" customFormat="1" ht="30" customHeight="1" x14ac:dyDescent="0.35">
      <c r="A3679" s="848"/>
      <c r="B3679" s="1031" t="s">
        <v>1628</v>
      </c>
      <c r="C3679" s="1032"/>
      <c r="D3679" s="1033"/>
      <c r="E3679" s="41"/>
      <c r="F3679" s="3"/>
      <c r="G3679" s="639"/>
      <c r="H3679" s="659"/>
      <c r="I3679" s="446"/>
      <c r="J3679" s="446" t="s">
        <v>335</v>
      </c>
      <c r="K3679" s="41">
        <f>SUM(K3676:K3678)</f>
        <v>66886.5</v>
      </c>
      <c r="L3679" s="676" t="s">
        <v>10</v>
      </c>
      <c r="M3679" s="173"/>
      <c r="N3679" s="68"/>
      <c r="O3679" s="171"/>
      <c r="P3679" s="218"/>
      <c r="Q3679" s="68"/>
      <c r="R3679" s="217"/>
      <c r="S3679" s="203"/>
      <c r="T3679" s="203"/>
      <c r="U3679" s="203"/>
      <c r="V3679" s="203"/>
      <c r="W3679" s="203"/>
      <c r="X3679" s="203"/>
      <c r="Y3679" s="203"/>
    </row>
    <row r="3680" spans="1:25" ht="30" customHeight="1" x14ac:dyDescent="0.35">
      <c r="A3680" s="241" t="s">
        <v>1503</v>
      </c>
      <c r="B3680" s="1082" t="s">
        <v>3117</v>
      </c>
      <c r="C3680" s="1083"/>
      <c r="D3680" s="1093"/>
      <c r="E3680" s="41">
        <f>+((10.7+16.1)/2)</f>
        <v>13.4</v>
      </c>
      <c r="F3680" s="3" t="s">
        <v>8</v>
      </c>
      <c r="G3680" s="716">
        <f>(114*70)</f>
        <v>7980</v>
      </c>
      <c r="H3680" s="659" t="s">
        <v>520</v>
      </c>
      <c r="I3680" s="665">
        <v>1.02</v>
      </c>
      <c r="J3680" s="446"/>
      <c r="K3680" s="41">
        <f>+I3680*G3680*E3680</f>
        <v>109070.64000000001</v>
      </c>
      <c r="L3680" s="676" t="s">
        <v>10</v>
      </c>
      <c r="M3680" s="173"/>
      <c r="N3680" s="68"/>
      <c r="O3680" s="171"/>
      <c r="P3680" s="218"/>
      <c r="Q3680" s="68"/>
      <c r="R3680" s="217"/>
    </row>
    <row r="3681" spans="1:25" ht="30" customHeight="1" x14ac:dyDescent="0.35">
      <c r="A3681" s="241">
        <v>85110</v>
      </c>
      <c r="B3681" s="1082" t="s">
        <v>3118</v>
      </c>
      <c r="C3681" s="1083"/>
      <c r="D3681" s="1093"/>
      <c r="E3681" s="41">
        <v>2.1</v>
      </c>
      <c r="F3681" s="3" t="s">
        <v>8</v>
      </c>
      <c r="G3681" s="716">
        <f>(114*70)</f>
        <v>7980</v>
      </c>
      <c r="H3681" s="659" t="s">
        <v>520</v>
      </c>
      <c r="I3681" s="665"/>
      <c r="J3681" s="721">
        <f>+'2021 MILCON Inflation Table'!F20</f>
        <v>0.9432470865927236</v>
      </c>
      <c r="K3681" s="41">
        <f>+J3681*G3681*E3681</f>
        <v>15806.934677120864</v>
      </c>
      <c r="L3681" s="676"/>
      <c r="M3681" s="173"/>
      <c r="N3681" s="68"/>
      <c r="O3681" s="203"/>
      <c r="P3681" s="216"/>
      <c r="Q3681" s="419"/>
      <c r="R3681" s="219"/>
    </row>
    <row r="3682" spans="1:25" ht="30" customHeight="1" x14ac:dyDescent="0.35">
      <c r="A3682" s="241" t="s">
        <v>1502</v>
      </c>
      <c r="B3682" s="1031" t="s">
        <v>1629</v>
      </c>
      <c r="C3682" s="1032"/>
      <c r="D3682" s="1033"/>
      <c r="E3682" s="41">
        <f>+(1210+3600)/2</f>
        <v>2405</v>
      </c>
      <c r="F3682" s="3" t="s">
        <v>10</v>
      </c>
      <c r="G3682" s="639">
        <v>2</v>
      </c>
      <c r="H3682" s="659" t="s">
        <v>1630</v>
      </c>
      <c r="I3682" s="665">
        <v>1.02</v>
      </c>
      <c r="J3682" s="446"/>
      <c r="K3682" s="41">
        <f>+I3682*G3682*E3682</f>
        <v>4906.2</v>
      </c>
      <c r="L3682" s="676" t="s">
        <v>10</v>
      </c>
      <c r="M3682" s="173"/>
      <c r="N3682" s="68"/>
      <c r="O3682" s="203"/>
      <c r="P3682" s="216"/>
      <c r="Q3682" s="419"/>
      <c r="R3682" s="219"/>
    </row>
    <row r="3683" spans="1:25" ht="30" customHeight="1" x14ac:dyDescent="0.35">
      <c r="A3683" s="241"/>
      <c r="B3683" s="1082" t="s">
        <v>1631</v>
      </c>
      <c r="C3683" s="1083"/>
      <c r="D3683" s="1093"/>
      <c r="E3683" s="41"/>
      <c r="F3683" s="496"/>
      <c r="G3683" s="639"/>
      <c r="H3683" s="659"/>
      <c r="I3683" s="659"/>
      <c r="J3683" s="446" t="s">
        <v>335</v>
      </c>
      <c r="K3683" s="41">
        <f>(SUM(K3680:K3682)*2)*0.95</f>
        <v>246589.17188652966</v>
      </c>
      <c r="L3683" s="676" t="s">
        <v>10</v>
      </c>
      <c r="M3683" s="173"/>
      <c r="N3683" s="68"/>
      <c r="O3683" s="203"/>
      <c r="P3683" s="216"/>
      <c r="Q3683" s="419"/>
      <c r="R3683" s="219"/>
    </row>
    <row r="3684" spans="1:25" ht="30" customHeight="1" x14ac:dyDescent="0.35">
      <c r="A3684" s="717"/>
      <c r="B3684" s="1102"/>
      <c r="C3684" s="1102"/>
      <c r="D3684" s="1102"/>
      <c r="E3684" s="453"/>
      <c r="F3684" s="446"/>
      <c r="G3684" s="454"/>
      <c r="H3684" s="446"/>
      <c r="I3684" s="446"/>
      <c r="J3684" s="446" t="s">
        <v>304</v>
      </c>
      <c r="K3684" s="679">
        <f>(+K3679+K3683)/2</f>
        <v>156737.83594326483</v>
      </c>
      <c r="L3684" s="243" t="s">
        <v>10</v>
      </c>
      <c r="M3684" s="173"/>
      <c r="N3684" s="68"/>
      <c r="O3684" s="203"/>
      <c r="P3684" s="218"/>
      <c r="Q3684" s="68"/>
      <c r="R3684" s="217"/>
    </row>
    <row r="3685" spans="1:25" ht="30" customHeight="1" x14ac:dyDescent="0.35">
      <c r="A3685" s="241"/>
      <c r="B3685" s="506"/>
      <c r="C3685" s="506"/>
      <c r="D3685" s="506"/>
      <c r="E3685" s="453"/>
      <c r="F3685" s="1029" t="s">
        <v>302</v>
      </c>
      <c r="G3685" s="1058" t="s">
        <v>303</v>
      </c>
      <c r="H3685" s="1058"/>
      <c r="I3685" s="1058"/>
      <c r="J3685" s="1058"/>
      <c r="K3685" s="612">
        <v>1.07</v>
      </c>
      <c r="L3685" s="243"/>
      <c r="M3685" s="173"/>
      <c r="N3685" s="68"/>
      <c r="O3685" s="208"/>
      <c r="P3685" s="218"/>
      <c r="Q3685" s="68"/>
      <c r="R3685" s="217"/>
    </row>
    <row r="3686" spans="1:25" ht="30" customHeight="1" x14ac:dyDescent="0.35">
      <c r="A3686" s="241"/>
      <c r="B3686" s="506"/>
      <c r="C3686" s="506"/>
      <c r="D3686" s="506"/>
      <c r="E3686" s="453"/>
      <c r="F3686" s="1030"/>
      <c r="G3686" s="1073" t="s">
        <v>2374</v>
      </c>
      <c r="H3686" s="1073"/>
      <c r="I3686" s="1073"/>
      <c r="J3686" s="1073"/>
      <c r="K3686" s="612">
        <v>1.08</v>
      </c>
      <c r="L3686" s="243"/>
      <c r="M3686" s="173"/>
      <c r="N3686" s="68"/>
      <c r="O3686" s="203"/>
      <c r="P3686" s="218"/>
      <c r="Q3686" s="68"/>
      <c r="R3686" s="217"/>
      <c r="T3686" s="208"/>
      <c r="U3686" s="208"/>
      <c r="V3686" s="208"/>
      <c r="W3686" s="208"/>
      <c r="X3686" s="208"/>
    </row>
    <row r="3687" spans="1:25" ht="30" customHeight="1" x14ac:dyDescent="0.35">
      <c r="A3687" s="241"/>
      <c r="B3687" s="446"/>
      <c r="C3687" s="458"/>
      <c r="D3687" s="458"/>
      <c r="E3687" s="458"/>
      <c r="F3687" s="458"/>
      <c r="G3687" s="458"/>
      <c r="H3687" s="458"/>
      <c r="I3687" s="458"/>
      <c r="J3687" s="446" t="s">
        <v>2356</v>
      </c>
      <c r="K3687" s="680">
        <f>+K3684*K3685/K3686</f>
        <v>155286.55968453089</v>
      </c>
      <c r="L3687" s="243" t="s">
        <v>10</v>
      </c>
      <c r="M3687" s="173"/>
      <c r="N3687" s="419"/>
      <c r="O3687" s="203"/>
      <c r="P3687" s="218"/>
      <c r="Q3687" s="68"/>
      <c r="R3687" s="217"/>
      <c r="Y3687" s="208"/>
    </row>
    <row r="3688" spans="1:25" ht="30" customHeight="1" thickBot="1" x14ac:dyDescent="0.4">
      <c r="A3688" s="241"/>
      <c r="B3688" s="446"/>
      <c r="C3688" s="458"/>
      <c r="D3688" s="458"/>
      <c r="E3688" s="458"/>
      <c r="F3688" s="458"/>
      <c r="G3688" s="592" t="s">
        <v>2358</v>
      </c>
      <c r="H3688" s="458"/>
      <c r="I3688" s="458"/>
      <c r="J3688" s="583">
        <f>VLOOKUP(B3673,'Mil Cost Premiums for PUCs'!$A$4:$R$272,18,FALSE)</f>
        <v>1.0209999999999999</v>
      </c>
      <c r="K3688" s="591">
        <f>+K3687*J3688</f>
        <v>158547.57743790603</v>
      </c>
      <c r="L3688" s="243" t="s">
        <v>10</v>
      </c>
      <c r="M3688" s="173"/>
      <c r="N3688" s="419"/>
      <c r="O3688" s="203"/>
      <c r="P3688" s="218"/>
      <c r="Q3688" s="68"/>
      <c r="R3688" s="217"/>
      <c r="S3688" s="208"/>
    </row>
    <row r="3689" spans="1:25" ht="30" customHeight="1" thickBot="1" x14ac:dyDescent="0.4">
      <c r="A3689" s="481"/>
      <c r="B3689" s="482"/>
      <c r="C3689" s="482"/>
      <c r="D3689" s="482"/>
      <c r="E3689" s="482"/>
      <c r="F3689" s="482"/>
      <c r="G3689" s="482"/>
      <c r="H3689" s="482"/>
      <c r="I3689" s="482"/>
      <c r="J3689" s="482"/>
      <c r="K3689" s="482"/>
      <c r="L3689" s="483"/>
      <c r="M3689" s="173"/>
      <c r="N3689" s="419"/>
      <c r="O3689" s="203"/>
      <c r="P3689" s="218"/>
      <c r="Q3689" s="68"/>
      <c r="R3689" s="217"/>
    </row>
    <row r="3690" spans="1:25" s="208" customFormat="1" ht="30" customHeight="1" x14ac:dyDescent="0.35">
      <c r="A3690" s="465" t="s">
        <v>278</v>
      </c>
      <c r="B3690" s="539">
        <v>7522</v>
      </c>
      <c r="C3690" s="1060" t="s">
        <v>1632</v>
      </c>
      <c r="D3690" s="1061"/>
      <c r="E3690" s="541" t="s">
        <v>280</v>
      </c>
      <c r="F3690" s="542" t="s">
        <v>10</v>
      </c>
      <c r="G3690" s="560" t="s">
        <v>1633</v>
      </c>
      <c r="H3690" s="569">
        <v>1</v>
      </c>
      <c r="I3690" s="541" t="s">
        <v>281</v>
      </c>
      <c r="J3690" s="1019" t="s">
        <v>2180</v>
      </c>
      <c r="K3690" s="1019"/>
      <c r="L3690" s="1020"/>
      <c r="M3690" s="173"/>
      <c r="N3690" s="68"/>
      <c r="O3690" s="203"/>
      <c r="P3690" s="218"/>
      <c r="Q3690" s="68"/>
      <c r="R3690" s="217"/>
      <c r="S3690" s="203"/>
      <c r="T3690" s="203"/>
      <c r="U3690" s="203"/>
      <c r="V3690" s="203"/>
      <c r="W3690" s="203"/>
      <c r="X3690" s="203"/>
      <c r="Y3690" s="203"/>
    </row>
    <row r="3691" spans="1:25" ht="30" customHeight="1" x14ac:dyDescent="0.35">
      <c r="A3691" s="545" t="s">
        <v>288</v>
      </c>
      <c r="B3691" s="1051" t="s">
        <v>282</v>
      </c>
      <c r="C3691" s="1051"/>
      <c r="D3691" s="1051"/>
      <c r="E3691" s="561" t="s">
        <v>290</v>
      </c>
      <c r="F3691" s="509" t="s">
        <v>289</v>
      </c>
      <c r="G3691" s="1094" t="s">
        <v>323</v>
      </c>
      <c r="H3691" s="1095"/>
      <c r="I3691" s="1052" t="s">
        <v>405</v>
      </c>
      <c r="J3691" s="1053"/>
      <c r="K3691" s="595" t="s">
        <v>292</v>
      </c>
      <c r="L3691" s="739"/>
      <c r="M3691" s="173"/>
      <c r="N3691" s="68"/>
      <c r="O3691" s="203"/>
      <c r="P3691" s="218"/>
      <c r="Q3691" s="68"/>
      <c r="R3691" s="217"/>
    </row>
    <row r="3692" spans="1:25" ht="30" customHeight="1" x14ac:dyDescent="0.35">
      <c r="A3692" s="241">
        <v>75022</v>
      </c>
      <c r="B3692" s="1031" t="s">
        <v>1634</v>
      </c>
      <c r="C3692" s="1032"/>
      <c r="D3692" s="1033"/>
      <c r="E3692" s="453">
        <v>1200934</v>
      </c>
      <c r="F3692" s="694">
        <v>1</v>
      </c>
      <c r="G3692" s="726"/>
      <c r="H3692" s="462"/>
      <c r="I3692" s="1091">
        <f>+'2021 MILCON Inflation Table'!F18</f>
        <v>0.9813542688910698</v>
      </c>
      <c r="J3692" s="1092"/>
      <c r="K3692" s="463">
        <f>+E3692*I3692</f>
        <v>1178541.7075564279</v>
      </c>
      <c r="L3692" s="564" t="s">
        <v>10</v>
      </c>
      <c r="M3692" s="173"/>
      <c r="N3692" s="68"/>
      <c r="O3692" s="203"/>
      <c r="P3692" s="218"/>
      <c r="Q3692" s="68"/>
      <c r="R3692" s="217"/>
    </row>
    <row r="3693" spans="1:25" ht="30" customHeight="1" thickBot="1" x14ac:dyDescent="0.4">
      <c r="A3693" s="241"/>
      <c r="B3693" s="1031"/>
      <c r="C3693" s="1032"/>
      <c r="D3693" s="1033"/>
      <c r="E3693" s="553"/>
      <c r="F3693" s="706"/>
      <c r="G3693" s="553"/>
      <c r="H3693" s="707"/>
      <c r="I3693" s="458"/>
      <c r="J3693" s="458" t="s">
        <v>2356</v>
      </c>
      <c r="K3693" s="459">
        <f>SUM(K3692:K3692)</f>
        <v>1178541.7075564279</v>
      </c>
      <c r="L3693" s="564" t="s">
        <v>10</v>
      </c>
      <c r="M3693" s="173"/>
      <c r="N3693" s="68"/>
      <c r="O3693" s="203"/>
      <c r="P3693" s="218"/>
      <c r="Q3693" s="68"/>
      <c r="R3693" s="217"/>
    </row>
    <row r="3694" spans="1:25" ht="30" customHeight="1" thickBot="1" x14ac:dyDescent="0.4">
      <c r="A3694" s="481"/>
      <c r="B3694" s="482"/>
      <c r="C3694" s="482"/>
      <c r="D3694" s="482"/>
      <c r="E3694" s="482"/>
      <c r="F3694" s="482"/>
      <c r="G3694" s="482"/>
      <c r="H3694" s="482"/>
      <c r="I3694" s="482"/>
      <c r="J3694" s="482"/>
      <c r="K3694" s="482"/>
      <c r="L3694" s="483"/>
      <c r="M3694" s="173"/>
      <c r="N3694" s="68"/>
      <c r="O3694" s="203"/>
      <c r="P3694" s="218"/>
      <c r="Q3694" s="68"/>
      <c r="R3694" s="217"/>
    </row>
    <row r="3695" spans="1:25" ht="30" customHeight="1" x14ac:dyDescent="0.35">
      <c r="A3695" s="465" t="s">
        <v>278</v>
      </c>
      <c r="B3695" s="539">
        <v>7523</v>
      </c>
      <c r="C3695" s="1096" t="s">
        <v>3119</v>
      </c>
      <c r="D3695" s="1097"/>
      <c r="E3695" s="543" t="s">
        <v>279</v>
      </c>
      <c r="F3695" s="854">
        <v>1</v>
      </c>
      <c r="G3695" s="541" t="s">
        <v>280</v>
      </c>
      <c r="H3695" s="542" t="s">
        <v>10</v>
      </c>
      <c r="I3695" s="541" t="s">
        <v>281</v>
      </c>
      <c r="J3695" s="1098" t="s">
        <v>3116</v>
      </c>
      <c r="K3695" s="1099"/>
      <c r="L3695" s="1100"/>
      <c r="M3695" s="173"/>
      <c r="N3695" s="68"/>
      <c r="O3695" s="203"/>
      <c r="P3695" s="218"/>
      <c r="Q3695" s="68"/>
      <c r="R3695" s="217"/>
    </row>
    <row r="3696" spans="1:25" ht="30" customHeight="1" x14ac:dyDescent="0.35">
      <c r="A3696" s="545"/>
      <c r="B3696" s="1021" t="s">
        <v>2921</v>
      </c>
      <c r="C3696" s="1021"/>
      <c r="D3696" s="1021"/>
      <c r="E3696" s="509" t="s">
        <v>290</v>
      </c>
      <c r="F3696" s="509" t="s">
        <v>322</v>
      </c>
      <c r="G3696" s="1034" t="s">
        <v>323</v>
      </c>
      <c r="H3696" s="1035"/>
      <c r="I3696" s="509" t="s">
        <v>327</v>
      </c>
      <c r="J3696" s="509" t="s">
        <v>419</v>
      </c>
      <c r="K3696" s="1012" t="s">
        <v>2356</v>
      </c>
      <c r="L3696" s="1013"/>
      <c r="M3696" s="173"/>
      <c r="N3696" s="68"/>
      <c r="O3696" s="203"/>
      <c r="P3696" s="218"/>
      <c r="Q3696" s="68"/>
      <c r="R3696" s="217"/>
    </row>
    <row r="3697" spans="1:18" ht="30" customHeight="1" thickBot="1" x14ac:dyDescent="0.4">
      <c r="A3697" s="546"/>
      <c r="B3697" s="1014">
        <v>193486.63</v>
      </c>
      <c r="C3697" s="1014"/>
      <c r="D3697" s="1014"/>
      <c r="E3697" s="547"/>
      <c r="F3697" s="548"/>
      <c r="G3697" s="1015"/>
      <c r="H3697" s="1016"/>
      <c r="I3697" s="549"/>
      <c r="J3697" s="550">
        <v>1.0202</v>
      </c>
      <c r="K3697" s="551">
        <f>B3697*J3697</f>
        <v>197395.05992600002</v>
      </c>
      <c r="L3697" s="552" t="s">
        <v>10</v>
      </c>
      <c r="M3697" s="173"/>
      <c r="N3697" s="68"/>
      <c r="O3697" s="203"/>
      <c r="P3697" s="218"/>
      <c r="Q3697" s="68"/>
      <c r="R3697" s="217"/>
    </row>
    <row r="3698" spans="1:18" ht="30" customHeight="1" thickBot="1" x14ac:dyDescent="0.4">
      <c r="A3698" s="1086"/>
      <c r="B3698" s="1087"/>
      <c r="C3698" s="1087"/>
      <c r="D3698" s="1087"/>
      <c r="E3698" s="1087"/>
      <c r="F3698" s="1087"/>
      <c r="G3698" s="1087"/>
      <c r="H3698" s="1087"/>
      <c r="I3698" s="1087"/>
      <c r="J3698" s="1087"/>
      <c r="K3698" s="1087"/>
      <c r="L3698" s="1088"/>
      <c r="M3698" s="173"/>
      <c r="N3698" s="68"/>
      <c r="O3698" s="203"/>
      <c r="P3698" s="218"/>
      <c r="Q3698" s="68"/>
      <c r="R3698" s="217"/>
    </row>
    <row r="3699" spans="1:18" ht="30" customHeight="1" x14ac:dyDescent="0.35">
      <c r="A3699" s="465" t="s">
        <v>278</v>
      </c>
      <c r="B3699" s="539">
        <v>7524</v>
      </c>
      <c r="C3699" s="1017" t="s">
        <v>1635</v>
      </c>
      <c r="D3699" s="1018"/>
      <c r="E3699" s="541" t="s">
        <v>280</v>
      </c>
      <c r="F3699" s="542" t="s">
        <v>10</v>
      </c>
      <c r="G3699" s="553" t="s">
        <v>279</v>
      </c>
      <c r="H3699" s="555">
        <v>1</v>
      </c>
      <c r="I3699" s="541" t="s">
        <v>281</v>
      </c>
      <c r="J3699" s="1019" t="s">
        <v>2371</v>
      </c>
      <c r="K3699" s="1019"/>
      <c r="L3699" s="1020"/>
      <c r="M3699" s="173"/>
      <c r="N3699" s="68"/>
      <c r="O3699" s="203"/>
      <c r="P3699" s="218"/>
      <c r="Q3699" s="68"/>
      <c r="R3699" s="217"/>
    </row>
    <row r="3700" spans="1:18" ht="30" customHeight="1" x14ac:dyDescent="0.35">
      <c r="A3700" s="588" t="s">
        <v>298</v>
      </c>
      <c r="B3700" s="1038" t="s">
        <v>321</v>
      </c>
      <c r="C3700" s="1039"/>
      <c r="D3700" s="1040"/>
      <c r="E3700" s="23" t="s">
        <v>290</v>
      </c>
      <c r="F3700" s="23" t="s">
        <v>322</v>
      </c>
      <c r="G3700" s="1034" t="s">
        <v>323</v>
      </c>
      <c r="H3700" s="1035"/>
      <c r="I3700" s="509" t="s">
        <v>299</v>
      </c>
      <c r="J3700" s="509"/>
      <c r="K3700" s="595" t="s">
        <v>292</v>
      </c>
      <c r="L3700" s="739"/>
      <c r="M3700" s="173"/>
      <c r="N3700" s="68"/>
      <c r="O3700" s="203"/>
      <c r="P3700" s="218"/>
      <c r="Q3700" s="68"/>
      <c r="R3700" s="217"/>
    </row>
    <row r="3701" spans="1:18" ht="30" customHeight="1" x14ac:dyDescent="0.35">
      <c r="A3701" s="588"/>
      <c r="B3701" s="1031" t="s">
        <v>1636</v>
      </c>
      <c r="C3701" s="1032"/>
      <c r="D3701" s="1033"/>
      <c r="E3701" s="23"/>
      <c r="F3701" s="23"/>
      <c r="G3701" s="486"/>
      <c r="H3701" s="487"/>
      <c r="I3701" s="647"/>
      <c r="J3701" s="647"/>
      <c r="K3701" s="23"/>
      <c r="L3701" s="715"/>
      <c r="M3701" s="363"/>
      <c r="N3701" s="68"/>
      <c r="O3701" s="203"/>
      <c r="P3701" s="218"/>
      <c r="Q3701" s="68"/>
      <c r="R3701" s="217"/>
    </row>
    <row r="3702" spans="1:18" ht="30" customHeight="1" x14ac:dyDescent="0.35">
      <c r="A3702" s="717" t="s">
        <v>1637</v>
      </c>
      <c r="B3702" s="1082" t="s">
        <v>1638</v>
      </c>
      <c r="C3702" s="1083"/>
      <c r="D3702" s="1093"/>
      <c r="E3702" s="453">
        <f>(97+218)/2</f>
        <v>157.5</v>
      </c>
      <c r="F3702" s="3" t="s">
        <v>1639</v>
      </c>
      <c r="G3702" s="892">
        <v>10000</v>
      </c>
      <c r="H3702" s="659" t="s">
        <v>1640</v>
      </c>
      <c r="I3702" s="665">
        <v>1.02</v>
      </c>
      <c r="J3702" s="446"/>
      <c r="K3702" s="453">
        <f>+E3702*G3702*I3702</f>
        <v>1606500</v>
      </c>
      <c r="L3702" s="243" t="s">
        <v>10</v>
      </c>
      <c r="M3702" s="173"/>
      <c r="N3702" s="68"/>
      <c r="O3702" s="203"/>
      <c r="P3702" s="218"/>
      <c r="Q3702" s="68"/>
      <c r="R3702" s="217"/>
    </row>
    <row r="3703" spans="1:18" ht="30" customHeight="1" x14ac:dyDescent="0.35">
      <c r="A3703" s="717" t="s">
        <v>1637</v>
      </c>
      <c r="B3703" s="1082" t="s">
        <v>1641</v>
      </c>
      <c r="C3703" s="1083"/>
      <c r="D3703" s="1093"/>
      <c r="E3703" s="453">
        <f>+(251+357)/2</f>
        <v>304</v>
      </c>
      <c r="F3703" s="3" t="s">
        <v>1639</v>
      </c>
      <c r="G3703" s="892">
        <v>10000</v>
      </c>
      <c r="H3703" s="659" t="s">
        <v>1640</v>
      </c>
      <c r="I3703" s="665">
        <v>1.02</v>
      </c>
      <c r="J3703" s="446"/>
      <c r="K3703" s="453">
        <f>+E3703*G3703*I3703</f>
        <v>3100800</v>
      </c>
      <c r="L3703" s="243" t="s">
        <v>10</v>
      </c>
      <c r="M3703" s="173"/>
      <c r="N3703" s="68"/>
      <c r="O3703" s="203"/>
      <c r="P3703" s="218"/>
      <c r="Q3703" s="68"/>
      <c r="R3703" s="217"/>
    </row>
    <row r="3704" spans="1:18" ht="30" customHeight="1" x14ac:dyDescent="0.35">
      <c r="A3704" s="717" t="s">
        <v>1637</v>
      </c>
      <c r="B3704" s="1082" t="s">
        <v>2422</v>
      </c>
      <c r="C3704" s="1032"/>
      <c r="D3704" s="1033"/>
      <c r="E3704" s="453">
        <f>+(357+486)/2</f>
        <v>421.5</v>
      </c>
      <c r="F3704" s="3" t="s">
        <v>1639</v>
      </c>
      <c r="G3704" s="892">
        <v>10000</v>
      </c>
      <c r="H3704" s="659" t="s">
        <v>1640</v>
      </c>
      <c r="I3704" s="665">
        <v>1.02</v>
      </c>
      <c r="J3704" s="446"/>
      <c r="K3704" s="453">
        <f>+E3704*G3704*I3704</f>
        <v>4299300</v>
      </c>
      <c r="L3704" s="243" t="s">
        <v>10</v>
      </c>
      <c r="M3704" s="173"/>
      <c r="N3704" s="68"/>
      <c r="O3704" s="203"/>
      <c r="P3704" s="218"/>
      <c r="Q3704" s="68"/>
      <c r="R3704" s="217"/>
    </row>
    <row r="3705" spans="1:18" ht="30" customHeight="1" x14ac:dyDescent="0.35">
      <c r="A3705" s="717"/>
      <c r="B3705" s="1102"/>
      <c r="C3705" s="1102"/>
      <c r="D3705" s="1102"/>
      <c r="E3705" s="453"/>
      <c r="F3705" s="446"/>
      <c r="G3705" s="446"/>
      <c r="H3705" s="446"/>
      <c r="I3705" s="446"/>
      <c r="J3705" s="446" t="s">
        <v>304</v>
      </c>
      <c r="K3705" s="630">
        <f>AVERAGE(K3702:K3704)</f>
        <v>3002200</v>
      </c>
      <c r="L3705" s="243" t="s">
        <v>10</v>
      </c>
      <c r="M3705" s="173"/>
      <c r="N3705" s="68"/>
      <c r="O3705" s="203"/>
      <c r="P3705" s="218"/>
      <c r="Q3705" s="68"/>
      <c r="R3705" s="217"/>
    </row>
    <row r="3706" spans="1:18" ht="30" customHeight="1" x14ac:dyDescent="0.35">
      <c r="A3706" s="241"/>
      <c r="B3706" s="506"/>
      <c r="C3706" s="506"/>
      <c r="D3706" s="506"/>
      <c r="E3706" s="453"/>
      <c r="F3706" s="1029" t="s">
        <v>302</v>
      </c>
      <c r="G3706" s="1058" t="s">
        <v>303</v>
      </c>
      <c r="H3706" s="1058"/>
      <c r="I3706" s="1058"/>
      <c r="J3706" s="1058"/>
      <c r="K3706" s="612">
        <v>1.07</v>
      </c>
      <c r="L3706" s="243"/>
      <c r="M3706" s="364"/>
      <c r="N3706" s="68"/>
      <c r="O3706" s="171"/>
      <c r="P3706" s="218"/>
      <c r="Q3706" s="68"/>
      <c r="R3706" s="217"/>
    </row>
    <row r="3707" spans="1:18" ht="30" customHeight="1" x14ac:dyDescent="0.35">
      <c r="A3707" s="241"/>
      <c r="B3707" s="506"/>
      <c r="C3707" s="506"/>
      <c r="D3707" s="506"/>
      <c r="E3707" s="453"/>
      <c r="F3707" s="1030"/>
      <c r="G3707" s="1073" t="s">
        <v>2374</v>
      </c>
      <c r="H3707" s="1073"/>
      <c r="I3707" s="1073"/>
      <c r="J3707" s="1073"/>
      <c r="K3707" s="612">
        <v>1.08</v>
      </c>
      <c r="L3707" s="243"/>
      <c r="M3707" s="173"/>
      <c r="N3707" s="68"/>
      <c r="O3707" s="171"/>
      <c r="P3707" s="218"/>
      <c r="Q3707" s="68"/>
      <c r="R3707" s="217"/>
    </row>
    <row r="3708" spans="1:18" ht="30" customHeight="1" x14ac:dyDescent="0.35">
      <c r="A3708" s="717"/>
      <c r="B3708" s="1102"/>
      <c r="C3708" s="1102"/>
      <c r="D3708" s="1102"/>
      <c r="E3708" s="453"/>
      <c r="F3708" s="446"/>
      <c r="G3708" s="446"/>
      <c r="H3708" s="446"/>
      <c r="I3708" s="446"/>
      <c r="J3708" s="446" t="s">
        <v>2356</v>
      </c>
      <c r="K3708" s="453">
        <f>+K3705*K3706/K3707</f>
        <v>2974401.8518518517</v>
      </c>
      <c r="L3708" s="243" t="s">
        <v>10</v>
      </c>
      <c r="M3708" s="173"/>
      <c r="N3708" s="68"/>
      <c r="O3708" s="203"/>
      <c r="P3708" s="218"/>
      <c r="Q3708" s="68"/>
      <c r="R3708" s="217"/>
    </row>
    <row r="3709" spans="1:18" ht="30" customHeight="1" thickBot="1" x14ac:dyDescent="0.4">
      <c r="A3709" s="241"/>
      <c r="B3709" s="446"/>
      <c r="C3709" s="458"/>
      <c r="D3709" s="458"/>
      <c r="E3709" s="458"/>
      <c r="F3709" s="458"/>
      <c r="G3709" s="592" t="s">
        <v>2358</v>
      </c>
      <c r="H3709" s="458"/>
      <c r="I3709" s="458"/>
      <c r="J3709" s="583">
        <f>VLOOKUP(B3699,'Mil Cost Premiums for PUCs'!$A$4:$R$272,18,FALSE)</f>
        <v>1.1199953840399997</v>
      </c>
      <c r="K3709" s="591">
        <f>+K3705*J3709</f>
        <v>3362450.1419648868</v>
      </c>
      <c r="L3709" s="243" t="s">
        <v>10</v>
      </c>
      <c r="M3709" s="173"/>
      <c r="N3709" s="68"/>
      <c r="O3709" s="203"/>
      <c r="P3709" s="216"/>
      <c r="Q3709" s="419"/>
      <c r="R3709" s="219"/>
    </row>
    <row r="3710" spans="1:18" ht="30" customHeight="1" thickBot="1" x14ac:dyDescent="0.4">
      <c r="A3710" s="481"/>
      <c r="B3710" s="482"/>
      <c r="C3710" s="482"/>
      <c r="D3710" s="482"/>
      <c r="E3710" s="482"/>
      <c r="F3710" s="482"/>
      <c r="G3710" s="482"/>
      <c r="H3710" s="482"/>
      <c r="I3710" s="482"/>
      <c r="J3710" s="482"/>
      <c r="K3710" s="482"/>
      <c r="L3710" s="483"/>
      <c r="M3710" s="173"/>
      <c r="N3710" s="68"/>
      <c r="O3710" s="203"/>
      <c r="P3710" s="216"/>
      <c r="Q3710" s="419"/>
      <c r="R3710" s="219"/>
    </row>
    <row r="3711" spans="1:18" ht="30" customHeight="1" x14ac:dyDescent="0.35">
      <c r="A3711" s="465" t="s">
        <v>278</v>
      </c>
      <c r="B3711" s="539">
        <v>7531</v>
      </c>
      <c r="C3711" s="1017" t="s">
        <v>1642</v>
      </c>
      <c r="D3711" s="1018"/>
      <c r="E3711" s="541" t="s">
        <v>280</v>
      </c>
      <c r="F3711" s="542" t="s">
        <v>8</v>
      </c>
      <c r="G3711" s="543" t="s">
        <v>285</v>
      </c>
      <c r="H3711" s="555">
        <v>731</v>
      </c>
      <c r="I3711" s="541" t="s">
        <v>281</v>
      </c>
      <c r="J3711" s="1019" t="s">
        <v>2371</v>
      </c>
      <c r="K3711" s="1019"/>
      <c r="L3711" s="1020"/>
      <c r="M3711" s="173"/>
      <c r="N3711" s="68"/>
      <c r="O3711" s="203"/>
      <c r="P3711" s="218"/>
      <c r="Q3711" s="68"/>
      <c r="R3711" s="217"/>
    </row>
    <row r="3712" spans="1:18" ht="30" customHeight="1" x14ac:dyDescent="0.35">
      <c r="A3712" s="588" t="s">
        <v>298</v>
      </c>
      <c r="B3712" s="1038" t="s">
        <v>321</v>
      </c>
      <c r="C3712" s="1039"/>
      <c r="D3712" s="1040"/>
      <c r="E3712" s="23" t="s">
        <v>290</v>
      </c>
      <c r="F3712" s="23" t="s">
        <v>322</v>
      </c>
      <c r="G3712" s="1352" t="s">
        <v>323</v>
      </c>
      <c r="H3712" s="1353"/>
      <c r="I3712" s="509" t="s">
        <v>299</v>
      </c>
      <c r="J3712" s="509"/>
      <c r="K3712" s="595" t="s">
        <v>292</v>
      </c>
      <c r="L3712" s="739"/>
      <c r="M3712" s="173"/>
      <c r="N3712" s="68"/>
      <c r="O3712" s="203"/>
      <c r="P3712" s="218"/>
      <c r="Q3712" s="68"/>
      <c r="R3712" s="217"/>
    </row>
    <row r="3713" spans="1:25" ht="30" customHeight="1" x14ac:dyDescent="0.35">
      <c r="A3713" s="241" t="s">
        <v>1643</v>
      </c>
      <c r="B3713" s="1031" t="s">
        <v>1644</v>
      </c>
      <c r="C3713" s="1032"/>
      <c r="D3713" s="1033"/>
      <c r="E3713" s="40">
        <v>93.5</v>
      </c>
      <c r="F3713" s="3" t="s">
        <v>8</v>
      </c>
      <c r="G3713" s="496"/>
      <c r="H3713" s="498"/>
      <c r="I3713" s="446">
        <v>1.06</v>
      </c>
      <c r="J3713" s="446"/>
      <c r="K3713" s="38">
        <f>+I3713*E3713</f>
        <v>99.11</v>
      </c>
      <c r="L3713" s="676" t="s">
        <v>8</v>
      </c>
      <c r="M3713" s="173"/>
      <c r="N3713" s="68"/>
      <c r="O3713" s="203"/>
      <c r="P3713" s="218"/>
      <c r="Q3713" s="68"/>
      <c r="R3713" s="217"/>
    </row>
    <row r="3714" spans="1:25" ht="30" customHeight="1" x14ac:dyDescent="0.35">
      <c r="A3714" s="241"/>
      <c r="B3714" s="506"/>
      <c r="C3714" s="506"/>
      <c r="D3714" s="506"/>
      <c r="E3714" s="453"/>
      <c r="F3714" s="1029" t="s">
        <v>302</v>
      </c>
      <c r="G3714" s="1058" t="s">
        <v>303</v>
      </c>
      <c r="H3714" s="1058"/>
      <c r="I3714" s="1058"/>
      <c r="J3714" s="1058"/>
      <c r="K3714" s="612">
        <v>1.07</v>
      </c>
      <c r="L3714" s="243"/>
      <c r="M3714" s="173"/>
      <c r="N3714" s="68"/>
      <c r="O3714" s="203"/>
      <c r="P3714" s="218"/>
      <c r="Q3714" s="68"/>
      <c r="R3714" s="217"/>
    </row>
    <row r="3715" spans="1:25" ht="30" customHeight="1" x14ac:dyDescent="0.35">
      <c r="A3715" s="241"/>
      <c r="B3715" s="506"/>
      <c r="C3715" s="506"/>
      <c r="D3715" s="506"/>
      <c r="E3715" s="453"/>
      <c r="F3715" s="1030"/>
      <c r="G3715" s="1073" t="s">
        <v>2374</v>
      </c>
      <c r="H3715" s="1073"/>
      <c r="I3715" s="1073"/>
      <c r="J3715" s="1073"/>
      <c r="K3715" s="612">
        <v>1.08</v>
      </c>
      <c r="L3715" s="243"/>
      <c r="M3715" s="173"/>
      <c r="N3715" s="419"/>
      <c r="O3715" s="203"/>
      <c r="P3715" s="218"/>
      <c r="Q3715" s="68"/>
      <c r="R3715" s="217"/>
    </row>
    <row r="3716" spans="1:25" ht="30" customHeight="1" x14ac:dyDescent="0.35">
      <c r="A3716" s="717"/>
      <c r="B3716" s="1031"/>
      <c r="C3716" s="1032"/>
      <c r="D3716" s="1033"/>
      <c r="E3716" s="453"/>
      <c r="F3716" s="3"/>
      <c r="G3716" s="639"/>
      <c r="H3716" s="659"/>
      <c r="I3716" s="446"/>
      <c r="J3716" s="446" t="s">
        <v>2356</v>
      </c>
      <c r="K3716" s="591">
        <f>+K3713*K3714/K3715</f>
        <v>98.192314814814807</v>
      </c>
      <c r="L3716" s="243" t="s">
        <v>8</v>
      </c>
      <c r="M3716" s="173"/>
      <c r="N3716" s="419"/>
      <c r="O3716" s="203"/>
      <c r="P3716" s="218"/>
      <c r="Q3716" s="68"/>
      <c r="R3716" s="217"/>
    </row>
    <row r="3717" spans="1:25" ht="30" customHeight="1" thickBot="1" x14ac:dyDescent="0.4">
      <c r="A3717" s="241"/>
      <c r="B3717" s="446"/>
      <c r="C3717" s="458"/>
      <c r="D3717" s="458"/>
      <c r="E3717" s="458"/>
      <c r="F3717" s="458"/>
      <c r="G3717" s="592" t="s">
        <v>2358</v>
      </c>
      <c r="H3717" s="458"/>
      <c r="I3717" s="458"/>
      <c r="J3717" s="583">
        <f>VLOOKUP(B3711,'Mil Cost Premiums for PUCs'!$A$4:$R$272,18,FALSE)</f>
        <v>1.0209999999999999</v>
      </c>
      <c r="K3717" s="591">
        <f>+K3716*J3717</f>
        <v>100.25435342592591</v>
      </c>
      <c r="L3717" s="243" t="s">
        <v>8</v>
      </c>
      <c r="M3717" s="173"/>
      <c r="N3717" s="68"/>
      <c r="O3717" s="203"/>
      <c r="P3717" s="218"/>
      <c r="Q3717" s="68"/>
      <c r="R3717" s="217"/>
    </row>
    <row r="3718" spans="1:25" ht="30" customHeight="1" thickBot="1" x14ac:dyDescent="0.4">
      <c r="A3718" s="481"/>
      <c r="B3718" s="482"/>
      <c r="C3718" s="482"/>
      <c r="D3718" s="482"/>
      <c r="E3718" s="482"/>
      <c r="F3718" s="482"/>
      <c r="G3718" s="482"/>
      <c r="H3718" s="482"/>
      <c r="I3718" s="482"/>
      <c r="J3718" s="482"/>
      <c r="K3718" s="482"/>
      <c r="L3718" s="483"/>
      <c r="M3718" s="173"/>
      <c r="N3718" s="68"/>
      <c r="O3718" s="203"/>
      <c r="P3718" s="218"/>
      <c r="Q3718" s="68"/>
      <c r="R3718" s="217"/>
    </row>
    <row r="3719" spans="1:25" ht="30" customHeight="1" x14ac:dyDescent="0.35">
      <c r="A3719" s="465" t="s">
        <v>278</v>
      </c>
      <c r="B3719" s="539">
        <v>7532</v>
      </c>
      <c r="C3719" s="1017" t="s">
        <v>1645</v>
      </c>
      <c r="D3719" s="1018"/>
      <c r="E3719" s="541" t="s">
        <v>280</v>
      </c>
      <c r="F3719" s="542" t="s">
        <v>10</v>
      </c>
      <c r="G3719" s="553" t="s">
        <v>279</v>
      </c>
      <c r="H3719" s="555">
        <v>1</v>
      </c>
      <c r="I3719" s="541" t="s">
        <v>281</v>
      </c>
      <c r="J3719" s="1019" t="s">
        <v>2371</v>
      </c>
      <c r="K3719" s="1019"/>
      <c r="L3719" s="1020"/>
      <c r="M3719" s="173"/>
      <c r="N3719" s="68"/>
      <c r="O3719" s="203"/>
      <c r="P3719" s="218"/>
      <c r="Q3719" s="68"/>
      <c r="R3719" s="217"/>
    </row>
    <row r="3720" spans="1:25" ht="30" customHeight="1" x14ac:dyDescent="0.35">
      <c r="A3720" s="588" t="s">
        <v>298</v>
      </c>
      <c r="B3720" s="1038" t="s">
        <v>321</v>
      </c>
      <c r="C3720" s="1039"/>
      <c r="D3720" s="1040"/>
      <c r="E3720" s="23" t="s">
        <v>290</v>
      </c>
      <c r="F3720" s="23" t="s">
        <v>322</v>
      </c>
      <c r="G3720" s="1034" t="s">
        <v>323</v>
      </c>
      <c r="H3720" s="1035"/>
      <c r="I3720" s="509" t="s">
        <v>299</v>
      </c>
      <c r="J3720" s="509"/>
      <c r="K3720" s="595" t="s">
        <v>292</v>
      </c>
      <c r="L3720" s="739"/>
      <c r="M3720" s="173"/>
      <c r="N3720" s="68"/>
      <c r="O3720" s="203"/>
      <c r="P3720" s="218"/>
      <c r="Q3720" s="68"/>
      <c r="R3720" s="217"/>
    </row>
    <row r="3721" spans="1:25" ht="30" customHeight="1" x14ac:dyDescent="0.35">
      <c r="A3721" s="241" t="s">
        <v>1646</v>
      </c>
      <c r="B3721" s="1031" t="s">
        <v>3120</v>
      </c>
      <c r="C3721" s="1032"/>
      <c r="D3721" s="1033"/>
      <c r="E3721" s="40">
        <v>1970</v>
      </c>
      <c r="F3721" s="3" t="s">
        <v>3121</v>
      </c>
      <c r="G3721" s="496">
        <v>75</v>
      </c>
      <c r="H3721" s="498" t="s">
        <v>3122</v>
      </c>
      <c r="I3721" s="665">
        <v>1.02</v>
      </c>
      <c r="J3721" s="665"/>
      <c r="K3721" s="38">
        <f>+E3721*G3721*I3721</f>
        <v>150705</v>
      </c>
      <c r="L3721" s="676" t="s">
        <v>10</v>
      </c>
      <c r="M3721" s="173"/>
      <c r="N3721" s="68"/>
      <c r="O3721" s="203"/>
      <c r="P3721" s="218"/>
      <c r="Q3721" s="68"/>
      <c r="R3721" s="217"/>
    </row>
    <row r="3722" spans="1:25" ht="30" customHeight="1" x14ac:dyDescent="0.35">
      <c r="A3722" s="717"/>
      <c r="B3722" s="1102" t="s">
        <v>1647</v>
      </c>
      <c r="C3722" s="1102"/>
      <c r="D3722" s="1102"/>
      <c r="E3722" s="453"/>
      <c r="F3722" s="446"/>
      <c r="G3722" s="446"/>
      <c r="H3722" s="446"/>
      <c r="I3722" s="446"/>
      <c r="J3722" s="446"/>
      <c r="K3722" s="453"/>
      <c r="L3722" s="243"/>
      <c r="M3722" s="173"/>
      <c r="N3722" s="68"/>
      <c r="O3722" s="208"/>
      <c r="P3722" s="218"/>
      <c r="Q3722" s="68"/>
      <c r="R3722" s="217"/>
    </row>
    <row r="3723" spans="1:25" ht="30" customHeight="1" x14ac:dyDescent="0.35">
      <c r="A3723" s="241"/>
      <c r="B3723" s="506"/>
      <c r="C3723" s="506"/>
      <c r="D3723" s="506"/>
      <c r="E3723" s="453"/>
      <c r="F3723" s="1029" t="s">
        <v>302</v>
      </c>
      <c r="G3723" s="1058" t="s">
        <v>303</v>
      </c>
      <c r="H3723" s="1058"/>
      <c r="I3723" s="1058"/>
      <c r="J3723" s="1058"/>
      <c r="K3723" s="612">
        <v>1.07</v>
      </c>
      <c r="L3723" s="243"/>
      <c r="M3723" s="173"/>
      <c r="N3723" s="68"/>
      <c r="O3723" s="203"/>
      <c r="P3723" s="218"/>
      <c r="Q3723" s="68"/>
      <c r="R3723" s="217"/>
      <c r="T3723" s="208"/>
      <c r="U3723" s="208"/>
      <c r="V3723" s="208"/>
      <c r="W3723" s="208"/>
      <c r="X3723" s="208"/>
    </row>
    <row r="3724" spans="1:25" ht="30" customHeight="1" x14ac:dyDescent="0.35">
      <c r="A3724" s="241"/>
      <c r="B3724" s="506"/>
      <c r="C3724" s="506"/>
      <c r="D3724" s="506"/>
      <c r="E3724" s="453"/>
      <c r="F3724" s="1030"/>
      <c r="G3724" s="1073" t="s">
        <v>2374</v>
      </c>
      <c r="H3724" s="1073"/>
      <c r="I3724" s="1073"/>
      <c r="J3724" s="1073"/>
      <c r="K3724" s="612">
        <v>1.08</v>
      </c>
      <c r="L3724" s="243"/>
      <c r="M3724" s="173"/>
      <c r="N3724" s="68"/>
      <c r="O3724" s="203"/>
      <c r="P3724" s="218"/>
      <c r="Q3724" s="68"/>
      <c r="R3724" s="217"/>
      <c r="Y3724" s="208"/>
    </row>
    <row r="3725" spans="1:25" ht="30" customHeight="1" x14ac:dyDescent="0.35">
      <c r="A3725" s="241"/>
      <c r="B3725" s="446"/>
      <c r="C3725" s="458"/>
      <c r="D3725" s="458"/>
      <c r="E3725" s="458"/>
      <c r="F3725" s="458"/>
      <c r="G3725" s="458"/>
      <c r="H3725" s="458"/>
      <c r="I3725" s="458"/>
      <c r="J3725" s="446" t="s">
        <v>2356</v>
      </c>
      <c r="K3725" s="591">
        <f>+K3721*K3723/K3724</f>
        <v>149309.58333333334</v>
      </c>
      <c r="L3725" s="243" t="s">
        <v>10</v>
      </c>
      <c r="M3725" s="173"/>
      <c r="N3725" s="68"/>
      <c r="O3725" s="203"/>
      <c r="P3725" s="218"/>
      <c r="Q3725" s="68"/>
      <c r="R3725" s="217"/>
      <c r="S3725" s="208"/>
    </row>
    <row r="3726" spans="1:25" ht="30" customHeight="1" thickBot="1" x14ac:dyDescent="0.4">
      <c r="A3726" s="241"/>
      <c r="B3726" s="446"/>
      <c r="C3726" s="458"/>
      <c r="D3726" s="458"/>
      <c r="E3726" s="458"/>
      <c r="F3726" s="458"/>
      <c r="G3726" s="592" t="s">
        <v>2358</v>
      </c>
      <c r="H3726" s="458"/>
      <c r="I3726" s="458"/>
      <c r="J3726" s="583">
        <f>VLOOKUP(B3719,'Mil Cost Premiums for PUCs'!$A$4:$R$272,18,FALSE)</f>
        <v>1.0485669999999998</v>
      </c>
      <c r="K3726" s="591">
        <f>+K3725*J3726</f>
        <v>156561.10186708331</v>
      </c>
      <c r="L3726" s="243" t="s">
        <v>10</v>
      </c>
      <c r="M3726" s="173"/>
      <c r="N3726" s="68"/>
      <c r="O3726" s="171"/>
      <c r="P3726" s="218"/>
      <c r="Q3726" s="68"/>
      <c r="R3726" s="217"/>
    </row>
    <row r="3727" spans="1:25" s="208" customFormat="1" ht="30" customHeight="1" thickBot="1" x14ac:dyDescent="0.4">
      <c r="A3727" s="481"/>
      <c r="B3727" s="482"/>
      <c r="C3727" s="482"/>
      <c r="D3727" s="482"/>
      <c r="E3727" s="482"/>
      <c r="F3727" s="482"/>
      <c r="G3727" s="482"/>
      <c r="H3727" s="482"/>
      <c r="I3727" s="482"/>
      <c r="J3727" s="482"/>
      <c r="K3727" s="482"/>
      <c r="L3727" s="483"/>
      <c r="M3727" s="173"/>
      <c r="N3727" s="68"/>
      <c r="O3727" s="171"/>
      <c r="P3727" s="218"/>
      <c r="Q3727" s="68"/>
      <c r="R3727" s="217"/>
      <c r="S3727" s="203"/>
      <c r="T3727" s="203"/>
      <c r="U3727" s="203"/>
      <c r="V3727" s="203"/>
      <c r="W3727" s="203"/>
      <c r="X3727" s="203"/>
      <c r="Y3727" s="203"/>
    </row>
    <row r="3728" spans="1:25" ht="30" customHeight="1" x14ac:dyDescent="0.35">
      <c r="A3728" s="465" t="s">
        <v>278</v>
      </c>
      <c r="B3728" s="539">
        <v>7541</v>
      </c>
      <c r="C3728" s="1017" t="s">
        <v>1648</v>
      </c>
      <c r="D3728" s="1018"/>
      <c r="E3728" s="541" t="s">
        <v>280</v>
      </c>
      <c r="F3728" s="542" t="s">
        <v>10</v>
      </c>
      <c r="G3728" s="553" t="s">
        <v>279</v>
      </c>
      <c r="H3728" s="555">
        <v>1</v>
      </c>
      <c r="I3728" s="541" t="s">
        <v>281</v>
      </c>
      <c r="J3728" s="1019" t="s">
        <v>2371</v>
      </c>
      <c r="K3728" s="1019"/>
      <c r="L3728" s="1020"/>
      <c r="M3728" s="173"/>
      <c r="N3728" s="68"/>
      <c r="O3728" s="203"/>
      <c r="P3728" s="218"/>
      <c r="Q3728" s="68"/>
      <c r="R3728" s="217"/>
    </row>
    <row r="3729" spans="1:25" ht="30" customHeight="1" x14ac:dyDescent="0.35">
      <c r="A3729" s="588" t="s">
        <v>298</v>
      </c>
      <c r="B3729" s="1038" t="s">
        <v>321</v>
      </c>
      <c r="C3729" s="1039"/>
      <c r="D3729" s="1040"/>
      <c r="E3729" s="23" t="s">
        <v>290</v>
      </c>
      <c r="F3729" s="23" t="s">
        <v>322</v>
      </c>
      <c r="G3729" s="1034" t="s">
        <v>323</v>
      </c>
      <c r="H3729" s="1035"/>
      <c r="I3729" s="509" t="s">
        <v>299</v>
      </c>
      <c r="J3729" s="893" t="s">
        <v>2253</v>
      </c>
      <c r="K3729" s="595" t="s">
        <v>292</v>
      </c>
      <c r="L3729" s="739"/>
      <c r="M3729" s="173"/>
      <c r="N3729" s="68"/>
      <c r="O3729" s="203"/>
      <c r="P3729" s="216"/>
      <c r="Q3729" s="419"/>
      <c r="R3729" s="219"/>
    </row>
    <row r="3730" spans="1:25" ht="30" customHeight="1" x14ac:dyDescent="0.35">
      <c r="A3730" s="241" t="s">
        <v>1649</v>
      </c>
      <c r="B3730" s="1082" t="s">
        <v>1650</v>
      </c>
      <c r="C3730" s="1083"/>
      <c r="D3730" s="1093"/>
      <c r="E3730" s="40">
        <f>(665+540+1070+690+775+690+327+1030+2050)</f>
        <v>7837</v>
      </c>
      <c r="F3730" s="3" t="s">
        <v>1651</v>
      </c>
      <c r="G3730" s="496">
        <v>40</v>
      </c>
      <c r="H3730" s="498" t="s">
        <v>1652</v>
      </c>
      <c r="I3730" s="665">
        <v>1.01</v>
      </c>
      <c r="J3730" s="446">
        <v>1.07</v>
      </c>
      <c r="K3730" s="38">
        <f>+E3730*G3730*I3730*J3730</f>
        <v>338777.83600000001</v>
      </c>
      <c r="L3730" s="676" t="s">
        <v>10</v>
      </c>
      <c r="M3730" s="173"/>
      <c r="N3730" s="68"/>
      <c r="O3730" s="203"/>
      <c r="P3730" s="216"/>
      <c r="Q3730" s="419"/>
      <c r="R3730" s="219"/>
    </row>
    <row r="3731" spans="1:25" ht="30" customHeight="1" x14ac:dyDescent="0.35">
      <c r="A3731" s="241"/>
      <c r="B3731" s="506"/>
      <c r="C3731" s="506"/>
      <c r="D3731" s="506"/>
      <c r="E3731" s="453"/>
      <c r="F3731" s="1029" t="s">
        <v>302</v>
      </c>
      <c r="G3731" s="1058" t="s">
        <v>303</v>
      </c>
      <c r="H3731" s="1058"/>
      <c r="I3731" s="1058"/>
      <c r="J3731" s="1058"/>
      <c r="K3731" s="612">
        <v>1.07</v>
      </c>
      <c r="L3731" s="243"/>
      <c r="M3731" s="173"/>
      <c r="N3731" s="71"/>
      <c r="O3731" s="203"/>
      <c r="P3731" s="218"/>
      <c r="Q3731" s="68"/>
      <c r="R3731" s="217"/>
    </row>
    <row r="3732" spans="1:25" ht="30" customHeight="1" x14ac:dyDescent="0.35">
      <c r="A3732" s="241"/>
      <c r="B3732" s="506"/>
      <c r="C3732" s="506"/>
      <c r="D3732" s="506"/>
      <c r="E3732" s="453"/>
      <c r="F3732" s="1030"/>
      <c r="G3732" s="1073" t="s">
        <v>2374</v>
      </c>
      <c r="H3732" s="1073"/>
      <c r="I3732" s="1073"/>
      <c r="J3732" s="1073"/>
      <c r="K3732" s="612">
        <v>1.08</v>
      </c>
      <c r="L3732" s="243"/>
      <c r="M3732" s="173"/>
      <c r="N3732" s="68"/>
      <c r="O3732" s="208"/>
      <c r="P3732" s="218"/>
      <c r="Q3732" s="68"/>
      <c r="R3732" s="217"/>
    </row>
    <row r="3733" spans="1:25" ht="30" customHeight="1" x14ac:dyDescent="0.35">
      <c r="A3733" s="241"/>
      <c r="B3733" s="446"/>
      <c r="C3733" s="458"/>
      <c r="D3733" s="458"/>
      <c r="E3733" s="458"/>
      <c r="F3733" s="458"/>
      <c r="G3733" s="16"/>
      <c r="H3733" s="16"/>
      <c r="I3733" s="458"/>
      <c r="J3733" s="458" t="s">
        <v>2356</v>
      </c>
      <c r="K3733" s="591">
        <f>K3730*K3731/K3732</f>
        <v>335641.00418518519</v>
      </c>
      <c r="L3733" s="243" t="s">
        <v>10</v>
      </c>
      <c r="M3733" s="173"/>
      <c r="N3733" s="68"/>
      <c r="O3733" s="203"/>
      <c r="P3733" s="218"/>
      <c r="Q3733" s="68"/>
      <c r="R3733" s="217"/>
      <c r="T3733" s="208"/>
      <c r="U3733" s="208"/>
      <c r="V3733" s="208"/>
      <c r="W3733" s="208"/>
      <c r="X3733" s="208"/>
    </row>
    <row r="3734" spans="1:25" ht="30" customHeight="1" thickBot="1" x14ac:dyDescent="0.4">
      <c r="A3734" s="241"/>
      <c r="B3734" s="446"/>
      <c r="C3734" s="458"/>
      <c r="D3734" s="458"/>
      <c r="E3734" s="458"/>
      <c r="F3734" s="458"/>
      <c r="G3734" s="592" t="s">
        <v>2358</v>
      </c>
      <c r="H3734" s="458"/>
      <c r="I3734" s="458"/>
      <c r="J3734" s="583">
        <f>VLOOKUP(B3719,'Mil Cost Premiums for PUCs'!$A$4:$R$272,18,FALSE)</f>
        <v>1.0485669999999998</v>
      </c>
      <c r="K3734" s="591">
        <f>+K3733*J3734</f>
        <v>351942.08083544701</v>
      </c>
      <c r="L3734" s="243"/>
      <c r="M3734" s="173"/>
      <c r="N3734" s="68"/>
      <c r="O3734" s="171"/>
      <c r="P3734" s="218"/>
      <c r="Q3734" s="68"/>
      <c r="R3734" s="217"/>
      <c r="Y3734" s="208"/>
    </row>
    <row r="3735" spans="1:25" ht="30" customHeight="1" thickBot="1" x14ac:dyDescent="0.4">
      <c r="A3735" s="481"/>
      <c r="B3735" s="482"/>
      <c r="C3735" s="482"/>
      <c r="D3735" s="482"/>
      <c r="E3735" s="482"/>
      <c r="F3735" s="482"/>
      <c r="G3735" s="482"/>
      <c r="H3735" s="482"/>
      <c r="I3735" s="482"/>
      <c r="J3735" s="482"/>
      <c r="K3735" s="482"/>
      <c r="L3735" s="483"/>
      <c r="M3735" s="173"/>
      <c r="N3735" s="419"/>
      <c r="O3735" s="171"/>
      <c r="P3735" s="218"/>
      <c r="Q3735" s="68"/>
      <c r="R3735" s="217"/>
      <c r="S3735" s="208"/>
    </row>
    <row r="3736" spans="1:25" ht="30" customHeight="1" x14ac:dyDescent="0.35">
      <c r="A3736" s="465" t="s">
        <v>278</v>
      </c>
      <c r="B3736" s="539">
        <v>7542</v>
      </c>
      <c r="C3736" s="1036" t="s">
        <v>1653</v>
      </c>
      <c r="D3736" s="1037"/>
      <c r="E3736" s="541" t="s">
        <v>280</v>
      </c>
      <c r="F3736" s="542" t="s">
        <v>10</v>
      </c>
      <c r="G3736" s="553" t="s">
        <v>1654</v>
      </c>
      <c r="H3736" s="555">
        <v>1</v>
      </c>
      <c r="I3736" s="541" t="s">
        <v>281</v>
      </c>
      <c r="J3736" s="1019" t="s">
        <v>2371</v>
      </c>
      <c r="K3736" s="1019"/>
      <c r="L3736" s="1020"/>
      <c r="M3736" s="173"/>
      <c r="N3736" s="419"/>
      <c r="O3736" s="203"/>
      <c r="P3736" s="218"/>
      <c r="Q3736" s="68"/>
      <c r="R3736" s="217"/>
    </row>
    <row r="3737" spans="1:25" s="208" customFormat="1" ht="30" customHeight="1" x14ac:dyDescent="0.35">
      <c r="A3737" s="588" t="s">
        <v>298</v>
      </c>
      <c r="B3737" s="1038" t="s">
        <v>321</v>
      </c>
      <c r="C3737" s="1039"/>
      <c r="D3737" s="1040"/>
      <c r="E3737" s="23" t="s">
        <v>290</v>
      </c>
      <c r="F3737" s="23" t="s">
        <v>322</v>
      </c>
      <c r="G3737" s="1034" t="s">
        <v>323</v>
      </c>
      <c r="H3737" s="1035"/>
      <c r="I3737" s="509" t="s">
        <v>299</v>
      </c>
      <c r="J3737" s="509"/>
      <c r="K3737" s="595" t="s">
        <v>292</v>
      </c>
      <c r="L3737" s="739"/>
      <c r="M3737" s="173"/>
      <c r="N3737" s="68"/>
      <c r="O3737" s="203"/>
      <c r="P3737" s="216"/>
      <c r="Q3737" s="419"/>
      <c r="R3737" s="219"/>
      <c r="S3737" s="203"/>
      <c r="T3737" s="203"/>
      <c r="U3737" s="203"/>
      <c r="V3737" s="203"/>
      <c r="W3737" s="203"/>
      <c r="X3737" s="203"/>
      <c r="Y3737" s="203"/>
    </row>
    <row r="3738" spans="1:25" ht="30" customHeight="1" x14ac:dyDescent="0.35">
      <c r="A3738" s="241" t="s">
        <v>1625</v>
      </c>
      <c r="B3738" s="1082" t="s">
        <v>1655</v>
      </c>
      <c r="C3738" s="1083"/>
      <c r="D3738" s="1093"/>
      <c r="E3738" s="41">
        <f>+(36400+56250)/2+(9900+14800)/2+(11600+16000)/2+((1.45+5.16)/2*7200)</f>
        <v>96271</v>
      </c>
      <c r="F3738" s="3" t="s">
        <v>10</v>
      </c>
      <c r="G3738" s="639"/>
      <c r="H3738" s="659"/>
      <c r="I3738" s="665">
        <v>1.02</v>
      </c>
      <c r="J3738" s="446"/>
      <c r="K3738" s="40">
        <f>+E3738*I3738</f>
        <v>98196.42</v>
      </c>
      <c r="L3738" s="676" t="s">
        <v>10</v>
      </c>
      <c r="M3738" s="173"/>
      <c r="N3738" s="68"/>
      <c r="O3738" s="203"/>
      <c r="P3738" s="216"/>
      <c r="Q3738" s="419"/>
      <c r="R3738" s="219"/>
    </row>
    <row r="3739" spans="1:25" ht="45" customHeight="1" x14ac:dyDescent="0.35">
      <c r="A3739" s="241" t="s">
        <v>1612</v>
      </c>
      <c r="B3739" s="1031" t="s">
        <v>1656</v>
      </c>
      <c r="C3739" s="1032"/>
      <c r="D3739" s="1033"/>
      <c r="E3739" s="41">
        <f>+(7300+22800)/2</f>
        <v>15050</v>
      </c>
      <c r="F3739" s="3" t="s">
        <v>1608</v>
      </c>
      <c r="G3739" s="894">
        <v>18</v>
      </c>
      <c r="H3739" s="655" t="s">
        <v>1657</v>
      </c>
      <c r="I3739" s="665">
        <v>1.02</v>
      </c>
      <c r="J3739" s="446"/>
      <c r="K3739" s="40">
        <f>+E3739*G3739*I3739</f>
        <v>276318</v>
      </c>
      <c r="L3739" s="676" t="s">
        <v>10</v>
      </c>
      <c r="M3739" s="173"/>
      <c r="N3739" s="68"/>
      <c r="O3739" s="203"/>
      <c r="P3739" s="218"/>
      <c r="Q3739" s="68"/>
      <c r="R3739" s="217"/>
    </row>
    <row r="3740" spans="1:25" ht="30" customHeight="1" x14ac:dyDescent="0.35">
      <c r="A3740" s="241"/>
      <c r="B3740" s="1031" t="s">
        <v>1658</v>
      </c>
      <c r="C3740" s="1032"/>
      <c r="D3740" s="1033"/>
      <c r="E3740" s="41"/>
      <c r="F3740" s="3"/>
      <c r="G3740" s="639"/>
      <c r="H3740" s="655"/>
      <c r="I3740" s="446"/>
      <c r="J3740" s="446"/>
      <c r="K3740" s="40"/>
      <c r="L3740" s="676"/>
      <c r="M3740" s="173"/>
      <c r="N3740" s="68"/>
      <c r="O3740" s="208"/>
    </row>
    <row r="3741" spans="1:25" ht="30" customHeight="1" x14ac:dyDescent="0.35">
      <c r="A3741" s="241" t="s">
        <v>535</v>
      </c>
      <c r="B3741" s="1082" t="s">
        <v>1659</v>
      </c>
      <c r="C3741" s="1083"/>
      <c r="D3741" s="1093"/>
      <c r="E3741" s="41">
        <v>0.28999999999999998</v>
      </c>
      <c r="F3741" s="3" t="s">
        <v>8</v>
      </c>
      <c r="G3741" s="716">
        <f>3.5*43560</f>
        <v>152460</v>
      </c>
      <c r="H3741" s="655" t="s">
        <v>1660</v>
      </c>
      <c r="I3741" s="659">
        <v>1.02</v>
      </c>
      <c r="J3741" s="446"/>
      <c r="K3741" s="40">
        <f>+E3741*G3741*I3741</f>
        <v>45097.667999999998</v>
      </c>
      <c r="L3741" s="676"/>
      <c r="M3741" s="173"/>
      <c r="N3741" s="68"/>
      <c r="O3741" s="203"/>
      <c r="T3741" s="208"/>
      <c r="U3741" s="208"/>
      <c r="V3741" s="208"/>
      <c r="W3741" s="208"/>
      <c r="X3741" s="208"/>
    </row>
    <row r="3742" spans="1:25" ht="30" customHeight="1" x14ac:dyDescent="0.35">
      <c r="A3742" s="241" t="s">
        <v>535</v>
      </c>
      <c r="B3742" s="1031" t="s">
        <v>1661</v>
      </c>
      <c r="C3742" s="1032"/>
      <c r="D3742" s="1033"/>
      <c r="E3742" s="41">
        <v>0.44</v>
      </c>
      <c r="F3742" s="3" t="s">
        <v>8</v>
      </c>
      <c r="G3742" s="716">
        <f>3.5*43560</f>
        <v>152460</v>
      </c>
      <c r="H3742" s="655" t="s">
        <v>1660</v>
      </c>
      <c r="I3742" s="659">
        <v>1.02</v>
      </c>
      <c r="J3742" s="446"/>
      <c r="K3742" s="40">
        <f>+E3742*G3742*I3742</f>
        <v>68424.047999999995</v>
      </c>
      <c r="L3742" s="676"/>
      <c r="M3742" s="173"/>
      <c r="N3742" s="68"/>
      <c r="O3742" s="203"/>
      <c r="Y3742" s="208"/>
    </row>
    <row r="3743" spans="1:25" ht="30" customHeight="1" x14ac:dyDescent="0.35">
      <c r="A3743" s="241" t="s">
        <v>1625</v>
      </c>
      <c r="B3743" s="1031" t="s">
        <v>1662</v>
      </c>
      <c r="C3743" s="1032"/>
      <c r="D3743" s="1033"/>
      <c r="E3743" s="294">
        <f>+(3025+5100)/2</f>
        <v>4062.5</v>
      </c>
      <c r="F3743" s="496" t="s">
        <v>10</v>
      </c>
      <c r="G3743" s="727"/>
      <c r="H3743" s="659"/>
      <c r="I3743" s="704">
        <v>1.02</v>
      </c>
      <c r="J3743" s="446"/>
      <c r="K3743" s="453">
        <f>+E3743*I3743</f>
        <v>4143.75</v>
      </c>
      <c r="L3743" s="676"/>
      <c r="M3743" s="173"/>
      <c r="N3743" s="419"/>
      <c r="O3743" s="203"/>
      <c r="P3743" s="208"/>
      <c r="Q3743" s="208"/>
      <c r="R3743" s="208"/>
      <c r="S3743" s="208"/>
    </row>
    <row r="3744" spans="1:25" ht="30" customHeight="1" x14ac:dyDescent="0.35">
      <c r="A3744" s="241" t="s">
        <v>1502</v>
      </c>
      <c r="B3744" s="1082" t="s">
        <v>1663</v>
      </c>
      <c r="C3744" s="1083"/>
      <c r="D3744" s="1093"/>
      <c r="E3744" s="295">
        <f>(3675+9550)/2</f>
        <v>6612.5</v>
      </c>
      <c r="F3744" s="496" t="s">
        <v>10</v>
      </c>
      <c r="G3744" s="727"/>
      <c r="H3744" s="659"/>
      <c r="I3744" s="704">
        <v>1.02</v>
      </c>
      <c r="J3744" s="446"/>
      <c r="K3744" s="40">
        <f>E3744*I3744</f>
        <v>6744.75</v>
      </c>
      <c r="L3744" s="676"/>
      <c r="M3744" s="173"/>
      <c r="N3744" s="72"/>
      <c r="O3744" s="203"/>
    </row>
    <row r="3745" spans="1:25" s="208" customFormat="1" ht="30" customHeight="1" x14ac:dyDescent="0.35">
      <c r="A3745" s="241" t="s">
        <v>1591</v>
      </c>
      <c r="B3745" s="1082" t="s">
        <v>1664</v>
      </c>
      <c r="C3745" s="1083"/>
      <c r="D3745" s="1093"/>
      <c r="E3745" s="294">
        <v>223.35</v>
      </c>
      <c r="F3745" s="496" t="s">
        <v>6</v>
      </c>
      <c r="G3745" s="727">
        <v>250</v>
      </c>
      <c r="H3745" s="659" t="s">
        <v>6</v>
      </c>
      <c r="I3745" s="704">
        <v>1.02</v>
      </c>
      <c r="J3745" s="446"/>
      <c r="K3745" s="40">
        <f>+E3745*G3745*I3745</f>
        <v>56954.25</v>
      </c>
      <c r="L3745" s="676"/>
      <c r="M3745" s="173"/>
      <c r="N3745" s="68"/>
      <c r="O3745" s="203"/>
      <c r="P3745" s="203"/>
      <c r="Q3745" s="203"/>
      <c r="R3745" s="203"/>
      <c r="S3745" s="203"/>
      <c r="T3745" s="203"/>
      <c r="U3745" s="203"/>
      <c r="V3745" s="203"/>
      <c r="W3745" s="203"/>
      <c r="X3745" s="203"/>
      <c r="Y3745" s="203"/>
    </row>
    <row r="3746" spans="1:25" ht="30" customHeight="1" x14ac:dyDescent="0.35">
      <c r="A3746" s="241" t="s">
        <v>1637</v>
      </c>
      <c r="B3746" s="1031" t="s">
        <v>1665</v>
      </c>
      <c r="C3746" s="1032"/>
      <c r="D3746" s="1033"/>
      <c r="E3746" s="41">
        <f>+(73+97)/2</f>
        <v>85</v>
      </c>
      <c r="F3746" s="3" t="s">
        <v>1639</v>
      </c>
      <c r="G3746" s="639">
        <v>600</v>
      </c>
      <c r="H3746" s="655" t="s">
        <v>1666</v>
      </c>
      <c r="I3746" s="704">
        <v>1.02</v>
      </c>
      <c r="J3746" s="446"/>
      <c r="K3746" s="40">
        <f>+E3746*G3746*I3746</f>
        <v>52020</v>
      </c>
      <c r="L3746" s="676"/>
      <c r="M3746" s="173"/>
      <c r="N3746" s="68"/>
      <c r="O3746" s="203"/>
    </row>
    <row r="3747" spans="1:25" ht="30" customHeight="1" x14ac:dyDescent="0.35">
      <c r="A3747" s="241"/>
      <c r="B3747" s="1031" t="s">
        <v>1667</v>
      </c>
      <c r="C3747" s="1032"/>
      <c r="D3747" s="1033"/>
      <c r="E3747" s="41"/>
      <c r="F3747" s="3"/>
      <c r="G3747" s="639"/>
      <c r="H3747" s="655"/>
      <c r="I3747" s="446"/>
      <c r="J3747" s="446"/>
      <c r="K3747" s="40">
        <f>SUM(K3741:K3746)</f>
        <v>233384.46599999999</v>
      </c>
      <c r="L3747" s="676" t="s">
        <v>10</v>
      </c>
      <c r="M3747" s="173"/>
      <c r="N3747" s="68"/>
      <c r="O3747" s="203"/>
    </row>
    <row r="3748" spans="1:25" ht="30" customHeight="1" x14ac:dyDescent="0.35">
      <c r="A3748" s="241"/>
      <c r="B3748" s="1031" t="s">
        <v>1668</v>
      </c>
      <c r="C3748" s="1032"/>
      <c r="D3748" s="1033"/>
      <c r="E3748" s="41"/>
      <c r="F3748" s="3"/>
      <c r="G3748" s="639"/>
      <c r="H3748" s="655"/>
      <c r="I3748" s="446"/>
      <c r="J3748" s="446"/>
      <c r="K3748" s="40"/>
      <c r="L3748" s="243"/>
      <c r="M3748" s="173"/>
      <c r="O3748" s="208"/>
      <c r="P3748" s="218"/>
      <c r="Q3748" s="68"/>
      <c r="R3748" s="217"/>
    </row>
    <row r="3749" spans="1:25" ht="30" customHeight="1" x14ac:dyDescent="0.35">
      <c r="A3749" s="241" t="s">
        <v>535</v>
      </c>
      <c r="B3749" s="1031" t="s">
        <v>1669</v>
      </c>
      <c r="C3749" s="1032"/>
      <c r="D3749" s="1033"/>
      <c r="E3749" s="41">
        <v>0.44</v>
      </c>
      <c r="F3749" s="3" t="s">
        <v>8</v>
      </c>
      <c r="G3749" s="716">
        <v>57600</v>
      </c>
      <c r="H3749" s="3" t="s">
        <v>8</v>
      </c>
      <c r="I3749" s="446">
        <v>1.02</v>
      </c>
      <c r="J3749" s="446"/>
      <c r="K3749" s="40">
        <f>+E3749*G3749*I3749</f>
        <v>25850.880000000001</v>
      </c>
      <c r="L3749" s="676" t="s">
        <v>10</v>
      </c>
      <c r="M3749" s="173"/>
      <c r="N3749" s="208"/>
      <c r="O3749" s="203"/>
      <c r="P3749" s="218"/>
      <c r="Q3749" s="68"/>
      <c r="R3749" s="217"/>
      <c r="T3749" s="208"/>
      <c r="U3749" s="208"/>
      <c r="V3749" s="208"/>
      <c r="W3749" s="208"/>
      <c r="X3749" s="208"/>
    </row>
    <row r="3750" spans="1:25" ht="30" customHeight="1" x14ac:dyDescent="0.35">
      <c r="A3750" s="241" t="s">
        <v>1502</v>
      </c>
      <c r="B3750" s="1031" t="s">
        <v>2254</v>
      </c>
      <c r="C3750" s="1032"/>
      <c r="D3750" s="1033"/>
      <c r="E3750" s="41">
        <f>(2850+7200)/2</f>
        <v>5025</v>
      </c>
      <c r="F3750" s="496" t="s">
        <v>10</v>
      </c>
      <c r="G3750" s="716"/>
      <c r="H3750" s="498"/>
      <c r="I3750" s="446">
        <v>1.02</v>
      </c>
      <c r="J3750" s="446"/>
      <c r="K3750" s="40">
        <f>E3750*I3750</f>
        <v>5125.5</v>
      </c>
      <c r="L3750" s="676" t="s">
        <v>10</v>
      </c>
      <c r="M3750" s="173"/>
      <c r="O3750" s="171"/>
      <c r="P3750" s="218"/>
      <c r="Q3750" s="68"/>
      <c r="R3750" s="217"/>
      <c r="Y3750" s="208"/>
    </row>
    <row r="3751" spans="1:25" ht="30" customHeight="1" x14ac:dyDescent="0.35">
      <c r="A3751" s="241"/>
      <c r="B3751" s="1031" t="s">
        <v>2255</v>
      </c>
      <c r="C3751" s="1032"/>
      <c r="D3751" s="1033"/>
      <c r="E3751" s="41"/>
      <c r="F3751" s="496"/>
      <c r="G3751" s="716"/>
      <c r="H3751" s="498"/>
      <c r="I3751" s="446"/>
      <c r="J3751" s="446"/>
      <c r="K3751" s="40">
        <f>SUM(K3749,K3750)</f>
        <v>30976.38</v>
      </c>
      <c r="L3751" s="676"/>
      <c r="M3751" s="173"/>
      <c r="O3751" s="171"/>
      <c r="P3751" s="218"/>
      <c r="Q3751" s="68"/>
      <c r="R3751" s="217"/>
      <c r="S3751" s="208"/>
    </row>
    <row r="3752" spans="1:25" ht="30" customHeight="1" x14ac:dyDescent="0.35">
      <c r="A3752" s="241"/>
      <c r="B3752" s="1031" t="s">
        <v>1670</v>
      </c>
      <c r="C3752" s="1032"/>
      <c r="D3752" s="1033"/>
      <c r="E3752" s="41"/>
      <c r="F3752" s="496"/>
      <c r="G3752" s="639"/>
      <c r="H3752" s="655"/>
      <c r="I3752" s="446"/>
      <c r="J3752" s="446"/>
      <c r="K3752" s="40"/>
      <c r="L3752" s="243"/>
      <c r="M3752" s="173"/>
      <c r="O3752" s="203"/>
      <c r="P3752" s="218"/>
      <c r="Q3752" s="68"/>
      <c r="R3752" s="217"/>
    </row>
    <row r="3753" spans="1:25" s="208" customFormat="1" ht="30" customHeight="1" x14ac:dyDescent="0.35">
      <c r="A3753" s="241" t="s">
        <v>535</v>
      </c>
      <c r="B3753" s="1031" t="s">
        <v>1669</v>
      </c>
      <c r="C3753" s="1032"/>
      <c r="D3753" s="1033"/>
      <c r="E3753" s="41">
        <v>0.44</v>
      </c>
      <c r="F3753" s="3" t="s">
        <v>8</v>
      </c>
      <c r="G3753" s="716">
        <v>75250</v>
      </c>
      <c r="H3753" s="3" t="s">
        <v>8</v>
      </c>
      <c r="I3753" s="446">
        <v>1.02</v>
      </c>
      <c r="J3753" s="446"/>
      <c r="K3753" s="40">
        <f>+E3753*G3753*I3753</f>
        <v>33772.199999999997</v>
      </c>
      <c r="L3753" s="676" t="s">
        <v>10</v>
      </c>
      <c r="M3753" s="173"/>
      <c r="N3753" s="203"/>
      <c r="O3753" s="205"/>
      <c r="P3753" s="216"/>
      <c r="Q3753" s="419"/>
      <c r="R3753" s="219"/>
      <c r="S3753" s="203"/>
      <c r="T3753" s="203"/>
      <c r="U3753" s="203"/>
      <c r="V3753" s="203"/>
      <c r="W3753" s="203"/>
      <c r="X3753" s="203"/>
      <c r="Y3753" s="203"/>
    </row>
    <row r="3754" spans="1:25" ht="30" customHeight="1" x14ac:dyDescent="0.35">
      <c r="A3754" s="241"/>
      <c r="B3754" s="1031" t="s">
        <v>1671</v>
      </c>
      <c r="C3754" s="1032"/>
      <c r="D3754" s="1033"/>
      <c r="E3754" s="41"/>
      <c r="F3754" s="496"/>
      <c r="G3754" s="716"/>
      <c r="H3754" s="655"/>
      <c r="I3754" s="446"/>
      <c r="J3754" s="446"/>
      <c r="K3754" s="40"/>
      <c r="L3754" s="676"/>
      <c r="M3754" s="173"/>
      <c r="N3754" s="293"/>
      <c r="P3754" s="216"/>
      <c r="Q3754" s="419"/>
      <c r="R3754" s="219"/>
      <c r="T3754" s="51"/>
      <c r="U3754" s="171"/>
    </row>
    <row r="3755" spans="1:25" ht="30" customHeight="1" x14ac:dyDescent="0.35">
      <c r="A3755" s="241" t="s">
        <v>535</v>
      </c>
      <c r="B3755" s="1082" t="s">
        <v>1672</v>
      </c>
      <c r="C3755" s="1083"/>
      <c r="D3755" s="1093"/>
      <c r="E3755" s="296">
        <v>0.28999999999999998</v>
      </c>
      <c r="F3755" s="3" t="s">
        <v>8</v>
      </c>
      <c r="G3755" s="716">
        <v>63360</v>
      </c>
      <c r="H3755" s="659" t="s">
        <v>325</v>
      </c>
      <c r="I3755" s="446">
        <v>1.02</v>
      </c>
      <c r="J3755" s="446"/>
      <c r="K3755" s="40">
        <f>+E3755*G3755*I3755</f>
        <v>18741.887999999999</v>
      </c>
      <c r="L3755" s="676" t="s">
        <v>10</v>
      </c>
      <c r="M3755" s="173"/>
      <c r="N3755" s="293"/>
      <c r="P3755" s="217"/>
      <c r="Q3755" s="68"/>
      <c r="T3755" s="51"/>
      <c r="U3755" s="171"/>
    </row>
    <row r="3756" spans="1:25" ht="30" customHeight="1" x14ac:dyDescent="0.35">
      <c r="A3756" s="241" t="s">
        <v>535</v>
      </c>
      <c r="B3756" s="1082" t="s">
        <v>1673</v>
      </c>
      <c r="C3756" s="1083"/>
      <c r="D3756" s="1093"/>
      <c r="E3756" s="296">
        <v>0.45</v>
      </c>
      <c r="F3756" s="3" t="s">
        <v>8</v>
      </c>
      <c r="G3756" s="716">
        <v>63360</v>
      </c>
      <c r="H3756" s="659" t="s">
        <v>325</v>
      </c>
      <c r="I3756" s="446">
        <v>1.02</v>
      </c>
      <c r="J3756" s="446"/>
      <c r="K3756" s="40">
        <f>+E3756*G3756*I3756</f>
        <v>29082.240000000002</v>
      </c>
      <c r="L3756" s="676" t="s">
        <v>10</v>
      </c>
      <c r="M3756" s="363"/>
      <c r="N3756" s="68"/>
      <c r="O3756" s="208"/>
      <c r="P3756" s="171"/>
      <c r="Q3756" s="171"/>
      <c r="R3756" s="171"/>
      <c r="S3756" s="51"/>
      <c r="T3756" s="51"/>
      <c r="U3756" s="171"/>
    </row>
    <row r="3757" spans="1:25" ht="30" customHeight="1" x14ac:dyDescent="0.35">
      <c r="A3757" s="241" t="s">
        <v>535</v>
      </c>
      <c r="B3757" s="1082" t="s">
        <v>1674</v>
      </c>
      <c r="C3757" s="1083"/>
      <c r="D3757" s="1093"/>
      <c r="E3757" s="296">
        <v>3.6</v>
      </c>
      <c r="F3757" s="3" t="s">
        <v>6</v>
      </c>
      <c r="G3757" s="716">
        <v>21120</v>
      </c>
      <c r="H3757" s="659" t="s">
        <v>428</v>
      </c>
      <c r="I3757" s="446">
        <v>1.02</v>
      </c>
      <c r="J3757" s="446"/>
      <c r="K3757" s="40">
        <f>+E3757*G3757*I3757</f>
        <v>77552.639999999999</v>
      </c>
      <c r="L3757" s="676" t="s">
        <v>10</v>
      </c>
      <c r="M3757" s="173"/>
      <c r="N3757" s="68"/>
      <c r="O3757" s="207"/>
      <c r="P3757" s="171"/>
      <c r="Q3757" s="171"/>
      <c r="R3757" s="171"/>
      <c r="S3757" s="51"/>
      <c r="T3757" s="208"/>
      <c r="U3757" s="75"/>
      <c r="V3757" s="208"/>
      <c r="W3757" s="208"/>
      <c r="X3757" s="208"/>
    </row>
    <row r="3758" spans="1:25" ht="30" customHeight="1" x14ac:dyDescent="0.35">
      <c r="A3758" s="681"/>
      <c r="B3758" s="1184" t="s">
        <v>1675</v>
      </c>
      <c r="C3758" s="1207"/>
      <c r="D3758" s="1359"/>
      <c r="E3758" s="895"/>
      <c r="F3758" s="880"/>
      <c r="G3758" s="446"/>
      <c r="H3758" s="446"/>
      <c r="I3758" s="703"/>
      <c r="J3758" s="703"/>
      <c r="K3758" s="896">
        <f>SUM(K3755:K3757)</f>
        <v>125376.768</v>
      </c>
      <c r="L3758" s="676" t="s">
        <v>10</v>
      </c>
      <c r="M3758" s="173"/>
      <c r="N3758" s="68"/>
      <c r="O3758" s="207"/>
      <c r="P3758" s="171"/>
      <c r="Q3758" s="171"/>
      <c r="R3758" s="171"/>
      <c r="S3758" s="51"/>
      <c r="T3758" s="27"/>
      <c r="U3758" s="171"/>
      <c r="Y3758" s="208"/>
    </row>
    <row r="3759" spans="1:25" ht="30" customHeight="1" x14ac:dyDescent="0.35">
      <c r="A3759" s="603"/>
      <c r="B3759" s="1354"/>
      <c r="C3759" s="1355"/>
      <c r="D3759" s="1164"/>
      <c r="E3759" s="458"/>
      <c r="F3759" s="458"/>
      <c r="G3759" s="458"/>
      <c r="H3759" s="458"/>
      <c r="I3759" s="1163" t="s">
        <v>1676</v>
      </c>
      <c r="J3759" s="1174"/>
      <c r="K3759" s="607">
        <f>+K3738+K3739+K3747+K3751+K3753+K3758</f>
        <v>798024.23399999994</v>
      </c>
      <c r="L3759" s="676" t="s">
        <v>10</v>
      </c>
      <c r="M3759" s="173"/>
      <c r="N3759" s="419"/>
      <c r="O3759" s="207"/>
      <c r="P3759" s="208"/>
      <c r="Q3759" s="208"/>
      <c r="R3759" s="208"/>
      <c r="S3759" s="208"/>
      <c r="T3759" s="27"/>
      <c r="U3759" s="27"/>
      <c r="V3759" s="27"/>
      <c r="W3759" s="27"/>
      <c r="X3759" s="27"/>
    </row>
    <row r="3760" spans="1:25" ht="30" customHeight="1" x14ac:dyDescent="0.35">
      <c r="A3760" s="897"/>
      <c r="B3760" s="1356" t="s">
        <v>1677</v>
      </c>
      <c r="C3760" s="1357"/>
      <c r="D3760" s="1358"/>
      <c r="E3760" s="40"/>
      <c r="F3760" s="3"/>
      <c r="G3760" s="42"/>
      <c r="H3760" s="3"/>
      <c r="I3760" s="1163" t="s">
        <v>1678</v>
      </c>
      <c r="J3760" s="1174"/>
      <c r="K3760" s="40">
        <f>+K3759/6</f>
        <v>133004.03899999999</v>
      </c>
      <c r="L3760" s="676" t="s">
        <v>10</v>
      </c>
      <c r="M3760" s="173"/>
      <c r="N3760" s="419"/>
      <c r="O3760" s="207"/>
      <c r="P3760" s="27"/>
      <c r="Q3760" s="27"/>
      <c r="R3760" s="27"/>
      <c r="S3760" s="27"/>
      <c r="T3760" s="27"/>
      <c r="U3760" s="27"/>
      <c r="V3760" s="27"/>
      <c r="W3760" s="27"/>
      <c r="X3760" s="27"/>
      <c r="Y3760" s="27"/>
    </row>
    <row r="3761" spans="1:25" s="208" customFormat="1" ht="30" customHeight="1" x14ac:dyDescent="0.35">
      <c r="A3761" s="241"/>
      <c r="B3761" s="506"/>
      <c r="C3761" s="506"/>
      <c r="D3761" s="506"/>
      <c r="E3761" s="453"/>
      <c r="F3761" s="1029" t="s">
        <v>302</v>
      </c>
      <c r="G3761" s="1058" t="s">
        <v>303</v>
      </c>
      <c r="H3761" s="1058"/>
      <c r="I3761" s="1058"/>
      <c r="J3761" s="1058"/>
      <c r="K3761" s="612">
        <v>1.07</v>
      </c>
      <c r="L3761" s="243"/>
      <c r="M3761" s="173"/>
      <c r="N3761" s="68"/>
      <c r="O3761" s="207"/>
      <c r="P3761" s="27"/>
      <c r="Q3761" s="27"/>
      <c r="R3761" s="27"/>
      <c r="S3761" s="27"/>
      <c r="T3761" s="27"/>
      <c r="U3761" s="27"/>
      <c r="V3761" s="27"/>
      <c r="W3761" s="27"/>
      <c r="X3761" s="27"/>
      <c r="Y3761" s="27"/>
    </row>
    <row r="3762" spans="1:25" ht="30" customHeight="1" x14ac:dyDescent="0.35">
      <c r="A3762" s="241"/>
      <c r="B3762" s="506"/>
      <c r="C3762" s="506"/>
      <c r="D3762" s="506"/>
      <c r="E3762" s="453"/>
      <c r="F3762" s="1030"/>
      <c r="G3762" s="1073" t="s">
        <v>2374</v>
      </c>
      <c r="H3762" s="1073"/>
      <c r="I3762" s="1073"/>
      <c r="J3762" s="1073"/>
      <c r="K3762" s="612">
        <v>1.08</v>
      </c>
      <c r="L3762" s="243"/>
      <c r="M3762" s="173"/>
      <c r="N3762" s="68"/>
      <c r="P3762" s="27"/>
      <c r="Q3762" s="27"/>
      <c r="R3762" s="27"/>
      <c r="S3762" s="27"/>
      <c r="T3762" s="27"/>
      <c r="U3762" s="27"/>
      <c r="V3762" s="27"/>
      <c r="W3762" s="27"/>
      <c r="X3762" s="27"/>
      <c r="Y3762" s="27"/>
    </row>
    <row r="3763" spans="1:25" s="27" customFormat="1" ht="30" customHeight="1" x14ac:dyDescent="0.35">
      <c r="A3763" s="241"/>
      <c r="B3763" s="898"/>
      <c r="C3763" s="899"/>
      <c r="D3763" s="900"/>
      <c r="E3763" s="458"/>
      <c r="F3763" s="458"/>
      <c r="G3763" s="458"/>
      <c r="H3763" s="458"/>
      <c r="I3763" s="458"/>
      <c r="J3763" s="434" t="s">
        <v>2356</v>
      </c>
      <c r="K3763" s="441">
        <f>+K3760*K3761/K3762</f>
        <v>131772.52012037035</v>
      </c>
      <c r="L3763" s="564" t="s">
        <v>10</v>
      </c>
      <c r="M3763" s="173"/>
      <c r="N3763" s="68"/>
      <c r="O3763" s="205"/>
      <c r="T3763" s="51"/>
      <c r="U3763" s="203"/>
      <c r="V3763" s="203"/>
      <c r="W3763" s="203"/>
      <c r="X3763" s="203"/>
    </row>
    <row r="3764" spans="1:25" s="27" customFormat="1" ht="30" customHeight="1" x14ac:dyDescent="0.35">
      <c r="A3764" s="241"/>
      <c r="B3764" s="297"/>
      <c r="C3764" s="298"/>
      <c r="D3764" s="299"/>
      <c r="E3764" s="458"/>
      <c r="F3764" s="458"/>
      <c r="G3764" s="613" t="s">
        <v>2359</v>
      </c>
      <c r="H3764" s="458"/>
      <c r="I3764" s="458"/>
      <c r="J3764" s="583">
        <f>VLOOKUP(B3736,'Mil Cost Premiums for PUCs'!$A$4:$R$272,18,FALSE)</f>
        <v>1.0485669999999998</v>
      </c>
      <c r="K3764" s="441">
        <f>+K3763*J3764</f>
        <v>138172.31610505635</v>
      </c>
      <c r="L3764" s="564" t="s">
        <v>10</v>
      </c>
      <c r="M3764" s="173"/>
      <c r="N3764" s="203"/>
      <c r="O3764" s="203"/>
      <c r="T3764" s="51"/>
      <c r="U3764" s="203"/>
      <c r="V3764" s="203"/>
      <c r="W3764" s="203"/>
      <c r="X3764" s="203"/>
      <c r="Y3764" s="203"/>
    </row>
    <row r="3765" spans="1:25" s="27" customFormat="1" ht="60" customHeight="1" x14ac:dyDescent="0.35">
      <c r="A3765" s="1064" t="s">
        <v>305</v>
      </c>
      <c r="B3765" s="1065"/>
      <c r="C3765" s="1065"/>
      <c r="D3765" s="1065"/>
      <c r="E3765" s="1065"/>
      <c r="F3765" s="1065"/>
      <c r="G3765" s="1065"/>
      <c r="H3765" s="1065"/>
      <c r="I3765" s="1065"/>
      <c r="J3765" s="1065"/>
      <c r="K3765" s="1065"/>
      <c r="L3765" s="1066"/>
      <c r="M3765" s="173"/>
      <c r="N3765" s="208"/>
      <c r="O3765" s="203"/>
      <c r="P3765" s="171"/>
      <c r="Q3765" s="171"/>
      <c r="R3765" s="171"/>
      <c r="S3765" s="51"/>
      <c r="T3765" s="203"/>
      <c r="U3765" s="203"/>
      <c r="V3765" s="203"/>
      <c r="W3765" s="203"/>
      <c r="X3765" s="203"/>
      <c r="Y3765" s="203"/>
    </row>
    <row r="3766" spans="1:25" s="27" customFormat="1" ht="30" customHeight="1" x14ac:dyDescent="0.35">
      <c r="A3766" s="1077" t="s">
        <v>306</v>
      </c>
      <c r="B3766" s="1042"/>
      <c r="C3766" s="1043"/>
      <c r="D3766" s="1067" t="s">
        <v>1679</v>
      </c>
      <c r="E3766" s="1065"/>
      <c r="F3766" s="1065"/>
      <c r="G3766" s="1065"/>
      <c r="H3766" s="1065"/>
      <c r="I3766" s="1065"/>
      <c r="J3766" s="1065"/>
      <c r="K3766" s="1065"/>
      <c r="L3766" s="1066"/>
      <c r="M3766" s="173"/>
      <c r="N3766" s="203"/>
      <c r="O3766" s="203"/>
      <c r="P3766" s="171"/>
      <c r="Q3766" s="171"/>
      <c r="R3766" s="171"/>
      <c r="S3766" s="51"/>
      <c r="T3766" s="203"/>
      <c r="U3766" s="203"/>
      <c r="V3766" s="203"/>
      <c r="W3766" s="203"/>
      <c r="X3766" s="203"/>
      <c r="Y3766" s="203"/>
    </row>
    <row r="3767" spans="1:25" ht="30" customHeight="1" x14ac:dyDescent="0.35">
      <c r="A3767" s="1077" t="s">
        <v>307</v>
      </c>
      <c r="B3767" s="1042"/>
      <c r="C3767" s="1043"/>
      <c r="D3767" s="1067" t="s">
        <v>2256</v>
      </c>
      <c r="E3767" s="1065"/>
      <c r="F3767" s="1065"/>
      <c r="G3767" s="1065"/>
      <c r="H3767" s="1065"/>
      <c r="I3767" s="1065"/>
      <c r="J3767" s="1065"/>
      <c r="K3767" s="1065"/>
      <c r="L3767" s="1066"/>
      <c r="M3767" s="173"/>
      <c r="N3767" s="214"/>
      <c r="O3767" s="208"/>
      <c r="P3767" s="218"/>
      <c r="Q3767" s="68"/>
      <c r="R3767" s="217"/>
    </row>
    <row r="3768" spans="1:25" ht="30" customHeight="1" x14ac:dyDescent="0.35">
      <c r="A3768" s="1077" t="s">
        <v>308</v>
      </c>
      <c r="B3768" s="1042"/>
      <c r="C3768" s="1043"/>
      <c r="D3768" s="1067" t="s">
        <v>3187</v>
      </c>
      <c r="E3768" s="1065"/>
      <c r="F3768" s="1065"/>
      <c r="G3768" s="1065"/>
      <c r="H3768" s="1065"/>
      <c r="I3768" s="1065"/>
      <c r="J3768" s="1065"/>
      <c r="K3768" s="1065"/>
      <c r="L3768" s="1066"/>
      <c r="M3768" s="173"/>
      <c r="N3768" s="214"/>
      <c r="O3768" s="203"/>
      <c r="P3768" s="218"/>
      <c r="Q3768" s="68"/>
      <c r="R3768" s="217"/>
      <c r="T3768" s="208"/>
      <c r="U3768" s="208"/>
      <c r="V3768" s="208"/>
      <c r="W3768" s="208"/>
      <c r="X3768" s="208"/>
    </row>
    <row r="3769" spans="1:25" ht="30" customHeight="1" x14ac:dyDescent="0.35">
      <c r="A3769" s="1077" t="s">
        <v>309</v>
      </c>
      <c r="B3769" s="1042"/>
      <c r="C3769" s="1043"/>
      <c r="D3769" s="1067" t="s">
        <v>1680</v>
      </c>
      <c r="E3769" s="1065"/>
      <c r="F3769" s="1065"/>
      <c r="G3769" s="1065"/>
      <c r="H3769" s="1065"/>
      <c r="I3769" s="1065"/>
      <c r="J3769" s="1065"/>
      <c r="K3769" s="1065"/>
      <c r="L3769" s="1066"/>
      <c r="M3769" s="173"/>
      <c r="N3769" s="214"/>
      <c r="O3769" s="171"/>
      <c r="P3769" s="218"/>
      <c r="Q3769" s="68"/>
      <c r="R3769" s="217"/>
      <c r="Y3769" s="208"/>
    </row>
    <row r="3770" spans="1:25" ht="30" customHeight="1" x14ac:dyDescent="0.35">
      <c r="A3770" s="1077" t="s">
        <v>311</v>
      </c>
      <c r="B3770" s="1042"/>
      <c r="C3770" s="1043"/>
      <c r="D3770" s="1067" t="s">
        <v>1681</v>
      </c>
      <c r="E3770" s="1065"/>
      <c r="F3770" s="1065"/>
      <c r="G3770" s="1065"/>
      <c r="H3770" s="1065"/>
      <c r="I3770" s="1065"/>
      <c r="J3770" s="1065"/>
      <c r="K3770" s="1065"/>
      <c r="L3770" s="1066"/>
      <c r="M3770" s="293"/>
      <c r="N3770" s="214"/>
      <c r="O3770" s="171"/>
      <c r="P3770" s="218"/>
      <c r="Q3770" s="68"/>
      <c r="R3770" s="217"/>
      <c r="S3770" s="208"/>
    </row>
    <row r="3771" spans="1:25" ht="30" customHeight="1" x14ac:dyDescent="0.35">
      <c r="A3771" s="1077" t="s">
        <v>313</v>
      </c>
      <c r="B3771" s="1042"/>
      <c r="C3771" s="1043"/>
      <c r="D3771" s="1067" t="s">
        <v>1682</v>
      </c>
      <c r="E3771" s="1065"/>
      <c r="F3771" s="1065"/>
      <c r="G3771" s="1065"/>
      <c r="H3771" s="1065"/>
      <c r="I3771" s="1065"/>
      <c r="J3771" s="1065"/>
      <c r="K3771" s="1065"/>
      <c r="L3771" s="1066"/>
      <c r="M3771" s="532"/>
      <c r="N3771" s="214"/>
      <c r="O3771" s="203"/>
      <c r="P3771" s="218"/>
      <c r="Q3771" s="68"/>
      <c r="R3771" s="217"/>
    </row>
    <row r="3772" spans="1:25" s="208" customFormat="1" ht="30" customHeight="1" x14ac:dyDescent="0.35">
      <c r="A3772" s="1077" t="s">
        <v>315</v>
      </c>
      <c r="B3772" s="1042"/>
      <c r="C3772" s="1043"/>
      <c r="D3772" s="1067" t="s">
        <v>1683</v>
      </c>
      <c r="E3772" s="1065"/>
      <c r="F3772" s="1065"/>
      <c r="G3772" s="1065"/>
      <c r="H3772" s="1065"/>
      <c r="I3772" s="1065"/>
      <c r="J3772" s="1065"/>
      <c r="K3772" s="1065"/>
      <c r="L3772" s="1066"/>
      <c r="M3772" s="173"/>
      <c r="N3772" s="214"/>
      <c r="O3772" s="203"/>
      <c r="P3772" s="216"/>
      <c r="Q3772" s="419"/>
      <c r="R3772" s="219"/>
      <c r="S3772" s="203"/>
      <c r="T3772" s="203"/>
      <c r="U3772" s="203"/>
      <c r="V3772" s="203"/>
      <c r="W3772" s="203"/>
      <c r="X3772" s="203"/>
      <c r="Y3772" s="203"/>
    </row>
    <row r="3773" spans="1:25" ht="45" customHeight="1" x14ac:dyDescent="0.35">
      <c r="A3773" s="1077" t="s">
        <v>316</v>
      </c>
      <c r="B3773" s="1042"/>
      <c r="C3773" s="1043"/>
      <c r="D3773" s="1067" t="s">
        <v>1227</v>
      </c>
      <c r="E3773" s="1065"/>
      <c r="F3773" s="1065"/>
      <c r="G3773" s="1065"/>
      <c r="H3773" s="1065"/>
      <c r="I3773" s="1065"/>
      <c r="J3773" s="1065"/>
      <c r="K3773" s="1065"/>
      <c r="L3773" s="1066"/>
      <c r="M3773" s="173"/>
      <c r="O3773" s="203"/>
      <c r="P3773" s="216"/>
      <c r="Q3773" s="419"/>
      <c r="R3773" s="219"/>
    </row>
    <row r="3774" spans="1:25" ht="135" customHeight="1" thickBot="1" x14ac:dyDescent="0.4">
      <c r="A3774" s="1078" t="s">
        <v>318</v>
      </c>
      <c r="B3774" s="1079"/>
      <c r="C3774" s="1080"/>
      <c r="D3774" s="1068" t="s">
        <v>3126</v>
      </c>
      <c r="E3774" s="1069"/>
      <c r="F3774" s="1069"/>
      <c r="G3774" s="1069"/>
      <c r="H3774" s="1069"/>
      <c r="I3774" s="1069"/>
      <c r="J3774" s="1069"/>
      <c r="K3774" s="1069"/>
      <c r="L3774" s="1070"/>
      <c r="M3774" s="173"/>
      <c r="O3774" s="203"/>
      <c r="P3774" s="218"/>
      <c r="Q3774" s="68"/>
      <c r="R3774" s="217"/>
    </row>
    <row r="3775" spans="1:25" ht="30" customHeight="1" thickBot="1" x14ac:dyDescent="0.4">
      <c r="A3775" s="481"/>
      <c r="B3775" s="482"/>
      <c r="C3775" s="482"/>
      <c r="D3775" s="482"/>
      <c r="E3775" s="482"/>
      <c r="F3775" s="482"/>
      <c r="G3775" s="482"/>
      <c r="H3775" s="482"/>
      <c r="I3775" s="482"/>
      <c r="J3775" s="482"/>
      <c r="K3775" s="482"/>
      <c r="L3775" s="483"/>
      <c r="M3775" s="173"/>
      <c r="N3775" s="68"/>
      <c r="O3775" s="208"/>
      <c r="P3775" s="218"/>
      <c r="Q3775" s="68"/>
      <c r="R3775" s="217"/>
    </row>
    <row r="3776" spans="1:25" ht="30" customHeight="1" x14ac:dyDescent="0.35">
      <c r="A3776" s="465" t="s">
        <v>278</v>
      </c>
      <c r="B3776" s="539">
        <v>7601</v>
      </c>
      <c r="C3776" s="1017" t="s">
        <v>1684</v>
      </c>
      <c r="D3776" s="1018"/>
      <c r="E3776" s="541" t="s">
        <v>280</v>
      </c>
      <c r="F3776" s="542" t="s">
        <v>8</v>
      </c>
      <c r="G3776" s="543" t="s">
        <v>285</v>
      </c>
      <c r="H3776" s="555">
        <v>14490</v>
      </c>
      <c r="I3776" s="541" t="s">
        <v>281</v>
      </c>
      <c r="J3776" s="1019" t="s">
        <v>2371</v>
      </c>
      <c r="K3776" s="1019"/>
      <c r="L3776" s="1020"/>
      <c r="M3776" s="173"/>
      <c r="N3776" s="68"/>
      <c r="O3776" s="203"/>
      <c r="P3776" s="218"/>
      <c r="Q3776" s="68"/>
      <c r="R3776" s="217"/>
      <c r="T3776" s="208"/>
      <c r="U3776" s="208"/>
      <c r="V3776" s="208"/>
      <c r="W3776" s="208"/>
      <c r="X3776" s="208"/>
    </row>
    <row r="3777" spans="1:25" ht="30" customHeight="1" x14ac:dyDescent="0.35">
      <c r="A3777" s="588" t="s">
        <v>298</v>
      </c>
      <c r="B3777" s="1038" t="s">
        <v>321</v>
      </c>
      <c r="C3777" s="1039"/>
      <c r="D3777" s="1040"/>
      <c r="E3777" s="23" t="s">
        <v>290</v>
      </c>
      <c r="F3777" s="23" t="s">
        <v>322</v>
      </c>
      <c r="G3777" s="1034" t="s">
        <v>323</v>
      </c>
      <c r="H3777" s="1035"/>
      <c r="I3777" s="509" t="s">
        <v>299</v>
      </c>
      <c r="J3777" s="509"/>
      <c r="K3777" s="595" t="s">
        <v>292</v>
      </c>
      <c r="L3777" s="739"/>
      <c r="M3777" s="173"/>
      <c r="N3777" s="68"/>
      <c r="O3777" s="171"/>
      <c r="P3777" s="218"/>
      <c r="Q3777" s="68"/>
      <c r="R3777" s="217"/>
      <c r="Y3777" s="208"/>
    </row>
    <row r="3778" spans="1:25" ht="30" customHeight="1" x14ac:dyDescent="0.35">
      <c r="A3778" s="241" t="s">
        <v>1685</v>
      </c>
      <c r="B3778" s="1031" t="s">
        <v>1686</v>
      </c>
      <c r="C3778" s="1032"/>
      <c r="D3778" s="1033"/>
      <c r="E3778" s="40">
        <v>203</v>
      </c>
      <c r="F3778" s="3" t="s">
        <v>8</v>
      </c>
      <c r="G3778" s="496"/>
      <c r="H3778" s="498"/>
      <c r="I3778" s="446">
        <v>1.06</v>
      </c>
      <c r="J3778" s="446"/>
      <c r="K3778" s="38">
        <f>+E3778*I3778</f>
        <v>215.18</v>
      </c>
      <c r="L3778" s="676" t="s">
        <v>8</v>
      </c>
      <c r="M3778" s="173"/>
      <c r="N3778" s="419"/>
      <c r="O3778" s="171"/>
      <c r="P3778" s="218"/>
      <c r="Q3778" s="68"/>
      <c r="R3778" s="217"/>
      <c r="S3778" s="208"/>
    </row>
    <row r="3779" spans="1:25" ht="30" customHeight="1" x14ac:dyDescent="0.35">
      <c r="A3779" s="848" t="s">
        <v>1551</v>
      </c>
      <c r="B3779" s="1031" t="s">
        <v>2795</v>
      </c>
      <c r="C3779" s="1032"/>
      <c r="D3779" s="1033"/>
      <c r="E3779" s="40">
        <v>4.3</v>
      </c>
      <c r="F3779" s="3" t="s">
        <v>8</v>
      </c>
      <c r="G3779" s="496"/>
      <c r="H3779" s="498"/>
      <c r="I3779" s="446">
        <v>1.06</v>
      </c>
      <c r="J3779" s="446"/>
      <c r="K3779" s="38">
        <f>+E3779*I3779</f>
        <v>4.5579999999999998</v>
      </c>
      <c r="L3779" s="676" t="s">
        <v>8</v>
      </c>
      <c r="M3779" s="173"/>
      <c r="N3779" s="419"/>
      <c r="O3779" s="203"/>
      <c r="P3779" s="218"/>
      <c r="Q3779" s="68"/>
      <c r="R3779" s="217"/>
    </row>
    <row r="3780" spans="1:25" s="208" customFormat="1" ht="30" customHeight="1" x14ac:dyDescent="0.35">
      <c r="A3780" s="717"/>
      <c r="B3780" s="1031"/>
      <c r="C3780" s="1032"/>
      <c r="D3780" s="1033"/>
      <c r="E3780" s="453"/>
      <c r="F3780" s="3"/>
      <c r="G3780" s="639"/>
      <c r="H3780" s="659"/>
      <c r="I3780" s="446"/>
      <c r="J3780" s="446" t="s">
        <v>335</v>
      </c>
      <c r="K3780" s="591">
        <f>SUM(K3778:K3779)</f>
        <v>219.738</v>
      </c>
      <c r="L3780" s="243" t="s">
        <v>8</v>
      </c>
      <c r="M3780" s="173"/>
      <c r="N3780" s="68"/>
      <c r="O3780" s="203"/>
      <c r="P3780" s="216"/>
      <c r="Q3780" s="419"/>
      <c r="R3780" s="219"/>
      <c r="S3780" s="203"/>
      <c r="T3780" s="203"/>
      <c r="U3780" s="203"/>
      <c r="V3780" s="203"/>
      <c r="W3780" s="203"/>
      <c r="X3780" s="203"/>
      <c r="Y3780" s="203"/>
    </row>
    <row r="3781" spans="1:25" ht="30" customHeight="1" x14ac:dyDescent="0.35">
      <c r="A3781" s="241"/>
      <c r="B3781" s="506"/>
      <c r="C3781" s="506"/>
      <c r="D3781" s="506"/>
      <c r="E3781" s="453"/>
      <c r="F3781" s="1029" t="s">
        <v>302</v>
      </c>
      <c r="G3781" s="1058" t="s">
        <v>303</v>
      </c>
      <c r="H3781" s="1058"/>
      <c r="I3781" s="1058"/>
      <c r="J3781" s="1058"/>
      <c r="K3781" s="612">
        <v>1.07</v>
      </c>
      <c r="L3781" s="243"/>
      <c r="M3781" s="173"/>
      <c r="N3781" s="68"/>
      <c r="O3781" s="203"/>
      <c r="P3781" s="216"/>
      <c r="Q3781" s="419"/>
      <c r="R3781" s="219"/>
    </row>
    <row r="3782" spans="1:25" ht="30" customHeight="1" x14ac:dyDescent="0.35">
      <c r="A3782" s="241"/>
      <c r="B3782" s="506"/>
      <c r="C3782" s="506"/>
      <c r="D3782" s="506"/>
      <c r="E3782" s="453"/>
      <c r="F3782" s="1030"/>
      <c r="G3782" s="1073" t="s">
        <v>2374</v>
      </c>
      <c r="H3782" s="1073"/>
      <c r="I3782" s="1073"/>
      <c r="J3782" s="1073"/>
      <c r="K3782" s="612">
        <v>1.08</v>
      </c>
      <c r="L3782" s="243"/>
      <c r="M3782" s="173"/>
      <c r="N3782" s="293"/>
      <c r="O3782" s="203"/>
      <c r="P3782" s="218"/>
      <c r="Q3782" s="68"/>
      <c r="R3782" s="217"/>
    </row>
    <row r="3783" spans="1:25" ht="30" customHeight="1" x14ac:dyDescent="0.35">
      <c r="A3783" s="717"/>
      <c r="B3783" s="1031"/>
      <c r="C3783" s="1032"/>
      <c r="D3783" s="1033"/>
      <c r="E3783" s="453"/>
      <c r="F3783" s="3"/>
      <c r="G3783" s="639"/>
      <c r="H3783" s="659"/>
      <c r="I3783" s="446"/>
      <c r="J3783" s="446" t="s">
        <v>2356</v>
      </c>
      <c r="K3783" s="591">
        <f>+K3780*K3781/K3782</f>
        <v>217.7033888888889</v>
      </c>
      <c r="L3783" s="243" t="s">
        <v>8</v>
      </c>
      <c r="M3783" s="173"/>
      <c r="N3783" s="293"/>
      <c r="O3783" s="208"/>
      <c r="P3783" s="218"/>
      <c r="Q3783" s="68"/>
      <c r="R3783" s="217"/>
    </row>
    <row r="3784" spans="1:25" ht="30" customHeight="1" thickBot="1" x14ac:dyDescent="0.4">
      <c r="A3784" s="241"/>
      <c r="B3784" s="446"/>
      <c r="C3784" s="458"/>
      <c r="D3784" s="458"/>
      <c r="E3784" s="458"/>
      <c r="F3784" s="458"/>
      <c r="G3784" s="592" t="s">
        <v>2358</v>
      </c>
      <c r="H3784" s="458"/>
      <c r="I3784" s="458"/>
      <c r="J3784" s="583">
        <f>VLOOKUP(B3776,'Mil Cost Premiums for PUCs'!$A$4:$R$272,18,FALSE)</f>
        <v>1.3319480854780448</v>
      </c>
      <c r="K3784" s="591">
        <f>+K3780*J3784</f>
        <v>292.67960840677461</v>
      </c>
      <c r="L3784" s="243" t="s">
        <v>8</v>
      </c>
      <c r="M3784" s="173"/>
      <c r="N3784" s="68"/>
      <c r="O3784" s="203"/>
      <c r="P3784" s="218"/>
      <c r="Q3784" s="68"/>
      <c r="R3784" s="217"/>
      <c r="T3784" s="208"/>
      <c r="U3784" s="208"/>
      <c r="V3784" s="208"/>
      <c r="W3784" s="208"/>
      <c r="X3784" s="208"/>
    </row>
    <row r="3785" spans="1:25" ht="30" customHeight="1" thickBot="1" x14ac:dyDescent="0.4">
      <c r="A3785" s="481"/>
      <c r="B3785" s="482"/>
      <c r="C3785" s="482"/>
      <c r="D3785" s="482"/>
      <c r="E3785" s="482"/>
      <c r="F3785" s="482"/>
      <c r="G3785" s="482"/>
      <c r="H3785" s="482"/>
      <c r="I3785" s="482"/>
      <c r="J3785" s="482"/>
      <c r="K3785" s="482"/>
      <c r="L3785" s="483"/>
      <c r="M3785" s="173"/>
      <c r="N3785" s="68"/>
      <c r="O3785" s="203"/>
      <c r="P3785" s="218"/>
      <c r="Q3785" s="68"/>
      <c r="R3785" s="217"/>
      <c r="Y3785" s="208"/>
    </row>
    <row r="3786" spans="1:25" ht="30" customHeight="1" x14ac:dyDescent="0.35">
      <c r="A3786" s="465" t="s">
        <v>278</v>
      </c>
      <c r="B3786" s="539">
        <v>7602</v>
      </c>
      <c r="C3786" s="1096" t="s">
        <v>3123</v>
      </c>
      <c r="D3786" s="1097"/>
      <c r="E3786" s="543" t="s">
        <v>279</v>
      </c>
      <c r="F3786" s="854">
        <v>1</v>
      </c>
      <c r="G3786" s="541" t="s">
        <v>280</v>
      </c>
      <c r="H3786" s="542" t="s">
        <v>10</v>
      </c>
      <c r="I3786" s="541" t="s">
        <v>281</v>
      </c>
      <c r="J3786" s="1098" t="s">
        <v>3125</v>
      </c>
      <c r="K3786" s="1099"/>
      <c r="L3786" s="1100"/>
      <c r="M3786" s="173"/>
      <c r="N3786" s="419"/>
      <c r="O3786" s="203"/>
      <c r="P3786" s="218"/>
      <c r="Q3786" s="68"/>
      <c r="R3786" s="217"/>
      <c r="S3786" s="208"/>
    </row>
    <row r="3787" spans="1:25" ht="30" customHeight="1" x14ac:dyDescent="0.35">
      <c r="A3787" s="545"/>
      <c r="B3787" s="1021" t="s">
        <v>2921</v>
      </c>
      <c r="C3787" s="1021"/>
      <c r="D3787" s="1021"/>
      <c r="E3787" s="509" t="s">
        <v>290</v>
      </c>
      <c r="F3787" s="509" t="s">
        <v>322</v>
      </c>
      <c r="G3787" s="1034" t="s">
        <v>323</v>
      </c>
      <c r="H3787" s="1035"/>
      <c r="I3787" s="509" t="s">
        <v>327</v>
      </c>
      <c r="J3787" s="509" t="s">
        <v>419</v>
      </c>
      <c r="K3787" s="1012" t="s">
        <v>2356</v>
      </c>
      <c r="L3787" s="1013"/>
      <c r="M3787" s="173"/>
      <c r="N3787" s="419"/>
      <c r="O3787" s="203"/>
      <c r="P3787" s="218"/>
      <c r="Q3787" s="68"/>
      <c r="R3787" s="217"/>
    </row>
    <row r="3788" spans="1:25" s="208" customFormat="1" ht="30" customHeight="1" thickBot="1" x14ac:dyDescent="0.4">
      <c r="A3788" s="546"/>
      <c r="B3788" s="1014">
        <v>9266.2999999999993</v>
      </c>
      <c r="C3788" s="1014"/>
      <c r="D3788" s="1014"/>
      <c r="E3788" s="547"/>
      <c r="F3788" s="548"/>
      <c r="G3788" s="1015"/>
      <c r="H3788" s="1016"/>
      <c r="I3788" s="549"/>
      <c r="J3788" s="550">
        <v>1.0202</v>
      </c>
      <c r="K3788" s="551">
        <f>B3788*J3788</f>
        <v>9453.4792600000001</v>
      </c>
      <c r="L3788" s="552" t="s">
        <v>10</v>
      </c>
      <c r="M3788" s="173"/>
      <c r="N3788" s="68"/>
      <c r="O3788" s="203"/>
      <c r="P3788" s="218"/>
      <c r="Q3788" s="68"/>
      <c r="R3788" s="217"/>
      <c r="S3788" s="203"/>
      <c r="T3788" s="203"/>
      <c r="U3788" s="203"/>
      <c r="V3788" s="203"/>
      <c r="W3788" s="203"/>
      <c r="X3788" s="203"/>
      <c r="Y3788" s="203"/>
    </row>
    <row r="3789" spans="1:25" ht="30" customHeight="1" thickBot="1" x14ac:dyDescent="0.4">
      <c r="A3789" s="1086"/>
      <c r="B3789" s="1087"/>
      <c r="C3789" s="1087"/>
      <c r="D3789" s="1087"/>
      <c r="E3789" s="1087"/>
      <c r="F3789" s="1087"/>
      <c r="G3789" s="1087"/>
      <c r="H3789" s="1087"/>
      <c r="I3789" s="1087"/>
      <c r="J3789" s="1087"/>
      <c r="K3789" s="1087"/>
      <c r="L3789" s="1088"/>
      <c r="M3789" s="173"/>
      <c r="N3789" s="68"/>
      <c r="O3789" s="171"/>
      <c r="P3789" s="218"/>
      <c r="Q3789" s="68"/>
      <c r="R3789" s="217"/>
    </row>
    <row r="3790" spans="1:25" ht="30" customHeight="1" x14ac:dyDescent="0.35">
      <c r="A3790" s="465" t="s">
        <v>278</v>
      </c>
      <c r="B3790" s="539">
        <v>7603</v>
      </c>
      <c r="C3790" s="1096" t="s">
        <v>3124</v>
      </c>
      <c r="D3790" s="1097"/>
      <c r="E3790" s="543" t="s">
        <v>279</v>
      </c>
      <c r="F3790" s="854">
        <v>1</v>
      </c>
      <c r="G3790" s="541" t="s">
        <v>280</v>
      </c>
      <c r="H3790" s="542" t="s">
        <v>10</v>
      </c>
      <c r="I3790" s="541" t="s">
        <v>281</v>
      </c>
      <c r="J3790" s="1098" t="s">
        <v>2902</v>
      </c>
      <c r="K3790" s="1099"/>
      <c r="L3790" s="1100"/>
      <c r="M3790" s="173"/>
      <c r="N3790" s="68"/>
      <c r="O3790" s="171"/>
      <c r="P3790" s="218"/>
      <c r="Q3790" s="68"/>
      <c r="R3790" s="217"/>
    </row>
    <row r="3791" spans="1:25" ht="30" customHeight="1" x14ac:dyDescent="0.35">
      <c r="A3791" s="545"/>
      <c r="B3791" s="1021" t="s">
        <v>2921</v>
      </c>
      <c r="C3791" s="1021"/>
      <c r="D3791" s="1021"/>
      <c r="E3791" s="509" t="s">
        <v>290</v>
      </c>
      <c r="F3791" s="509" t="s">
        <v>322</v>
      </c>
      <c r="G3791" s="1034" t="s">
        <v>323</v>
      </c>
      <c r="H3791" s="1035"/>
      <c r="I3791" s="509" t="s">
        <v>327</v>
      </c>
      <c r="J3791" s="509" t="s">
        <v>419</v>
      </c>
      <c r="K3791" s="1012" t="s">
        <v>2356</v>
      </c>
      <c r="L3791" s="1013"/>
      <c r="M3791" s="173"/>
      <c r="N3791" s="68"/>
      <c r="O3791" s="203"/>
      <c r="P3791" s="218"/>
      <c r="Q3791" s="68"/>
      <c r="R3791" s="217"/>
    </row>
    <row r="3792" spans="1:25" ht="30" customHeight="1" thickBot="1" x14ac:dyDescent="0.4">
      <c r="A3792" s="546"/>
      <c r="B3792" s="1085" t="s">
        <v>4</v>
      </c>
      <c r="C3792" s="1085"/>
      <c r="D3792" s="1085"/>
      <c r="E3792" s="547"/>
      <c r="F3792" s="548"/>
      <c r="G3792" s="1015"/>
      <c r="H3792" s="1016"/>
      <c r="I3792" s="549"/>
      <c r="J3792" s="550"/>
      <c r="K3792" s="551" t="s">
        <v>4</v>
      </c>
      <c r="L3792" s="552" t="s">
        <v>10</v>
      </c>
      <c r="M3792" s="173"/>
      <c r="N3792" s="68"/>
      <c r="O3792" s="203"/>
      <c r="P3792" s="218"/>
      <c r="Q3792" s="68"/>
      <c r="R3792" s="217"/>
      <c r="T3792" s="208"/>
      <c r="U3792" s="208"/>
      <c r="V3792" s="208"/>
      <c r="W3792" s="208"/>
      <c r="X3792" s="208"/>
    </row>
    <row r="3793" spans="1:25" ht="30" customHeight="1" thickBot="1" x14ac:dyDescent="0.4">
      <c r="A3793" s="1086"/>
      <c r="B3793" s="1087"/>
      <c r="C3793" s="1087"/>
      <c r="D3793" s="1087"/>
      <c r="E3793" s="1087"/>
      <c r="F3793" s="1087"/>
      <c r="G3793" s="1087"/>
      <c r="H3793" s="1087"/>
      <c r="I3793" s="1087"/>
      <c r="J3793" s="1087"/>
      <c r="K3793" s="1087"/>
      <c r="L3793" s="1088"/>
      <c r="M3793" s="173"/>
      <c r="N3793" s="68"/>
      <c r="O3793" s="171"/>
      <c r="P3793" s="218"/>
      <c r="Q3793" s="68"/>
      <c r="R3793" s="217"/>
      <c r="Y3793" s="208"/>
    </row>
    <row r="3794" spans="1:25" ht="30" customHeight="1" x14ac:dyDescent="0.35">
      <c r="A3794" s="465" t="s">
        <v>278</v>
      </c>
      <c r="B3794" s="539">
        <v>7604</v>
      </c>
      <c r="C3794" s="1017" t="s">
        <v>1687</v>
      </c>
      <c r="D3794" s="1018"/>
      <c r="E3794" s="541" t="s">
        <v>280</v>
      </c>
      <c r="F3794" s="542" t="s">
        <v>208</v>
      </c>
      <c r="G3794" s="543" t="s">
        <v>285</v>
      </c>
      <c r="H3794" s="555">
        <v>4660</v>
      </c>
      <c r="I3794" s="541" t="s">
        <v>281</v>
      </c>
      <c r="J3794" s="1019" t="s">
        <v>2371</v>
      </c>
      <c r="K3794" s="1019"/>
      <c r="L3794" s="1020"/>
      <c r="M3794" s="173"/>
      <c r="N3794" s="419"/>
      <c r="O3794" s="171"/>
      <c r="P3794" s="218"/>
      <c r="Q3794" s="68"/>
      <c r="R3794" s="217"/>
      <c r="S3794" s="208"/>
    </row>
    <row r="3795" spans="1:25" ht="30" customHeight="1" x14ac:dyDescent="0.35">
      <c r="A3795" s="588" t="s">
        <v>298</v>
      </c>
      <c r="B3795" s="1038" t="s">
        <v>321</v>
      </c>
      <c r="C3795" s="1039"/>
      <c r="D3795" s="1040"/>
      <c r="E3795" s="23" t="s">
        <v>290</v>
      </c>
      <c r="F3795" s="23" t="s">
        <v>322</v>
      </c>
      <c r="G3795" s="1034" t="s">
        <v>323</v>
      </c>
      <c r="H3795" s="1035"/>
      <c r="I3795" s="509" t="s">
        <v>299</v>
      </c>
      <c r="J3795" s="509"/>
      <c r="K3795" s="595" t="s">
        <v>292</v>
      </c>
      <c r="L3795" s="739"/>
      <c r="M3795" s="173"/>
      <c r="N3795" s="419"/>
      <c r="O3795" s="203"/>
      <c r="P3795" s="218"/>
      <c r="Q3795" s="68"/>
      <c r="R3795" s="217"/>
    </row>
    <row r="3796" spans="1:25" s="208" customFormat="1" ht="30" customHeight="1" x14ac:dyDescent="0.35">
      <c r="A3796" s="832" t="s">
        <v>1288</v>
      </c>
      <c r="B3796" s="1031" t="s">
        <v>1688</v>
      </c>
      <c r="C3796" s="1032"/>
      <c r="D3796" s="1033"/>
      <c r="E3796" s="40">
        <v>166</v>
      </c>
      <c r="F3796" s="3" t="s">
        <v>1689</v>
      </c>
      <c r="G3796" s="496">
        <v>1.54</v>
      </c>
      <c r="H3796" s="70" t="s">
        <v>2164</v>
      </c>
      <c r="I3796" s="665">
        <v>1.05</v>
      </c>
      <c r="J3796" s="446"/>
      <c r="K3796" s="38">
        <f>+E3796*I3796/G3796</f>
        <v>113.18181818181819</v>
      </c>
      <c r="L3796" s="676" t="s">
        <v>208</v>
      </c>
      <c r="M3796" s="173"/>
      <c r="N3796" s="68"/>
      <c r="O3796" s="203"/>
      <c r="P3796" s="218"/>
      <c r="Q3796" s="68"/>
      <c r="R3796" s="217"/>
      <c r="S3796" s="203"/>
      <c r="Y3796" s="203"/>
    </row>
    <row r="3797" spans="1:25" ht="30" customHeight="1" x14ac:dyDescent="0.35">
      <c r="A3797" s="241"/>
      <c r="B3797" s="506"/>
      <c r="C3797" s="506"/>
      <c r="D3797" s="506"/>
      <c r="E3797" s="453"/>
      <c r="F3797" s="1029" t="s">
        <v>302</v>
      </c>
      <c r="G3797" s="1058" t="s">
        <v>303</v>
      </c>
      <c r="H3797" s="1058"/>
      <c r="I3797" s="1058"/>
      <c r="J3797" s="1058"/>
      <c r="K3797" s="612">
        <v>1.07</v>
      </c>
      <c r="L3797" s="243"/>
      <c r="M3797" s="364"/>
      <c r="N3797" s="68"/>
      <c r="O3797" s="171"/>
      <c r="P3797" s="218"/>
      <c r="Q3797" s="68"/>
      <c r="R3797" s="217"/>
      <c r="Y3797" s="208"/>
    </row>
    <row r="3798" spans="1:25" ht="30" customHeight="1" x14ac:dyDescent="0.35">
      <c r="A3798" s="241"/>
      <c r="B3798" s="506"/>
      <c r="C3798" s="506"/>
      <c r="D3798" s="506"/>
      <c r="E3798" s="453"/>
      <c r="F3798" s="1030"/>
      <c r="G3798" s="1073" t="s">
        <v>2374</v>
      </c>
      <c r="H3798" s="1073"/>
      <c r="I3798" s="1073"/>
      <c r="J3798" s="1073"/>
      <c r="K3798" s="612">
        <v>1.08</v>
      </c>
      <c r="L3798" s="243"/>
      <c r="M3798" s="173"/>
      <c r="N3798" s="419"/>
      <c r="O3798" s="171"/>
      <c r="P3798" s="218"/>
      <c r="Q3798" s="68"/>
      <c r="R3798" s="217"/>
      <c r="S3798" s="208"/>
    </row>
    <row r="3799" spans="1:25" ht="30" customHeight="1" x14ac:dyDescent="0.35">
      <c r="A3799" s="717"/>
      <c r="B3799" s="1031"/>
      <c r="C3799" s="1032"/>
      <c r="D3799" s="1033"/>
      <c r="E3799" s="453"/>
      <c r="F3799" s="3"/>
      <c r="G3799" s="639"/>
      <c r="H3799" s="659"/>
      <c r="I3799" s="446"/>
      <c r="J3799" s="446" t="s">
        <v>2356</v>
      </c>
      <c r="K3799" s="591">
        <f>+K3796*K3797/K3798</f>
        <v>112.13383838383839</v>
      </c>
      <c r="L3799" s="243" t="s">
        <v>208</v>
      </c>
      <c r="M3799" s="173"/>
      <c r="N3799" s="419"/>
      <c r="O3799" s="203"/>
      <c r="P3799" s="218"/>
      <c r="Q3799" s="68"/>
      <c r="R3799" s="217"/>
    </row>
    <row r="3800" spans="1:25" s="208" customFormat="1" ht="30" customHeight="1" thickBot="1" x14ac:dyDescent="0.4">
      <c r="A3800" s="241"/>
      <c r="B3800" s="1109" t="s">
        <v>2320</v>
      </c>
      <c r="C3800" s="1110"/>
      <c r="D3800" s="1111"/>
      <c r="E3800" s="458"/>
      <c r="F3800" s="458"/>
      <c r="G3800" s="592" t="s">
        <v>2358</v>
      </c>
      <c r="H3800" s="458"/>
      <c r="I3800" s="458"/>
      <c r="J3800" s="583">
        <f>VLOOKUP(B3794,'Mil Cost Premiums for PUCs'!$A$4:$R$272,18,FALSE)</f>
        <v>1.1199953840399997</v>
      </c>
      <c r="K3800" s="591">
        <f>+K3799*J3800</f>
        <v>125.58938138458633</v>
      </c>
      <c r="L3800" s="243" t="s">
        <v>208</v>
      </c>
      <c r="M3800" s="173"/>
      <c r="N3800" s="68"/>
      <c r="O3800" s="205"/>
      <c r="P3800" s="216"/>
      <c r="Q3800" s="419"/>
      <c r="R3800" s="219"/>
      <c r="S3800" s="203"/>
      <c r="T3800" s="203"/>
      <c r="U3800" s="203"/>
      <c r="V3800" s="203"/>
      <c r="W3800" s="203"/>
      <c r="X3800" s="203"/>
      <c r="Y3800" s="203"/>
    </row>
    <row r="3801" spans="1:25" ht="30" customHeight="1" thickBot="1" x14ac:dyDescent="0.4">
      <c r="A3801" s="481"/>
      <c r="B3801" s="482"/>
      <c r="C3801" s="482"/>
      <c r="D3801" s="482"/>
      <c r="E3801" s="482"/>
      <c r="F3801" s="482"/>
      <c r="G3801" s="482"/>
      <c r="H3801" s="482"/>
      <c r="I3801" s="482"/>
      <c r="J3801" s="482"/>
      <c r="K3801" s="482"/>
      <c r="L3801" s="483"/>
      <c r="M3801" s="407"/>
      <c r="N3801" s="68"/>
      <c r="P3801" s="216"/>
      <c r="Q3801" s="419"/>
      <c r="R3801" s="219"/>
      <c r="T3801" s="51"/>
      <c r="U3801" s="171"/>
    </row>
    <row r="3802" spans="1:25" ht="30" customHeight="1" x14ac:dyDescent="0.35">
      <c r="A3802" s="465" t="s">
        <v>278</v>
      </c>
      <c r="B3802" s="539">
        <v>7605</v>
      </c>
      <c r="C3802" s="1017" t="s">
        <v>1690</v>
      </c>
      <c r="D3802" s="1018"/>
      <c r="E3802" s="541" t="s">
        <v>280</v>
      </c>
      <c r="F3802" s="542" t="s">
        <v>10</v>
      </c>
      <c r="G3802" s="553"/>
      <c r="H3802" s="884"/>
      <c r="I3802" s="541" t="s">
        <v>281</v>
      </c>
      <c r="J3802" s="1019" t="s">
        <v>2170</v>
      </c>
      <c r="K3802" s="1019"/>
      <c r="L3802" s="1020"/>
      <c r="M3802" s="173"/>
      <c r="N3802" s="68"/>
      <c r="P3802" s="218"/>
      <c r="Q3802" s="68"/>
      <c r="R3802" s="217"/>
      <c r="T3802" s="51"/>
      <c r="U3802" s="171"/>
    </row>
    <row r="3803" spans="1:25" ht="30" customHeight="1" x14ac:dyDescent="0.35">
      <c r="A3803" s="545"/>
      <c r="B3803" s="1051" t="s">
        <v>282</v>
      </c>
      <c r="C3803" s="1051"/>
      <c r="D3803" s="1051"/>
      <c r="E3803" s="509" t="s">
        <v>478</v>
      </c>
      <c r="F3803" s="509" t="s">
        <v>322</v>
      </c>
      <c r="G3803" s="1034" t="s">
        <v>323</v>
      </c>
      <c r="H3803" s="1035"/>
      <c r="I3803" s="810" t="s">
        <v>327</v>
      </c>
      <c r="J3803" s="509" t="s">
        <v>419</v>
      </c>
      <c r="K3803" s="595" t="s">
        <v>292</v>
      </c>
      <c r="L3803" s="739"/>
      <c r="M3803" s="173"/>
      <c r="N3803" s="68"/>
      <c r="P3803" s="171"/>
      <c r="Q3803" s="171"/>
      <c r="R3803" s="171"/>
      <c r="S3803" s="51"/>
      <c r="U3803" s="171"/>
    </row>
    <row r="3804" spans="1:25" ht="30" customHeight="1" x14ac:dyDescent="0.35">
      <c r="A3804" s="546"/>
      <c r="B3804" s="1057" t="s">
        <v>1691</v>
      </c>
      <c r="C3804" s="1057"/>
      <c r="D3804" s="1057"/>
      <c r="E3804" s="696">
        <v>6390138</v>
      </c>
      <c r="F3804" s="436" t="s">
        <v>284</v>
      </c>
      <c r="G3804" s="434">
        <v>184</v>
      </c>
      <c r="H3804" s="697" t="s">
        <v>1692</v>
      </c>
      <c r="I3804" s="901">
        <f>1.07/1.08</f>
        <v>0.9907407407407407</v>
      </c>
      <c r="J3804" s="816">
        <f>+'2021 MILCON Inflation Table'!F4</f>
        <v>1.3697999999999999</v>
      </c>
      <c r="K3804" s="696">
        <f>+E3804/G3804/I3804*J3804</f>
        <v>48016.395342299875</v>
      </c>
      <c r="L3804" s="698" t="s">
        <v>10</v>
      </c>
      <c r="M3804" s="173"/>
      <c r="N3804" s="68"/>
      <c r="P3804" s="171"/>
      <c r="Q3804" s="171"/>
      <c r="R3804" s="171"/>
      <c r="S3804" s="51"/>
      <c r="T3804" s="208"/>
      <c r="U3804" s="75"/>
      <c r="V3804" s="208"/>
      <c r="W3804" s="208"/>
      <c r="X3804" s="208"/>
    </row>
    <row r="3805" spans="1:25" ht="30" customHeight="1" x14ac:dyDescent="0.35">
      <c r="A3805" s="546"/>
      <c r="B3805" s="514"/>
      <c r="C3805" s="480"/>
      <c r="D3805" s="769"/>
      <c r="E3805" s="815"/>
      <c r="F3805" s="436"/>
      <c r="G3805" s="434"/>
      <c r="H3805" s="176"/>
      <c r="I3805" s="1055" t="s">
        <v>1693</v>
      </c>
      <c r="J3805" s="1056"/>
      <c r="K3805" s="696">
        <f>+K3804</f>
        <v>48016.395342299875</v>
      </c>
      <c r="L3805" s="564" t="s">
        <v>10</v>
      </c>
      <c r="M3805" s="362"/>
      <c r="N3805" s="68"/>
      <c r="U3805" s="171"/>
      <c r="Y3805" s="208"/>
    </row>
    <row r="3806" spans="1:25" ht="30" customHeight="1" x14ac:dyDescent="0.35">
      <c r="A3806" s="241"/>
      <c r="B3806" s="1059"/>
      <c r="C3806" s="1059"/>
      <c r="D3806" s="1059"/>
      <c r="E3806" s="604" t="s">
        <v>1189</v>
      </c>
      <c r="F3806" s="458"/>
      <c r="G3806" s="458"/>
      <c r="H3806" s="458"/>
      <c r="I3806" s="458"/>
      <c r="J3806" s="433" t="s">
        <v>2356</v>
      </c>
      <c r="K3806" s="902">
        <f>+K3805</f>
        <v>48016.395342299875</v>
      </c>
      <c r="L3806" s="564" t="s">
        <v>10</v>
      </c>
      <c r="M3806" s="293"/>
      <c r="N3806" s="419"/>
      <c r="P3806" s="208"/>
      <c r="Q3806" s="208"/>
      <c r="R3806" s="208"/>
      <c r="S3806" s="208"/>
      <c r="T3806" s="51"/>
    </row>
    <row r="3807" spans="1:25" ht="30" customHeight="1" thickBot="1" x14ac:dyDescent="0.4">
      <c r="A3807" s="1162" t="s">
        <v>2423</v>
      </c>
      <c r="B3807" s="1069"/>
      <c r="C3807" s="1069"/>
      <c r="D3807" s="1069"/>
      <c r="E3807" s="515"/>
      <c r="F3807" s="515"/>
      <c r="G3807" s="515"/>
      <c r="H3807" s="515"/>
      <c r="I3807" s="515"/>
      <c r="J3807" s="515"/>
      <c r="K3807" s="515"/>
      <c r="L3807" s="903"/>
      <c r="M3807" s="293"/>
      <c r="N3807" s="419"/>
      <c r="O3807" s="203"/>
      <c r="T3807" s="51"/>
    </row>
    <row r="3808" spans="1:25" s="208" customFormat="1" ht="30" customHeight="1" thickBot="1" x14ac:dyDescent="0.4">
      <c r="A3808" s="481"/>
      <c r="B3808" s="482"/>
      <c r="C3808" s="482"/>
      <c r="D3808" s="482"/>
      <c r="E3808" s="482"/>
      <c r="F3808" s="482"/>
      <c r="G3808" s="482"/>
      <c r="H3808" s="482"/>
      <c r="I3808" s="482"/>
      <c r="J3808" s="482"/>
      <c r="K3808" s="482"/>
      <c r="L3808" s="483"/>
      <c r="M3808" s="173"/>
      <c r="N3808" s="68"/>
      <c r="O3808" s="203"/>
      <c r="P3808" s="171"/>
      <c r="Q3808" s="171"/>
      <c r="R3808" s="171"/>
      <c r="S3808" s="51"/>
      <c r="T3808" s="203"/>
      <c r="U3808" s="203"/>
      <c r="V3808" s="203"/>
      <c r="W3808" s="203"/>
      <c r="X3808" s="203"/>
      <c r="Y3808" s="203"/>
    </row>
    <row r="3809" spans="1:25" ht="30" customHeight="1" x14ac:dyDescent="0.35">
      <c r="A3809" s="465" t="s">
        <v>278</v>
      </c>
      <c r="B3809" s="539">
        <v>8111</v>
      </c>
      <c r="C3809" s="1017" t="s">
        <v>1694</v>
      </c>
      <c r="D3809" s="1018"/>
      <c r="E3809" s="541" t="s">
        <v>280</v>
      </c>
      <c r="F3809" s="542" t="s">
        <v>210</v>
      </c>
      <c r="G3809" s="543" t="s">
        <v>285</v>
      </c>
      <c r="H3809" s="555">
        <v>9630</v>
      </c>
      <c r="I3809" s="541" t="s">
        <v>281</v>
      </c>
      <c r="J3809" s="1019" t="s">
        <v>2371</v>
      </c>
      <c r="K3809" s="1019"/>
      <c r="L3809" s="1020"/>
      <c r="M3809" s="173"/>
      <c r="N3809" s="68"/>
      <c r="O3809" s="203"/>
      <c r="P3809" s="171"/>
      <c r="Q3809" s="171"/>
      <c r="R3809" s="171"/>
      <c r="S3809" s="51"/>
    </row>
    <row r="3810" spans="1:25" ht="30" customHeight="1" x14ac:dyDescent="0.35">
      <c r="A3810" s="588" t="s">
        <v>298</v>
      </c>
      <c r="B3810" s="1038" t="s">
        <v>321</v>
      </c>
      <c r="C3810" s="1039"/>
      <c r="D3810" s="1040"/>
      <c r="E3810" s="23" t="s">
        <v>290</v>
      </c>
      <c r="F3810" s="23" t="s">
        <v>322</v>
      </c>
      <c r="G3810" s="1034" t="s">
        <v>323</v>
      </c>
      <c r="H3810" s="1035"/>
      <c r="I3810" s="509" t="s">
        <v>299</v>
      </c>
      <c r="J3810" s="509"/>
      <c r="K3810" s="595" t="s">
        <v>292</v>
      </c>
      <c r="L3810" s="739"/>
      <c r="M3810" s="173"/>
      <c r="N3810" s="68"/>
      <c r="O3810" s="208"/>
      <c r="P3810" s="218"/>
      <c r="Q3810" s="68"/>
      <c r="R3810" s="217"/>
    </row>
    <row r="3811" spans="1:25" ht="30" customHeight="1" x14ac:dyDescent="0.35">
      <c r="A3811" s="832" t="s">
        <v>548</v>
      </c>
      <c r="B3811" s="1082" t="s">
        <v>1695</v>
      </c>
      <c r="C3811" s="1083"/>
      <c r="D3811" s="1093"/>
      <c r="E3811" s="40">
        <v>400</v>
      </c>
      <c r="F3811" s="3" t="s">
        <v>210</v>
      </c>
      <c r="G3811" s="496"/>
      <c r="H3811" s="498"/>
      <c r="I3811" s="665">
        <v>1.01</v>
      </c>
      <c r="J3811" s="446"/>
      <c r="K3811" s="38">
        <f>+E3811*I3811</f>
        <v>404</v>
      </c>
      <c r="L3811" s="676" t="s">
        <v>210</v>
      </c>
      <c r="M3811" s="173"/>
      <c r="O3811" s="203"/>
      <c r="P3811" s="218"/>
      <c r="Q3811" s="68"/>
      <c r="R3811" s="217"/>
      <c r="T3811" s="208"/>
      <c r="U3811" s="208"/>
      <c r="V3811" s="208"/>
      <c r="W3811" s="208"/>
      <c r="X3811" s="208"/>
    </row>
    <row r="3812" spans="1:25" ht="30" customHeight="1" x14ac:dyDescent="0.35">
      <c r="A3812" s="241"/>
      <c r="B3812" s="506"/>
      <c r="C3812" s="506"/>
      <c r="D3812" s="506"/>
      <c r="E3812" s="453"/>
      <c r="F3812" s="1029" t="s">
        <v>302</v>
      </c>
      <c r="G3812" s="1058" t="s">
        <v>303</v>
      </c>
      <c r="H3812" s="1058"/>
      <c r="I3812" s="1058"/>
      <c r="J3812" s="1058"/>
      <c r="K3812" s="612">
        <v>1.07</v>
      </c>
      <c r="L3812" s="243"/>
      <c r="M3812" s="173"/>
      <c r="N3812" s="208"/>
      <c r="O3812" s="171"/>
      <c r="P3812" s="218"/>
      <c r="Q3812" s="68"/>
      <c r="R3812" s="217"/>
      <c r="Y3812" s="208"/>
    </row>
    <row r="3813" spans="1:25" ht="30" customHeight="1" x14ac:dyDescent="0.35">
      <c r="A3813" s="241"/>
      <c r="B3813" s="506"/>
      <c r="C3813" s="506"/>
      <c r="D3813" s="506"/>
      <c r="E3813" s="453"/>
      <c r="F3813" s="1030"/>
      <c r="G3813" s="1073" t="s">
        <v>2374</v>
      </c>
      <c r="H3813" s="1073"/>
      <c r="I3813" s="1073"/>
      <c r="J3813" s="1073"/>
      <c r="K3813" s="612">
        <v>1.08</v>
      </c>
      <c r="L3813" s="243"/>
      <c r="M3813" s="363"/>
      <c r="O3813" s="171"/>
      <c r="P3813" s="218"/>
      <c r="Q3813" s="68"/>
      <c r="R3813" s="217"/>
      <c r="S3813" s="208"/>
    </row>
    <row r="3814" spans="1:25" ht="30" customHeight="1" x14ac:dyDescent="0.35">
      <c r="A3814" s="717"/>
      <c r="B3814" s="1031"/>
      <c r="C3814" s="1032"/>
      <c r="D3814" s="1033"/>
      <c r="E3814" s="453"/>
      <c r="F3814" s="3"/>
      <c r="G3814" s="639"/>
      <c r="H3814" s="659"/>
      <c r="I3814" s="446"/>
      <c r="J3814" s="446" t="s">
        <v>2356</v>
      </c>
      <c r="K3814" s="591">
        <f>+K3811*K3812/K3813</f>
        <v>400.25925925925924</v>
      </c>
      <c r="L3814" s="243" t="s">
        <v>210</v>
      </c>
      <c r="M3814" s="173"/>
      <c r="O3814" s="203"/>
      <c r="P3814" s="218"/>
      <c r="Q3814" s="68"/>
      <c r="R3814" s="217"/>
    </row>
    <row r="3815" spans="1:25" s="208" customFormat="1" ht="30" customHeight="1" thickBot="1" x14ac:dyDescent="0.4">
      <c r="A3815" s="241"/>
      <c r="B3815" s="446"/>
      <c r="C3815" s="458"/>
      <c r="D3815" s="458"/>
      <c r="E3815" s="458"/>
      <c r="F3815" s="458"/>
      <c r="G3815" s="592" t="s">
        <v>2358</v>
      </c>
      <c r="H3815" s="458"/>
      <c r="I3815" s="458"/>
      <c r="J3815" s="583">
        <f>VLOOKUP(B3809,'Mil Cost Premiums for PUCs'!$A$4:$R$272,18,FALSE)</f>
        <v>1.0905505199999999</v>
      </c>
      <c r="K3815" s="591">
        <f>+K3814*J3815</f>
        <v>436.50294331999993</v>
      </c>
      <c r="L3815" s="243" t="s">
        <v>210</v>
      </c>
      <c r="M3815" s="173"/>
      <c r="N3815" s="203"/>
      <c r="O3815" s="205"/>
      <c r="P3815" s="216"/>
      <c r="Q3815" s="419"/>
      <c r="R3815" s="219"/>
      <c r="S3815" s="203"/>
      <c r="T3815" s="203"/>
      <c r="U3815" s="203"/>
      <c r="V3815" s="203"/>
      <c r="W3815" s="203"/>
      <c r="X3815" s="203"/>
      <c r="Y3815" s="203"/>
    </row>
    <row r="3816" spans="1:25" ht="30" customHeight="1" thickBot="1" x14ac:dyDescent="0.4">
      <c r="A3816" s="481"/>
      <c r="B3816" s="482"/>
      <c r="C3816" s="482"/>
      <c r="D3816" s="482"/>
      <c r="E3816" s="482"/>
      <c r="F3816" s="482"/>
      <c r="G3816" s="482"/>
      <c r="H3816" s="482"/>
      <c r="I3816" s="482"/>
      <c r="J3816" s="482"/>
      <c r="K3816" s="482"/>
      <c r="L3816" s="483"/>
      <c r="M3816" s="173"/>
      <c r="P3816" s="216"/>
      <c r="Q3816" s="419"/>
      <c r="R3816" s="219"/>
      <c r="T3816" s="51"/>
      <c r="U3816" s="171"/>
    </row>
    <row r="3817" spans="1:25" ht="30" customHeight="1" x14ac:dyDescent="0.35">
      <c r="A3817" s="465" t="s">
        <v>278</v>
      </c>
      <c r="B3817" s="539">
        <v>8112</v>
      </c>
      <c r="C3817" s="1060" t="s">
        <v>1696</v>
      </c>
      <c r="D3817" s="1061"/>
      <c r="E3817" s="541" t="s">
        <v>280</v>
      </c>
      <c r="F3817" s="542" t="s">
        <v>210</v>
      </c>
      <c r="G3817" s="543" t="s">
        <v>285</v>
      </c>
      <c r="H3817" s="569">
        <v>312</v>
      </c>
      <c r="I3817" s="541" t="s">
        <v>281</v>
      </c>
      <c r="J3817" s="1019" t="s">
        <v>2749</v>
      </c>
      <c r="K3817" s="1019"/>
      <c r="L3817" s="1020"/>
      <c r="M3817" s="173"/>
      <c r="P3817" s="218"/>
      <c r="Q3817" s="68"/>
      <c r="R3817" s="217"/>
      <c r="T3817" s="51"/>
      <c r="U3817" s="171"/>
    </row>
    <row r="3818" spans="1:25" ht="30" customHeight="1" x14ac:dyDescent="0.35">
      <c r="A3818" s="545" t="s">
        <v>288</v>
      </c>
      <c r="B3818" s="1051" t="s">
        <v>282</v>
      </c>
      <c r="C3818" s="1051"/>
      <c r="D3818" s="1051"/>
      <c r="E3818" s="561" t="s">
        <v>1697</v>
      </c>
      <c r="F3818" s="509" t="s">
        <v>1698</v>
      </c>
      <c r="G3818" s="1094" t="s">
        <v>323</v>
      </c>
      <c r="H3818" s="1095"/>
      <c r="I3818" s="1052" t="s">
        <v>405</v>
      </c>
      <c r="J3818" s="1053"/>
      <c r="K3818" s="595" t="s">
        <v>292</v>
      </c>
      <c r="L3818" s="739"/>
      <c r="M3818" s="173"/>
      <c r="N3818" s="68"/>
      <c r="P3818" s="171"/>
      <c r="Q3818" s="171"/>
      <c r="R3818" s="171"/>
      <c r="S3818" s="51"/>
      <c r="T3818" s="51"/>
      <c r="U3818" s="171"/>
    </row>
    <row r="3819" spans="1:25" ht="30" customHeight="1" x14ac:dyDescent="0.35">
      <c r="A3819" s="241">
        <v>81160</v>
      </c>
      <c r="B3819" s="1102" t="s">
        <v>1699</v>
      </c>
      <c r="C3819" s="1102"/>
      <c r="D3819" s="1102"/>
      <c r="E3819" s="453">
        <v>102800</v>
      </c>
      <c r="F3819" s="694">
        <v>75</v>
      </c>
      <c r="G3819" s="639">
        <v>75</v>
      </c>
      <c r="H3819" s="659" t="s">
        <v>1700</v>
      </c>
      <c r="I3819" s="1062">
        <f>+'2021 MILCON Inflation Table'!$F$20</f>
        <v>0.9432470865927236</v>
      </c>
      <c r="J3819" s="1063"/>
      <c r="K3819" s="451">
        <f t="shared" ref="K3819:K3825" si="77">+E3819/F3819*I3819</f>
        <v>1292.8773400230932</v>
      </c>
      <c r="L3819" s="243" t="s">
        <v>210</v>
      </c>
      <c r="M3819" s="363"/>
      <c r="N3819" s="68"/>
      <c r="O3819" s="207"/>
      <c r="P3819" s="171"/>
      <c r="Q3819" s="171"/>
      <c r="R3819" s="171"/>
      <c r="S3819" s="51"/>
      <c r="T3819" s="208"/>
      <c r="U3819" s="75"/>
      <c r="V3819" s="208"/>
      <c r="W3819" s="208"/>
      <c r="X3819" s="208"/>
    </row>
    <row r="3820" spans="1:25" ht="30" customHeight="1" x14ac:dyDescent="0.35">
      <c r="A3820" s="241">
        <v>81160</v>
      </c>
      <c r="B3820" s="1102" t="s">
        <v>1701</v>
      </c>
      <c r="C3820" s="1102"/>
      <c r="D3820" s="1102"/>
      <c r="E3820" s="453">
        <v>120800</v>
      </c>
      <c r="F3820" s="694">
        <v>125</v>
      </c>
      <c r="G3820" s="639">
        <v>125</v>
      </c>
      <c r="H3820" s="659" t="s">
        <v>1700</v>
      </c>
      <c r="I3820" s="1062">
        <f>+'2021 MILCON Inflation Table'!$F$20</f>
        <v>0.9432470865927236</v>
      </c>
      <c r="J3820" s="1063"/>
      <c r="K3820" s="451">
        <f t="shared" si="77"/>
        <v>911.55398448320807</v>
      </c>
      <c r="L3820" s="243" t="s">
        <v>210</v>
      </c>
      <c r="M3820" s="173"/>
      <c r="N3820" s="68"/>
      <c r="O3820" s="207"/>
      <c r="P3820" s="171"/>
      <c r="Q3820" s="171"/>
      <c r="R3820" s="171"/>
      <c r="S3820" s="51"/>
      <c r="T3820" s="27"/>
      <c r="U3820" s="171"/>
      <c r="Y3820" s="208"/>
    </row>
    <row r="3821" spans="1:25" ht="30" customHeight="1" x14ac:dyDescent="0.35">
      <c r="A3821" s="241">
        <v>81160</v>
      </c>
      <c r="B3821" s="1102" t="s">
        <v>1702</v>
      </c>
      <c r="C3821" s="1102"/>
      <c r="D3821" s="1102"/>
      <c r="E3821" s="453">
        <v>157260</v>
      </c>
      <c r="F3821" s="694">
        <v>200</v>
      </c>
      <c r="G3821" s="639">
        <v>200</v>
      </c>
      <c r="H3821" s="659" t="s">
        <v>1700</v>
      </c>
      <c r="I3821" s="1062">
        <f>+'2021 MILCON Inflation Table'!$F$20</f>
        <v>0.9432470865927236</v>
      </c>
      <c r="J3821" s="1063"/>
      <c r="K3821" s="451">
        <f t="shared" si="77"/>
        <v>741.67518418785858</v>
      </c>
      <c r="L3821" s="243" t="s">
        <v>210</v>
      </c>
      <c r="M3821" s="173"/>
      <c r="N3821" s="419"/>
      <c r="P3821" s="208"/>
      <c r="Q3821" s="208"/>
      <c r="R3821" s="208"/>
      <c r="S3821" s="208"/>
      <c r="T3821" s="27"/>
      <c r="U3821" s="27"/>
      <c r="V3821" s="27"/>
      <c r="W3821" s="27"/>
      <c r="X3821" s="27"/>
    </row>
    <row r="3822" spans="1:25" ht="30" customHeight="1" x14ac:dyDescent="0.35">
      <c r="A3822" s="241">
        <v>81160</v>
      </c>
      <c r="B3822" s="1102" t="s">
        <v>1703</v>
      </c>
      <c r="C3822" s="1102"/>
      <c r="D3822" s="1102"/>
      <c r="E3822" s="453">
        <v>192750</v>
      </c>
      <c r="F3822" s="694">
        <v>300</v>
      </c>
      <c r="G3822" s="639">
        <v>300</v>
      </c>
      <c r="H3822" s="659" t="s">
        <v>1700</v>
      </c>
      <c r="I3822" s="1062">
        <f>+'2021 MILCON Inflation Table'!$F$20</f>
        <v>0.9432470865927236</v>
      </c>
      <c r="J3822" s="1063"/>
      <c r="K3822" s="451">
        <f t="shared" si="77"/>
        <v>606.03625313582495</v>
      </c>
      <c r="L3822" s="243" t="s">
        <v>210</v>
      </c>
      <c r="M3822" s="173"/>
      <c r="N3822" s="419"/>
      <c r="P3822" s="27"/>
      <c r="Q3822" s="27"/>
      <c r="R3822" s="27"/>
      <c r="S3822" s="27"/>
      <c r="U3822" s="27"/>
      <c r="V3822" s="27"/>
      <c r="W3822" s="27"/>
      <c r="X3822" s="27"/>
      <c r="Y3822" s="27"/>
    </row>
    <row r="3823" spans="1:25" s="208" customFormat="1" ht="30" customHeight="1" x14ac:dyDescent="0.35">
      <c r="A3823" s="241">
        <v>81160</v>
      </c>
      <c r="B3823" s="1102" t="s">
        <v>1704</v>
      </c>
      <c r="C3823" s="1102"/>
      <c r="D3823" s="1102"/>
      <c r="E3823" s="889">
        <v>261290</v>
      </c>
      <c r="F3823" s="694">
        <v>400</v>
      </c>
      <c r="G3823" s="639">
        <v>400</v>
      </c>
      <c r="H3823" s="659" t="s">
        <v>1700</v>
      </c>
      <c r="I3823" s="1062">
        <f>+'2021 MILCON Inflation Table'!$F$20</f>
        <v>0.9432470865927236</v>
      </c>
      <c r="J3823" s="1063"/>
      <c r="K3823" s="451">
        <f t="shared" si="77"/>
        <v>616.1525781395319</v>
      </c>
      <c r="L3823" s="243" t="s">
        <v>210</v>
      </c>
      <c r="M3823" s="173"/>
      <c r="N3823" s="68"/>
      <c r="O3823" s="205"/>
      <c r="P3823" s="27"/>
      <c r="Q3823" s="27"/>
      <c r="R3823" s="27"/>
      <c r="S3823" s="27"/>
      <c r="T3823" s="203"/>
      <c r="U3823" s="27"/>
      <c r="V3823" s="27"/>
      <c r="W3823" s="27"/>
      <c r="X3823" s="27"/>
      <c r="Y3823" s="27"/>
    </row>
    <row r="3824" spans="1:25" ht="30" customHeight="1" x14ac:dyDescent="0.35">
      <c r="A3824" s="241">
        <v>81160</v>
      </c>
      <c r="B3824" s="1102" t="s">
        <v>1705</v>
      </c>
      <c r="C3824" s="1102"/>
      <c r="D3824" s="1102"/>
      <c r="E3824" s="889">
        <v>324290</v>
      </c>
      <c r="F3824" s="694">
        <v>500</v>
      </c>
      <c r="G3824" s="639">
        <v>500</v>
      </c>
      <c r="H3824" s="659" t="s">
        <v>1700</v>
      </c>
      <c r="I3824" s="1062">
        <f>+'2021 MILCON Inflation Table'!$F$20</f>
        <v>0.9432470865927236</v>
      </c>
      <c r="J3824" s="1063"/>
      <c r="K3824" s="451">
        <f t="shared" si="77"/>
        <v>611.77119542230867</v>
      </c>
      <c r="L3824" s="243" t="s">
        <v>210</v>
      </c>
      <c r="M3824" s="173"/>
      <c r="N3824" s="68"/>
      <c r="U3824" s="27"/>
      <c r="V3824" s="27"/>
      <c r="W3824" s="27"/>
      <c r="X3824" s="27"/>
      <c r="Y3824" s="27"/>
    </row>
    <row r="3825" spans="1:25" s="27" customFormat="1" ht="30" customHeight="1" x14ac:dyDescent="0.35">
      <c r="A3825" s="241">
        <v>81160</v>
      </c>
      <c r="B3825" s="1102" t="s">
        <v>2424</v>
      </c>
      <c r="C3825" s="1102"/>
      <c r="D3825" s="1102"/>
      <c r="E3825" s="889">
        <v>503990</v>
      </c>
      <c r="F3825" s="694">
        <v>750</v>
      </c>
      <c r="G3825" s="716">
        <v>750</v>
      </c>
      <c r="H3825" s="659" t="s">
        <v>1700</v>
      </c>
      <c r="I3825" s="1062">
        <f>+'2021 MILCON Inflation Table'!$F$20</f>
        <v>0.9432470865927236</v>
      </c>
      <c r="J3825" s="1063"/>
      <c r="K3825" s="451">
        <f t="shared" si="77"/>
        <v>633.84946556248906</v>
      </c>
      <c r="L3825" s="243" t="s">
        <v>210</v>
      </c>
      <c r="M3825" s="173"/>
      <c r="N3825" s="68"/>
      <c r="O3825" s="205"/>
      <c r="P3825" s="203"/>
      <c r="Q3825" s="203"/>
      <c r="R3825" s="203"/>
      <c r="S3825" s="203"/>
      <c r="T3825" s="51"/>
      <c r="U3825" s="203"/>
      <c r="V3825" s="203"/>
      <c r="W3825" s="203"/>
      <c r="X3825" s="203"/>
    </row>
    <row r="3826" spans="1:25" s="27" customFormat="1" ht="30" customHeight="1" x14ac:dyDescent="0.35">
      <c r="A3826" s="241"/>
      <c r="B3826" s="516"/>
      <c r="C3826" s="570"/>
      <c r="D3826" s="571"/>
      <c r="E3826" s="904"/>
      <c r="F3826" s="724"/>
      <c r="G3826" s="658"/>
      <c r="H3826" s="659"/>
      <c r="I3826" s="783"/>
      <c r="J3826" s="707" t="s">
        <v>304</v>
      </c>
      <c r="K3826" s="463">
        <f>AVERAGE(K3819:K3825)</f>
        <v>773.41657156490214</v>
      </c>
      <c r="L3826" s="564" t="s">
        <v>210</v>
      </c>
      <c r="M3826" s="173"/>
      <c r="N3826" s="203"/>
      <c r="O3826" s="205"/>
      <c r="P3826" s="203"/>
      <c r="Q3826" s="203"/>
      <c r="R3826" s="203"/>
      <c r="S3826" s="203"/>
      <c r="T3826" s="51"/>
      <c r="U3826" s="203"/>
      <c r="V3826" s="203"/>
      <c r="W3826" s="203"/>
      <c r="X3826" s="203"/>
      <c r="Y3826" s="203"/>
    </row>
    <row r="3827" spans="1:25" s="27" customFormat="1" ht="30" customHeight="1" thickBot="1" x14ac:dyDescent="0.4">
      <c r="A3827" s="241"/>
      <c r="B3827" s="1031"/>
      <c r="C3827" s="1032"/>
      <c r="D3827" s="1033"/>
      <c r="E3827" s="553"/>
      <c r="F3827" s="706"/>
      <c r="G3827" s="553"/>
      <c r="H3827" s="553"/>
      <c r="I3827" s="458"/>
      <c r="J3827" s="510" t="s">
        <v>2356</v>
      </c>
      <c r="K3827" s="459">
        <f>AVERAGE(K3819:K3826)</f>
        <v>773.41657156490214</v>
      </c>
      <c r="L3827" s="564" t="s">
        <v>210</v>
      </c>
      <c r="M3827" s="173"/>
      <c r="N3827" s="208"/>
      <c r="O3827" s="205"/>
      <c r="P3827" s="171"/>
      <c r="Q3827" s="171"/>
      <c r="R3827" s="171"/>
      <c r="S3827" s="51"/>
      <c r="T3827" s="51"/>
      <c r="U3827" s="171"/>
      <c r="V3827" s="203"/>
      <c r="W3827" s="203"/>
      <c r="X3827" s="203"/>
      <c r="Y3827" s="203"/>
    </row>
    <row r="3828" spans="1:25" s="27" customFormat="1" ht="30" customHeight="1" thickBot="1" x14ac:dyDescent="0.4">
      <c r="A3828" s="481"/>
      <c r="B3828" s="482"/>
      <c r="C3828" s="482"/>
      <c r="D3828" s="482"/>
      <c r="E3828" s="482"/>
      <c r="F3828" s="482"/>
      <c r="G3828" s="482"/>
      <c r="H3828" s="482"/>
      <c r="I3828" s="482"/>
      <c r="J3828" s="482"/>
      <c r="K3828" s="482"/>
      <c r="L3828" s="483"/>
      <c r="M3828" s="363"/>
      <c r="N3828" s="203"/>
      <c r="O3828" s="425"/>
      <c r="P3828" s="171"/>
      <c r="Q3828" s="171"/>
      <c r="R3828" s="171"/>
      <c r="S3828" s="51"/>
      <c r="T3828" s="51"/>
      <c r="U3828" s="171"/>
      <c r="V3828" s="203"/>
      <c r="W3828" s="203"/>
      <c r="X3828" s="203"/>
      <c r="Y3828" s="203"/>
    </row>
    <row r="3829" spans="1:25" ht="30" customHeight="1" x14ac:dyDescent="0.35">
      <c r="A3829" s="465" t="s">
        <v>278</v>
      </c>
      <c r="B3829" s="539">
        <v>8113</v>
      </c>
      <c r="C3829" s="1017" t="s">
        <v>1706</v>
      </c>
      <c r="D3829" s="1018"/>
      <c r="E3829" s="541" t="s">
        <v>280</v>
      </c>
      <c r="F3829" s="542" t="s">
        <v>212</v>
      </c>
      <c r="G3829" s="543" t="s">
        <v>285</v>
      </c>
      <c r="H3829" s="555">
        <v>3000</v>
      </c>
      <c r="I3829" s="541" t="s">
        <v>281</v>
      </c>
      <c r="J3829" s="1019" t="s">
        <v>2371</v>
      </c>
      <c r="K3829" s="1019"/>
      <c r="L3829" s="1020"/>
      <c r="M3829" s="173"/>
      <c r="N3829" s="214"/>
      <c r="O3829" s="425"/>
      <c r="P3829" s="171"/>
      <c r="Q3829" s="171"/>
      <c r="R3829" s="171"/>
      <c r="S3829" s="51"/>
      <c r="T3829" s="171"/>
    </row>
    <row r="3830" spans="1:25" ht="30" customHeight="1" x14ac:dyDescent="0.35">
      <c r="A3830" s="588" t="s">
        <v>298</v>
      </c>
      <c r="B3830" s="1038" t="s">
        <v>321</v>
      </c>
      <c r="C3830" s="1039"/>
      <c r="D3830" s="1040"/>
      <c r="E3830" s="23" t="s">
        <v>290</v>
      </c>
      <c r="F3830" s="23" t="s">
        <v>322</v>
      </c>
      <c r="G3830" s="1034" t="s">
        <v>323</v>
      </c>
      <c r="H3830" s="1035"/>
      <c r="I3830" s="509" t="s">
        <v>299</v>
      </c>
      <c r="J3830" s="509" t="s">
        <v>405</v>
      </c>
      <c r="K3830" s="595" t="s">
        <v>292</v>
      </c>
      <c r="L3830" s="739"/>
      <c r="M3830" s="173"/>
      <c r="N3830" s="214"/>
      <c r="O3830" s="425"/>
      <c r="P3830" s="171"/>
      <c r="Q3830" s="171"/>
      <c r="R3830" s="171"/>
      <c r="S3830" s="51"/>
      <c r="T3830" s="75"/>
      <c r="U3830" s="208"/>
      <c r="V3830" s="208"/>
      <c r="W3830" s="208"/>
      <c r="X3830" s="208"/>
    </row>
    <row r="3831" spans="1:25" ht="30" customHeight="1" x14ac:dyDescent="0.35">
      <c r="A3831" s="832" t="s">
        <v>1087</v>
      </c>
      <c r="B3831" s="1082" t="s">
        <v>1707</v>
      </c>
      <c r="C3831" s="1083"/>
      <c r="D3831" s="1093"/>
      <c r="E3831" s="40">
        <f>(1850+5800)/2</f>
        <v>3825</v>
      </c>
      <c r="F3831" s="3" t="s">
        <v>210</v>
      </c>
      <c r="G3831" s="639">
        <v>1000</v>
      </c>
      <c r="H3831" s="659" t="s">
        <v>1708</v>
      </c>
      <c r="I3831" s="665">
        <v>1.05</v>
      </c>
      <c r="J3831" s="178">
        <f>+'2021 MILCON Inflation Table'!$F$13</f>
        <v>1.1643998639918394</v>
      </c>
      <c r="K3831" s="38">
        <f>+E3831*G3831*I3831*J3831</f>
        <v>4676520.9537572246</v>
      </c>
      <c r="L3831" s="676" t="s">
        <v>212</v>
      </c>
      <c r="M3831" s="173"/>
      <c r="N3831" s="214"/>
      <c r="O3831" s="425"/>
      <c r="P3831" s="171"/>
      <c r="Q3831" s="171"/>
      <c r="R3831" s="51"/>
      <c r="S3831" s="51"/>
      <c r="T3831" s="171"/>
      <c r="Y3831" s="208"/>
    </row>
    <row r="3832" spans="1:25" ht="30" customHeight="1" x14ac:dyDescent="0.35">
      <c r="A3832" s="241"/>
      <c r="B3832" s="506"/>
      <c r="C3832" s="506"/>
      <c r="D3832" s="506"/>
      <c r="E3832" s="453"/>
      <c r="F3832" s="1029" t="s">
        <v>302</v>
      </c>
      <c r="G3832" s="1058" t="s">
        <v>303</v>
      </c>
      <c r="H3832" s="1058"/>
      <c r="I3832" s="1058"/>
      <c r="J3832" s="1058"/>
      <c r="K3832" s="612">
        <v>1.07</v>
      </c>
      <c r="L3832" s="243"/>
      <c r="M3832" s="173"/>
      <c r="O3832" s="425"/>
      <c r="P3832" s="75"/>
      <c r="Q3832" s="75"/>
      <c r="R3832" s="213"/>
      <c r="S3832" s="213"/>
      <c r="T3832" s="171"/>
    </row>
    <row r="3833" spans="1:25" ht="30" customHeight="1" x14ac:dyDescent="0.35">
      <c r="A3833" s="241"/>
      <c r="B3833" s="506"/>
      <c r="C3833" s="506"/>
      <c r="D3833" s="506"/>
      <c r="E3833" s="453"/>
      <c r="F3833" s="1030"/>
      <c r="G3833" s="1073" t="s">
        <v>2374</v>
      </c>
      <c r="H3833" s="1073"/>
      <c r="I3833" s="1073"/>
      <c r="J3833" s="1073"/>
      <c r="K3833" s="612">
        <v>1.08</v>
      </c>
      <c r="L3833" s="243"/>
      <c r="M3833" s="173"/>
      <c r="O3833" s="425"/>
      <c r="P3833" s="171"/>
      <c r="Q3833" s="171"/>
      <c r="R3833" s="51"/>
      <c r="S3833" s="51"/>
      <c r="T3833" s="171"/>
    </row>
    <row r="3834" spans="1:25" s="208" customFormat="1" ht="30" customHeight="1" x14ac:dyDescent="0.35">
      <c r="A3834" s="905"/>
      <c r="B3834" s="570"/>
      <c r="C3834" s="570"/>
      <c r="D3834" s="571"/>
      <c r="E3834" s="453"/>
      <c r="F3834" s="3"/>
      <c r="G3834" s="639"/>
      <c r="H3834" s="659"/>
      <c r="I3834" s="665"/>
      <c r="J3834" s="446" t="s">
        <v>2356</v>
      </c>
      <c r="K3834" s="38">
        <f>+K3831*K3832/K3833</f>
        <v>4633219.833815028</v>
      </c>
      <c r="L3834" s="243" t="s">
        <v>212</v>
      </c>
      <c r="M3834" s="363"/>
      <c r="N3834" s="203"/>
      <c r="O3834" s="425"/>
      <c r="P3834" s="171"/>
      <c r="Q3834" s="171"/>
      <c r="R3834" s="51"/>
      <c r="S3834" s="51"/>
      <c r="T3834" s="171"/>
      <c r="U3834" s="203"/>
      <c r="V3834" s="203"/>
      <c r="W3834" s="203"/>
      <c r="X3834" s="203"/>
      <c r="Y3834" s="203"/>
    </row>
    <row r="3835" spans="1:25" ht="30" customHeight="1" thickBot="1" x14ac:dyDescent="0.4">
      <c r="A3835" s="1089" t="s">
        <v>3127</v>
      </c>
      <c r="B3835" s="1090"/>
      <c r="C3835" s="1090"/>
      <c r="D3835" s="906"/>
      <c r="E3835" s="458"/>
      <c r="F3835" s="458"/>
      <c r="G3835" s="592" t="s">
        <v>2358</v>
      </c>
      <c r="H3835" s="458"/>
      <c r="I3835" s="458"/>
      <c r="J3835" s="583">
        <f>VLOOKUP(B3829,'Mil Cost Premiums for PUCs'!$A$4:$R$272,18,FALSE)</f>
        <v>1.1199953840399997</v>
      </c>
      <c r="K3835" s="591">
        <f>+K3834*J3835</f>
        <v>5189184.8271154054</v>
      </c>
      <c r="L3835" s="243" t="s">
        <v>212</v>
      </c>
      <c r="M3835" s="173"/>
      <c r="O3835" s="425"/>
      <c r="P3835" s="171"/>
      <c r="Q3835" s="171"/>
      <c r="R3835" s="51"/>
      <c r="S3835" s="51"/>
      <c r="T3835" s="171"/>
    </row>
    <row r="3836" spans="1:25" ht="30" customHeight="1" thickBot="1" x14ac:dyDescent="0.4">
      <c r="A3836" s="481"/>
      <c r="B3836" s="482"/>
      <c r="C3836" s="482"/>
      <c r="D3836" s="482"/>
      <c r="E3836" s="482"/>
      <c r="F3836" s="482"/>
      <c r="G3836" s="482"/>
      <c r="H3836" s="482"/>
      <c r="I3836" s="482"/>
      <c r="J3836" s="482"/>
      <c r="K3836" s="482"/>
      <c r="L3836" s="483"/>
      <c r="M3836" s="173"/>
      <c r="O3836" s="425"/>
      <c r="P3836" s="171"/>
      <c r="Q3836" s="171"/>
      <c r="R3836" s="51"/>
      <c r="S3836" s="51"/>
      <c r="T3836" s="171"/>
    </row>
    <row r="3837" spans="1:25" ht="30" customHeight="1" x14ac:dyDescent="0.35">
      <c r="A3837" s="465" t="s">
        <v>278</v>
      </c>
      <c r="B3837" s="539">
        <v>8114</v>
      </c>
      <c r="C3837" s="1017" t="s">
        <v>1709</v>
      </c>
      <c r="D3837" s="1018"/>
      <c r="E3837" s="541" t="s">
        <v>280</v>
      </c>
      <c r="F3837" s="542" t="s">
        <v>210</v>
      </c>
      <c r="G3837" s="543" t="s">
        <v>285</v>
      </c>
      <c r="H3837" s="555">
        <v>465</v>
      </c>
      <c r="I3837" s="541" t="s">
        <v>281</v>
      </c>
      <c r="J3837" s="1019" t="s">
        <v>2425</v>
      </c>
      <c r="K3837" s="1019"/>
      <c r="L3837" s="1020"/>
      <c r="M3837" s="173"/>
      <c r="O3837" s="425"/>
      <c r="P3837" s="171"/>
      <c r="Q3837" s="171"/>
      <c r="R3837" s="51"/>
      <c r="S3837" s="51"/>
      <c r="T3837" s="171"/>
    </row>
    <row r="3838" spans="1:25" ht="30" customHeight="1" x14ac:dyDescent="0.35">
      <c r="A3838" s="588" t="s">
        <v>298</v>
      </c>
      <c r="B3838" s="1038" t="s">
        <v>321</v>
      </c>
      <c r="C3838" s="1039"/>
      <c r="D3838" s="1040"/>
      <c r="E3838" s="23" t="s">
        <v>290</v>
      </c>
      <c r="F3838" s="23" t="s">
        <v>322</v>
      </c>
      <c r="G3838" s="1034" t="s">
        <v>323</v>
      </c>
      <c r="H3838" s="1035"/>
      <c r="I3838" s="509" t="s">
        <v>299</v>
      </c>
      <c r="J3838" s="509" t="s">
        <v>405</v>
      </c>
      <c r="K3838" s="595" t="s">
        <v>292</v>
      </c>
      <c r="L3838" s="739"/>
      <c r="M3838" s="173"/>
      <c r="N3838" s="208"/>
      <c r="O3838" s="425"/>
      <c r="P3838" s="171"/>
      <c r="Q3838" s="171"/>
      <c r="R3838" s="51"/>
      <c r="S3838" s="51"/>
      <c r="T3838" s="171"/>
    </row>
    <row r="3839" spans="1:25" ht="30" customHeight="1" x14ac:dyDescent="0.35">
      <c r="A3839" s="832" t="s">
        <v>1087</v>
      </c>
      <c r="B3839" s="1082" t="s">
        <v>1710</v>
      </c>
      <c r="C3839" s="1083"/>
      <c r="D3839" s="1093"/>
      <c r="E3839" s="40">
        <f>(2800+6550)/2</f>
        <v>4675</v>
      </c>
      <c r="F3839" s="3" t="s">
        <v>210</v>
      </c>
      <c r="G3839" s="639"/>
      <c r="H3839" s="659"/>
      <c r="I3839" s="665">
        <v>1.05</v>
      </c>
      <c r="J3839" s="178">
        <f>+'2021 MILCON Inflation Table'!$F$13</f>
        <v>1.1643998639918394</v>
      </c>
      <c r="K3839" s="38">
        <f>+E3839*I3839*J3839</f>
        <v>5715.7478323699415</v>
      </c>
      <c r="L3839" s="676" t="s">
        <v>210</v>
      </c>
      <c r="M3839" s="173"/>
      <c r="O3839" s="425"/>
      <c r="P3839" s="171"/>
      <c r="Q3839" s="171"/>
      <c r="R3839" s="51"/>
      <c r="S3839" s="51"/>
      <c r="T3839" s="171"/>
    </row>
    <row r="3840" spans="1:25" ht="30" customHeight="1" x14ac:dyDescent="0.35">
      <c r="A3840" s="241"/>
      <c r="B3840" s="506"/>
      <c r="C3840" s="506"/>
      <c r="D3840" s="506"/>
      <c r="E3840" s="453"/>
      <c r="F3840" s="1029" t="s">
        <v>302</v>
      </c>
      <c r="G3840" s="1058" t="s">
        <v>303</v>
      </c>
      <c r="H3840" s="1058"/>
      <c r="I3840" s="1058"/>
      <c r="J3840" s="1058"/>
      <c r="K3840" s="612">
        <v>1.07</v>
      </c>
      <c r="L3840" s="243"/>
      <c r="M3840" s="173"/>
      <c r="O3840" s="425"/>
      <c r="P3840" s="171"/>
      <c r="Q3840" s="171"/>
      <c r="R3840" s="51"/>
      <c r="S3840" s="51"/>
      <c r="T3840" s="171"/>
    </row>
    <row r="3841" spans="1:25" ht="30" customHeight="1" x14ac:dyDescent="0.35">
      <c r="A3841" s="241"/>
      <c r="B3841" s="506"/>
      <c r="C3841" s="506"/>
      <c r="D3841" s="506"/>
      <c r="E3841" s="453"/>
      <c r="F3841" s="1030"/>
      <c r="G3841" s="1073" t="s">
        <v>2374</v>
      </c>
      <c r="H3841" s="1073"/>
      <c r="I3841" s="1073"/>
      <c r="J3841" s="1073"/>
      <c r="K3841" s="612">
        <v>1.08</v>
      </c>
      <c r="L3841" s="243"/>
      <c r="M3841" s="173"/>
      <c r="O3841" s="425"/>
      <c r="P3841" s="171"/>
      <c r="Q3841" s="171"/>
      <c r="R3841" s="51"/>
      <c r="S3841" s="51"/>
      <c r="T3841" s="171"/>
    </row>
    <row r="3842" spans="1:25" ht="30" customHeight="1" x14ac:dyDescent="0.35">
      <c r="A3842" s="905"/>
      <c r="B3842" s="570"/>
      <c r="C3842" s="570"/>
      <c r="D3842" s="571"/>
      <c r="E3842" s="453"/>
      <c r="F3842" s="3"/>
      <c r="G3842" s="639"/>
      <c r="H3842" s="659"/>
      <c r="I3842" s="665"/>
      <c r="J3842" s="446" t="s">
        <v>2356</v>
      </c>
      <c r="K3842" s="38">
        <f>+K3839*K3840/K3841</f>
        <v>5662.8242413294793</v>
      </c>
      <c r="L3842" s="243" t="s">
        <v>210</v>
      </c>
      <c r="M3842" s="173"/>
      <c r="O3842" s="425"/>
      <c r="P3842" s="171"/>
      <c r="Q3842" s="171"/>
      <c r="R3842" s="51"/>
      <c r="S3842" s="51"/>
      <c r="T3842" s="171"/>
    </row>
    <row r="3843" spans="1:25" ht="30" customHeight="1" thickBot="1" x14ac:dyDescent="0.4">
      <c r="A3843" s="907"/>
      <c r="B3843" s="908"/>
      <c r="C3843" s="908"/>
      <c r="D3843" s="906"/>
      <c r="E3843" s="458"/>
      <c r="F3843" s="458"/>
      <c r="G3843" s="592" t="s">
        <v>2358</v>
      </c>
      <c r="H3843" s="458"/>
      <c r="I3843" s="458"/>
      <c r="J3843" s="583">
        <f>VLOOKUP(B3837,'Mil Cost Premiums for PUCs'!$A$4:$R$272,18,FALSE)</f>
        <v>1.1199953840399997</v>
      </c>
      <c r="K3843" s="591">
        <f>+K3842*J3843</f>
        <v>6342.3370109188299</v>
      </c>
      <c r="L3843" s="243" t="s">
        <v>210</v>
      </c>
      <c r="M3843" s="173"/>
      <c r="O3843" s="425"/>
      <c r="P3843" s="171"/>
      <c r="Q3843" s="171"/>
      <c r="R3843" s="51"/>
      <c r="S3843" s="51"/>
      <c r="T3843" s="171"/>
    </row>
    <row r="3844" spans="1:25" ht="30" customHeight="1" thickBot="1" x14ac:dyDescent="0.4">
      <c r="A3844" s="481"/>
      <c r="B3844" s="482"/>
      <c r="C3844" s="482"/>
      <c r="D3844" s="482"/>
      <c r="E3844" s="482"/>
      <c r="F3844" s="482"/>
      <c r="G3844" s="482"/>
      <c r="H3844" s="482"/>
      <c r="I3844" s="482"/>
      <c r="J3844" s="482"/>
      <c r="K3844" s="482"/>
      <c r="L3844" s="483"/>
      <c r="M3844" s="173"/>
      <c r="O3844" s="425"/>
      <c r="P3844" s="171"/>
      <c r="Q3844" s="171"/>
      <c r="R3844" s="51"/>
      <c r="S3844" s="51"/>
      <c r="T3844" s="171"/>
    </row>
    <row r="3845" spans="1:25" ht="30" customHeight="1" x14ac:dyDescent="0.35">
      <c r="A3845" s="465" t="s">
        <v>278</v>
      </c>
      <c r="B3845" s="539">
        <v>8115</v>
      </c>
      <c r="C3845" s="1017" t="s">
        <v>1711</v>
      </c>
      <c r="D3845" s="1018"/>
      <c r="E3845" s="541" t="s">
        <v>280</v>
      </c>
      <c r="F3845" s="542" t="s">
        <v>210</v>
      </c>
      <c r="G3845" s="543" t="s">
        <v>285</v>
      </c>
      <c r="H3845" s="555">
        <v>539</v>
      </c>
      <c r="I3845" s="541" t="s">
        <v>281</v>
      </c>
      <c r="J3845" s="1019" t="s">
        <v>2371</v>
      </c>
      <c r="K3845" s="1019"/>
      <c r="L3845" s="1020"/>
      <c r="M3845" s="364"/>
      <c r="P3845" s="171"/>
      <c r="Q3845" s="171"/>
      <c r="R3845" s="51"/>
      <c r="S3845" s="51"/>
      <c r="T3845" s="171"/>
    </row>
    <row r="3846" spans="1:25" ht="30" customHeight="1" x14ac:dyDescent="0.35">
      <c r="A3846" s="588" t="s">
        <v>298</v>
      </c>
      <c r="B3846" s="1038" t="s">
        <v>321</v>
      </c>
      <c r="C3846" s="1039"/>
      <c r="D3846" s="1040"/>
      <c r="E3846" s="23" t="s">
        <v>290</v>
      </c>
      <c r="F3846" s="23" t="s">
        <v>322</v>
      </c>
      <c r="G3846" s="1034" t="s">
        <v>323</v>
      </c>
      <c r="H3846" s="1035"/>
      <c r="I3846" s="509" t="s">
        <v>299</v>
      </c>
      <c r="J3846" s="509" t="s">
        <v>2426</v>
      </c>
      <c r="K3846" s="595" t="s">
        <v>292</v>
      </c>
      <c r="L3846" s="739"/>
      <c r="M3846" s="173"/>
      <c r="P3846" s="171"/>
      <c r="Q3846" s="171"/>
      <c r="R3846" s="51"/>
      <c r="S3846" s="51"/>
      <c r="T3846" s="51"/>
      <c r="U3846" s="171"/>
    </row>
    <row r="3847" spans="1:25" ht="30" customHeight="1" x14ac:dyDescent="0.35">
      <c r="A3847" s="832" t="s">
        <v>1712</v>
      </c>
      <c r="B3847" s="1082" t="s">
        <v>2430</v>
      </c>
      <c r="C3847" s="1083"/>
      <c r="D3847" s="1093"/>
      <c r="E3847" s="40">
        <v>3175</v>
      </c>
      <c r="F3847" s="3" t="s">
        <v>1713</v>
      </c>
      <c r="G3847" s="639">
        <v>300</v>
      </c>
      <c r="H3847" s="659" t="s">
        <v>1714</v>
      </c>
      <c r="I3847" s="665">
        <v>1.01</v>
      </c>
      <c r="J3847" s="456">
        <v>1000</v>
      </c>
      <c r="K3847" s="38">
        <f>+E3847/G3847*I3847*J3847</f>
        <v>10689.166666666666</v>
      </c>
      <c r="L3847" s="676" t="s">
        <v>210</v>
      </c>
      <c r="M3847" s="173"/>
      <c r="P3847" s="171"/>
      <c r="Q3847" s="171"/>
      <c r="R3847" s="51"/>
      <c r="S3847" s="51"/>
      <c r="T3847" s="51"/>
      <c r="U3847" s="171"/>
    </row>
    <row r="3848" spans="1:25" ht="30" customHeight="1" x14ac:dyDescent="0.35">
      <c r="A3848" s="832" t="s">
        <v>1712</v>
      </c>
      <c r="B3848" s="1031" t="s">
        <v>2427</v>
      </c>
      <c r="C3848" s="1032"/>
      <c r="D3848" s="1033"/>
      <c r="E3848" s="453">
        <v>212000</v>
      </c>
      <c r="F3848" s="3" t="s">
        <v>210</v>
      </c>
      <c r="G3848" s="639">
        <v>300</v>
      </c>
      <c r="H3848" s="659" t="s">
        <v>1714</v>
      </c>
      <c r="I3848" s="665">
        <v>1.01</v>
      </c>
      <c r="J3848" s="446"/>
      <c r="K3848" s="38">
        <f>+E3848/G3848*I3848</f>
        <v>713.73333333333335</v>
      </c>
      <c r="L3848" s="243" t="s">
        <v>210</v>
      </c>
      <c r="M3848" s="173"/>
      <c r="P3848" s="171"/>
      <c r="Q3848" s="171"/>
      <c r="R3848" s="171"/>
      <c r="S3848" s="51"/>
      <c r="T3848" s="51"/>
      <c r="U3848" s="171"/>
    </row>
    <row r="3849" spans="1:25" ht="30" customHeight="1" x14ac:dyDescent="0.35">
      <c r="A3849" s="832" t="s">
        <v>1712</v>
      </c>
      <c r="B3849" s="1031" t="s">
        <v>2428</v>
      </c>
      <c r="C3849" s="1032"/>
      <c r="D3849" s="1033"/>
      <c r="E3849" s="453">
        <v>775</v>
      </c>
      <c r="F3849" s="3" t="s">
        <v>1715</v>
      </c>
      <c r="G3849" s="639">
        <v>300</v>
      </c>
      <c r="H3849" s="659" t="s">
        <v>1714</v>
      </c>
      <c r="I3849" s="665">
        <v>1.01</v>
      </c>
      <c r="J3849" s="446">
        <v>20</v>
      </c>
      <c r="K3849" s="38">
        <f>+E3849/G3849*I3849*J3849</f>
        <v>52.183333333333337</v>
      </c>
      <c r="L3849" s="243" t="s">
        <v>210</v>
      </c>
      <c r="M3849" s="173"/>
      <c r="N3849" s="69"/>
      <c r="P3849" s="171"/>
      <c r="Q3849" s="171"/>
      <c r="R3849" s="171"/>
      <c r="S3849" s="51"/>
      <c r="T3849" s="51"/>
      <c r="U3849" s="171"/>
    </row>
    <row r="3850" spans="1:25" ht="30" customHeight="1" x14ac:dyDescent="0.35">
      <c r="A3850" s="832" t="s">
        <v>1712</v>
      </c>
      <c r="B3850" s="1031" t="s">
        <v>2429</v>
      </c>
      <c r="C3850" s="1032"/>
      <c r="D3850" s="1033"/>
      <c r="E3850" s="453">
        <v>8200</v>
      </c>
      <c r="F3850" s="3" t="s">
        <v>1716</v>
      </c>
      <c r="G3850" s="639">
        <v>300</v>
      </c>
      <c r="H3850" s="659" t="s">
        <v>1714</v>
      </c>
      <c r="I3850" s="665">
        <v>1.01</v>
      </c>
      <c r="J3850" s="446">
        <v>10</v>
      </c>
      <c r="K3850" s="38">
        <f>+E3850/G3850*I3850*J3850</f>
        <v>276.06666666666666</v>
      </c>
      <c r="L3850" s="243" t="s">
        <v>210</v>
      </c>
      <c r="M3850" s="173"/>
      <c r="P3850" s="171"/>
      <c r="Q3850" s="171"/>
      <c r="R3850" s="171"/>
      <c r="S3850" s="51"/>
      <c r="T3850" s="51"/>
      <c r="U3850" s="171"/>
    </row>
    <row r="3851" spans="1:25" ht="30" customHeight="1" x14ac:dyDescent="0.35">
      <c r="A3851" s="905"/>
      <c r="B3851" s="570"/>
      <c r="C3851" s="570"/>
      <c r="D3851" s="571"/>
      <c r="E3851" s="453"/>
      <c r="F3851" s="3"/>
      <c r="G3851" s="639"/>
      <c r="H3851" s="659"/>
      <c r="I3851" s="665"/>
      <c r="J3851" s="446" t="s">
        <v>335</v>
      </c>
      <c r="K3851" s="38">
        <f>SUM(K3847:K3850)</f>
        <v>11731.15</v>
      </c>
      <c r="L3851" s="243" t="s">
        <v>210</v>
      </c>
      <c r="M3851" s="173"/>
      <c r="P3851" s="171"/>
      <c r="Q3851" s="171"/>
      <c r="R3851" s="171"/>
      <c r="S3851" s="51"/>
      <c r="T3851" s="51"/>
      <c r="U3851" s="171"/>
    </row>
    <row r="3852" spans="1:25" ht="30" customHeight="1" x14ac:dyDescent="0.35">
      <c r="A3852" s="241"/>
      <c r="B3852" s="506"/>
      <c r="C3852" s="506"/>
      <c r="D3852" s="506"/>
      <c r="E3852" s="453"/>
      <c r="F3852" s="1029" t="s">
        <v>302</v>
      </c>
      <c r="G3852" s="1058" t="s">
        <v>303</v>
      </c>
      <c r="H3852" s="1058"/>
      <c r="I3852" s="1058"/>
      <c r="J3852" s="1058"/>
      <c r="K3852" s="612">
        <v>1.07</v>
      </c>
      <c r="L3852" s="243"/>
      <c r="M3852" s="173"/>
      <c r="O3852" s="425"/>
      <c r="P3852" s="171"/>
      <c r="Q3852" s="171"/>
      <c r="R3852" s="171"/>
      <c r="S3852" s="51"/>
      <c r="T3852" s="51"/>
      <c r="U3852" s="171"/>
    </row>
    <row r="3853" spans="1:25" ht="30" customHeight="1" x14ac:dyDescent="0.35">
      <c r="A3853" s="241"/>
      <c r="B3853" s="506"/>
      <c r="C3853" s="506"/>
      <c r="D3853" s="506"/>
      <c r="E3853" s="453"/>
      <c r="F3853" s="1030"/>
      <c r="G3853" s="1073" t="s">
        <v>2374</v>
      </c>
      <c r="H3853" s="1073"/>
      <c r="I3853" s="1073"/>
      <c r="J3853" s="1073"/>
      <c r="K3853" s="612">
        <v>1.08</v>
      </c>
      <c r="L3853" s="243"/>
      <c r="M3853" s="173"/>
      <c r="O3853" s="425"/>
      <c r="P3853" s="171"/>
      <c r="Q3853" s="171"/>
      <c r="R3853" s="171"/>
      <c r="S3853" s="51"/>
      <c r="T3853" s="171"/>
    </row>
    <row r="3854" spans="1:25" ht="30" customHeight="1" x14ac:dyDescent="0.35">
      <c r="A3854" s="905"/>
      <c r="B3854" s="570"/>
      <c r="C3854" s="570"/>
      <c r="D3854" s="571"/>
      <c r="E3854" s="453"/>
      <c r="F3854" s="3"/>
      <c r="G3854" s="639"/>
      <c r="H3854" s="659"/>
      <c r="I3854" s="665"/>
      <c r="J3854" s="446" t="s">
        <v>2356</v>
      </c>
      <c r="K3854" s="38">
        <f>+K3851*K3852/K3853</f>
        <v>11622.528240740739</v>
      </c>
      <c r="L3854" s="243" t="s">
        <v>210</v>
      </c>
      <c r="M3854" s="173"/>
      <c r="O3854" s="425"/>
      <c r="P3854" s="171"/>
      <c r="Q3854" s="171"/>
      <c r="R3854" s="171"/>
      <c r="S3854" s="51"/>
      <c r="T3854" s="75"/>
      <c r="U3854" s="208"/>
      <c r="V3854" s="208"/>
      <c r="W3854" s="208"/>
      <c r="X3854" s="208"/>
    </row>
    <row r="3855" spans="1:25" ht="30" customHeight="1" thickBot="1" x14ac:dyDescent="0.4">
      <c r="A3855" s="907" t="s">
        <v>1717</v>
      </c>
      <c r="B3855" s="908"/>
      <c r="C3855" s="908"/>
      <c r="D3855" s="906"/>
      <c r="E3855" s="458"/>
      <c r="F3855" s="458"/>
      <c r="G3855" s="592" t="s">
        <v>2358</v>
      </c>
      <c r="H3855" s="458"/>
      <c r="I3855" s="458"/>
      <c r="J3855" s="583">
        <f>VLOOKUP(B3845,'Mil Cost Premiums for PUCs'!$A$4:$R$272,18,FALSE)</f>
        <v>1.1199953840399997</v>
      </c>
      <c r="K3855" s="591">
        <f>K3854*J3855</f>
        <v>13017.177980504166</v>
      </c>
      <c r="L3855" s="243" t="s">
        <v>210</v>
      </c>
      <c r="M3855" s="173"/>
      <c r="O3855" s="425"/>
      <c r="P3855" s="171"/>
      <c r="Q3855" s="171"/>
      <c r="R3855" s="51"/>
      <c r="S3855" s="51"/>
      <c r="T3855" s="171"/>
      <c r="Y3855" s="208"/>
    </row>
    <row r="3856" spans="1:25" ht="30" customHeight="1" thickBot="1" x14ac:dyDescent="0.4">
      <c r="A3856" s="481"/>
      <c r="B3856" s="482"/>
      <c r="C3856" s="482"/>
      <c r="D3856" s="482"/>
      <c r="E3856" s="482"/>
      <c r="F3856" s="482"/>
      <c r="G3856" s="482"/>
      <c r="H3856" s="482"/>
      <c r="I3856" s="482"/>
      <c r="J3856" s="482"/>
      <c r="K3856" s="482"/>
      <c r="L3856" s="483"/>
      <c r="M3856" s="173"/>
      <c r="O3856" s="425"/>
      <c r="P3856" s="75"/>
      <c r="Q3856" s="75"/>
      <c r="R3856" s="213"/>
      <c r="S3856" s="213"/>
      <c r="T3856" s="171"/>
    </row>
    <row r="3857" spans="1:25" ht="30" customHeight="1" x14ac:dyDescent="0.35">
      <c r="A3857" s="465" t="s">
        <v>278</v>
      </c>
      <c r="B3857" s="539">
        <v>8121</v>
      </c>
      <c r="C3857" s="1060" t="s">
        <v>1718</v>
      </c>
      <c r="D3857" s="1061"/>
      <c r="E3857" s="541" t="s">
        <v>280</v>
      </c>
      <c r="F3857" s="542" t="s">
        <v>6</v>
      </c>
      <c r="G3857" s="543" t="s">
        <v>285</v>
      </c>
      <c r="H3857" s="569">
        <v>43547</v>
      </c>
      <c r="I3857" s="541" t="s">
        <v>281</v>
      </c>
      <c r="J3857" s="1019" t="s">
        <v>3128</v>
      </c>
      <c r="K3857" s="1019"/>
      <c r="L3857" s="1020"/>
      <c r="M3857" s="173"/>
      <c r="O3857" s="425"/>
      <c r="P3857" s="171"/>
      <c r="Q3857" s="171"/>
      <c r="R3857" s="51"/>
      <c r="S3857" s="51"/>
      <c r="T3857" s="171"/>
    </row>
    <row r="3858" spans="1:25" s="208" customFormat="1" ht="30" customHeight="1" x14ac:dyDescent="0.35">
      <c r="A3858" s="545" t="s">
        <v>288</v>
      </c>
      <c r="B3858" s="1051" t="s">
        <v>282</v>
      </c>
      <c r="C3858" s="1051"/>
      <c r="D3858" s="1051"/>
      <c r="E3858" s="561" t="s">
        <v>1719</v>
      </c>
      <c r="F3858" s="509" t="s">
        <v>289</v>
      </c>
      <c r="G3858" s="1094" t="s">
        <v>323</v>
      </c>
      <c r="H3858" s="1095"/>
      <c r="I3858" s="1052" t="s">
        <v>405</v>
      </c>
      <c r="J3858" s="1053"/>
      <c r="K3858" s="595" t="s">
        <v>292</v>
      </c>
      <c r="L3858" s="739"/>
      <c r="M3858" s="173"/>
      <c r="N3858" s="203"/>
      <c r="O3858" s="425"/>
      <c r="P3858" s="171"/>
      <c r="Q3858" s="171"/>
      <c r="R3858" s="51"/>
      <c r="S3858" s="51"/>
      <c r="T3858" s="171"/>
      <c r="U3858" s="203"/>
      <c r="V3858" s="203"/>
      <c r="W3858" s="203"/>
      <c r="X3858" s="203"/>
      <c r="Y3858" s="203"/>
    </row>
    <row r="3859" spans="1:25" ht="30" customHeight="1" x14ac:dyDescent="0.35">
      <c r="A3859" s="241">
        <v>81241</v>
      </c>
      <c r="B3859" s="1082" t="s">
        <v>2600</v>
      </c>
      <c r="C3859" s="1083"/>
      <c r="D3859" s="1093"/>
      <c r="E3859" s="453">
        <v>51410</v>
      </c>
      <c r="F3859" s="694">
        <v>1000</v>
      </c>
      <c r="G3859" s="639">
        <v>1000</v>
      </c>
      <c r="H3859" s="659" t="s">
        <v>1720</v>
      </c>
      <c r="I3859" s="1091">
        <f>+'2021 MILCON Inflation Table'!$F$20</f>
        <v>0.9432470865927236</v>
      </c>
      <c r="J3859" s="1092"/>
      <c r="K3859" s="463">
        <f>+E3859/G3859*I3859</f>
        <v>48.49233272173192</v>
      </c>
      <c r="L3859" s="564" t="s">
        <v>6</v>
      </c>
      <c r="M3859" s="173"/>
      <c r="O3859" s="425"/>
      <c r="P3859" s="171"/>
      <c r="Q3859" s="171"/>
      <c r="R3859" s="51"/>
      <c r="S3859" s="51"/>
      <c r="T3859" s="171"/>
    </row>
    <row r="3860" spans="1:25" ht="30" customHeight="1" x14ac:dyDescent="0.35">
      <c r="A3860" s="241">
        <v>81241</v>
      </c>
      <c r="B3860" s="1082" t="s">
        <v>2431</v>
      </c>
      <c r="C3860" s="1083"/>
      <c r="D3860" s="1093"/>
      <c r="E3860" s="453">
        <v>48320</v>
      </c>
      <c r="F3860" s="694">
        <v>1000</v>
      </c>
      <c r="G3860" s="639">
        <v>1000</v>
      </c>
      <c r="H3860" s="659" t="s">
        <v>1720</v>
      </c>
      <c r="I3860" s="1091">
        <f>+'2021 MILCON Inflation Table'!$F$20</f>
        <v>0.9432470865927236</v>
      </c>
      <c r="J3860" s="1092"/>
      <c r="K3860" s="463">
        <f>+E3860/G3860*I3860</f>
        <v>45.577699224160405</v>
      </c>
      <c r="L3860" s="564" t="s">
        <v>6</v>
      </c>
      <c r="M3860" s="173"/>
      <c r="O3860" s="425"/>
      <c r="P3860" s="171"/>
      <c r="Q3860" s="171"/>
      <c r="R3860" s="51"/>
      <c r="S3860" s="51"/>
      <c r="T3860" s="171"/>
    </row>
    <row r="3861" spans="1:25" ht="30" customHeight="1" x14ac:dyDescent="0.35">
      <c r="A3861" s="241"/>
      <c r="B3861" s="516"/>
      <c r="C3861" s="570"/>
      <c r="D3861" s="571"/>
      <c r="E3861" s="667"/>
      <c r="F3861" s="724"/>
      <c r="G3861" s="658"/>
      <c r="H3861" s="659"/>
      <c r="I3861" s="783"/>
      <c r="J3861" s="707" t="s">
        <v>304</v>
      </c>
      <c r="K3861" s="463">
        <f>AVERAGE(K3859:K3860)</f>
        <v>47.035015972946162</v>
      </c>
      <c r="L3861" s="564" t="s">
        <v>6</v>
      </c>
      <c r="M3861" s="173"/>
      <c r="O3861" s="425"/>
      <c r="P3861" s="171"/>
      <c r="Q3861" s="171"/>
      <c r="R3861" s="51"/>
      <c r="S3861" s="51"/>
      <c r="T3861" s="171"/>
    </row>
    <row r="3862" spans="1:25" ht="30" customHeight="1" thickBot="1" x14ac:dyDescent="0.4">
      <c r="A3862" s="241"/>
      <c r="B3862" s="1031"/>
      <c r="C3862" s="1032"/>
      <c r="D3862" s="1033"/>
      <c r="E3862" s="553"/>
      <c r="F3862" s="706"/>
      <c r="G3862" s="553"/>
      <c r="H3862" s="707"/>
      <c r="I3862" s="458"/>
      <c r="J3862" s="510" t="s">
        <v>2356</v>
      </c>
      <c r="K3862" s="459">
        <f>+K3861</f>
        <v>47.035015972946162</v>
      </c>
      <c r="L3862" s="564" t="s">
        <v>6</v>
      </c>
      <c r="M3862" s="173"/>
      <c r="N3862" s="208"/>
      <c r="O3862" s="425"/>
      <c r="P3862" s="171"/>
      <c r="Q3862" s="171"/>
      <c r="R3862" s="51"/>
      <c r="S3862" s="51"/>
      <c r="T3862" s="171"/>
    </row>
    <row r="3863" spans="1:25" ht="30" customHeight="1" thickBot="1" x14ac:dyDescent="0.4">
      <c r="A3863" s="481"/>
      <c r="B3863" s="482"/>
      <c r="C3863" s="482"/>
      <c r="D3863" s="482"/>
      <c r="E3863" s="482"/>
      <c r="F3863" s="482"/>
      <c r="G3863" s="482"/>
      <c r="H3863" s="482"/>
      <c r="I3863" s="482"/>
      <c r="J3863" s="482"/>
      <c r="K3863" s="482"/>
      <c r="L3863" s="483"/>
      <c r="M3863" s="173"/>
      <c r="P3863" s="171"/>
      <c r="Q3863" s="171"/>
      <c r="R3863" s="51"/>
      <c r="S3863" s="51"/>
      <c r="T3863" s="171"/>
    </row>
    <row r="3864" spans="1:25" ht="30" customHeight="1" x14ac:dyDescent="0.35">
      <c r="A3864" s="465" t="s">
        <v>278</v>
      </c>
      <c r="B3864" s="539">
        <v>8122</v>
      </c>
      <c r="C3864" s="586" t="s">
        <v>1721</v>
      </c>
      <c r="D3864" s="587"/>
      <c r="E3864" s="541" t="s">
        <v>280</v>
      </c>
      <c r="F3864" s="542" t="s">
        <v>10</v>
      </c>
      <c r="G3864" s="553" t="s">
        <v>279</v>
      </c>
      <c r="H3864" s="855">
        <v>1</v>
      </c>
      <c r="I3864" s="541" t="s">
        <v>281</v>
      </c>
      <c r="J3864" s="1019" t="s">
        <v>2371</v>
      </c>
      <c r="K3864" s="1019"/>
      <c r="L3864" s="1020"/>
      <c r="M3864" s="173"/>
      <c r="P3864" s="171"/>
      <c r="Q3864" s="171"/>
      <c r="R3864" s="51"/>
      <c r="S3864" s="51"/>
      <c r="T3864" s="51"/>
      <c r="U3864" s="171"/>
    </row>
    <row r="3865" spans="1:25" ht="30" customHeight="1" x14ac:dyDescent="0.35">
      <c r="A3865" s="588" t="s">
        <v>298</v>
      </c>
      <c r="B3865" s="1038" t="s">
        <v>321</v>
      </c>
      <c r="C3865" s="1039"/>
      <c r="D3865" s="1040"/>
      <c r="E3865" s="23" t="s">
        <v>290</v>
      </c>
      <c r="F3865" s="23" t="s">
        <v>322</v>
      </c>
      <c r="G3865" s="1395" t="s">
        <v>323</v>
      </c>
      <c r="H3865" s="1396"/>
      <c r="I3865" s="509" t="s">
        <v>299</v>
      </c>
      <c r="J3865" s="509"/>
      <c r="K3865" s="595" t="s">
        <v>292</v>
      </c>
      <c r="L3865" s="739"/>
      <c r="M3865" s="173"/>
      <c r="P3865" s="171"/>
      <c r="Q3865" s="171"/>
      <c r="R3865" s="51"/>
      <c r="S3865" s="51"/>
      <c r="T3865" s="51"/>
      <c r="U3865" s="171"/>
    </row>
    <row r="3866" spans="1:25" ht="30" customHeight="1" x14ac:dyDescent="0.35">
      <c r="A3866" s="241" t="s">
        <v>331</v>
      </c>
      <c r="B3866" s="1059" t="s">
        <v>3129</v>
      </c>
      <c r="C3866" s="1059"/>
      <c r="D3866" s="1059"/>
      <c r="E3866" s="453">
        <v>3150</v>
      </c>
      <c r="F3866" s="639" t="s">
        <v>10</v>
      </c>
      <c r="G3866" s="589"/>
      <c r="H3866" s="571"/>
      <c r="I3866" s="659">
        <v>1.03</v>
      </c>
      <c r="J3866" s="446"/>
      <c r="K3866" s="453">
        <f>+E3866*I3866</f>
        <v>3244.5</v>
      </c>
      <c r="L3866" s="243" t="s">
        <v>10</v>
      </c>
      <c r="M3866" s="173"/>
      <c r="P3866" s="171"/>
      <c r="Q3866" s="171"/>
      <c r="R3866" s="171"/>
      <c r="S3866" s="51"/>
      <c r="T3866" s="51"/>
      <c r="U3866" s="171"/>
    </row>
    <row r="3867" spans="1:25" ht="30" customHeight="1" x14ac:dyDescent="0.35">
      <c r="A3867" s="241"/>
      <c r="B3867" s="506"/>
      <c r="C3867" s="506"/>
      <c r="D3867" s="506"/>
      <c r="E3867" s="453"/>
      <c r="F3867" s="1029" t="s">
        <v>302</v>
      </c>
      <c r="G3867" s="1058" t="s">
        <v>303</v>
      </c>
      <c r="H3867" s="1058"/>
      <c r="I3867" s="1058"/>
      <c r="J3867" s="1058"/>
      <c r="K3867" s="612">
        <v>1.07</v>
      </c>
      <c r="L3867" s="243"/>
      <c r="M3867" s="173"/>
      <c r="P3867" s="171"/>
      <c r="Q3867" s="171"/>
      <c r="R3867" s="171"/>
      <c r="S3867" s="51"/>
      <c r="T3867" s="51"/>
      <c r="U3867" s="171"/>
    </row>
    <row r="3868" spans="1:25" ht="30" customHeight="1" x14ac:dyDescent="0.35">
      <c r="A3868" s="241"/>
      <c r="B3868" s="506"/>
      <c r="C3868" s="506"/>
      <c r="D3868" s="506"/>
      <c r="E3868" s="453"/>
      <c r="F3868" s="1030"/>
      <c r="G3868" s="1073" t="s">
        <v>2374</v>
      </c>
      <c r="H3868" s="1073"/>
      <c r="I3868" s="1073"/>
      <c r="J3868" s="1073"/>
      <c r="K3868" s="612">
        <v>1.08</v>
      </c>
      <c r="L3868" s="243"/>
      <c r="M3868" s="363"/>
      <c r="P3868" s="171"/>
      <c r="Q3868" s="171"/>
      <c r="R3868" s="171"/>
      <c r="S3868" s="51"/>
      <c r="T3868" s="51"/>
      <c r="U3868" s="171"/>
    </row>
    <row r="3869" spans="1:25" ht="30" customHeight="1" x14ac:dyDescent="0.35">
      <c r="A3869" s="241"/>
      <c r="B3869" s="446"/>
      <c r="C3869" s="458"/>
      <c r="D3869" s="458"/>
      <c r="E3869" s="458"/>
      <c r="F3869" s="458"/>
      <c r="G3869" s="16"/>
      <c r="H3869" s="16"/>
      <c r="I3869" s="458"/>
      <c r="J3869" s="458" t="s">
        <v>2356</v>
      </c>
      <c r="K3869" s="591">
        <f>+K3866*K3867/K3868</f>
        <v>3214.4583333333335</v>
      </c>
      <c r="L3869" s="243" t="s">
        <v>10</v>
      </c>
      <c r="M3869" s="173"/>
      <c r="P3869" s="171"/>
      <c r="Q3869" s="171"/>
      <c r="R3869" s="171"/>
      <c r="S3869" s="51"/>
      <c r="T3869" s="51"/>
      <c r="U3869" s="171"/>
    </row>
    <row r="3870" spans="1:25" ht="30" customHeight="1" thickBot="1" x14ac:dyDescent="0.4">
      <c r="A3870" s="241"/>
      <c r="B3870" s="446"/>
      <c r="C3870" s="458"/>
      <c r="D3870" s="458"/>
      <c r="E3870" s="458"/>
      <c r="F3870" s="458"/>
      <c r="G3870" s="592" t="s">
        <v>2358</v>
      </c>
      <c r="H3870" s="458"/>
      <c r="I3870" s="458"/>
      <c r="J3870" s="583">
        <f>VLOOKUP(B3864,'Mil Cost Premiums for PUCs'!$A$4:$R$272,18,FALSE)</f>
        <v>1.0905505199999999</v>
      </c>
      <c r="K3870" s="591">
        <f>+K3869*J3870</f>
        <v>3505.5292069349998</v>
      </c>
      <c r="L3870" s="243" t="s">
        <v>10</v>
      </c>
      <c r="M3870" s="173"/>
      <c r="P3870" s="171"/>
      <c r="Q3870" s="171"/>
      <c r="R3870" s="171"/>
      <c r="S3870" s="51"/>
      <c r="T3870" s="51"/>
      <c r="U3870" s="171"/>
    </row>
    <row r="3871" spans="1:25" ht="30" customHeight="1" thickBot="1" x14ac:dyDescent="0.4">
      <c r="A3871" s="481"/>
      <c r="B3871" s="482"/>
      <c r="C3871" s="482"/>
      <c r="D3871" s="482"/>
      <c r="E3871" s="482"/>
      <c r="F3871" s="482"/>
      <c r="G3871" s="482"/>
      <c r="H3871" s="482"/>
      <c r="I3871" s="482"/>
      <c r="J3871" s="482"/>
      <c r="K3871" s="482"/>
      <c r="L3871" s="483"/>
      <c r="M3871" s="173"/>
      <c r="P3871" s="171"/>
      <c r="Q3871" s="171"/>
      <c r="R3871" s="171"/>
      <c r="S3871" s="51"/>
      <c r="U3871" s="171"/>
    </row>
    <row r="3872" spans="1:25" ht="30" customHeight="1" x14ac:dyDescent="0.35">
      <c r="A3872" s="465" t="s">
        <v>278</v>
      </c>
      <c r="B3872" s="539">
        <v>8123</v>
      </c>
      <c r="C3872" s="1060" t="s">
        <v>1722</v>
      </c>
      <c r="D3872" s="1061"/>
      <c r="E3872" s="541" t="s">
        <v>280</v>
      </c>
      <c r="F3872" s="542" t="s">
        <v>6</v>
      </c>
      <c r="G3872" s="543" t="s">
        <v>285</v>
      </c>
      <c r="H3872" s="569">
        <v>19246</v>
      </c>
      <c r="I3872" s="541" t="s">
        <v>281</v>
      </c>
      <c r="J3872" s="1019" t="s">
        <v>3128</v>
      </c>
      <c r="K3872" s="1019"/>
      <c r="L3872" s="1020"/>
      <c r="M3872" s="173"/>
      <c r="P3872" s="171"/>
      <c r="Q3872" s="171"/>
      <c r="R3872" s="171"/>
      <c r="S3872" s="51"/>
      <c r="T3872" s="208"/>
      <c r="U3872" s="75"/>
      <c r="V3872" s="208"/>
      <c r="W3872" s="208"/>
      <c r="X3872" s="208"/>
    </row>
    <row r="3873" spans="1:25" ht="30" customHeight="1" x14ac:dyDescent="0.35">
      <c r="A3873" s="545" t="s">
        <v>288</v>
      </c>
      <c r="B3873" s="1051" t="s">
        <v>282</v>
      </c>
      <c r="C3873" s="1051"/>
      <c r="D3873" s="1051"/>
      <c r="E3873" s="561" t="s">
        <v>1723</v>
      </c>
      <c r="F3873" s="509" t="s">
        <v>289</v>
      </c>
      <c r="G3873" s="1094" t="s">
        <v>323</v>
      </c>
      <c r="H3873" s="1095"/>
      <c r="I3873" s="1052" t="s">
        <v>405</v>
      </c>
      <c r="J3873" s="1053"/>
      <c r="K3873" s="595" t="s">
        <v>292</v>
      </c>
      <c r="L3873" s="739"/>
      <c r="M3873" s="173"/>
      <c r="T3873" s="51"/>
      <c r="Y3873" s="208"/>
    </row>
    <row r="3874" spans="1:25" ht="30" customHeight="1" x14ac:dyDescent="0.35">
      <c r="A3874" s="241">
        <v>81242</v>
      </c>
      <c r="B3874" s="1082" t="s">
        <v>1724</v>
      </c>
      <c r="C3874" s="1083"/>
      <c r="D3874" s="1093"/>
      <c r="E3874" s="889">
        <v>24.8</v>
      </c>
      <c r="F3874" s="694">
        <v>1</v>
      </c>
      <c r="G3874" s="654"/>
      <c r="H3874" s="659"/>
      <c r="I3874" s="1091">
        <f>+'2021 MILCON Inflation Table'!$F$20</f>
        <v>0.9432470865927236</v>
      </c>
      <c r="J3874" s="1092"/>
      <c r="K3874" s="463">
        <f t="shared" ref="K3874:K3877" si="78">+E3874*I3874</f>
        <v>23.392527747499546</v>
      </c>
      <c r="L3874" s="564" t="s">
        <v>6</v>
      </c>
      <c r="M3874" s="173"/>
      <c r="P3874" s="208"/>
      <c r="Q3874" s="208"/>
      <c r="R3874" s="208"/>
      <c r="S3874" s="208"/>
      <c r="T3874" s="51"/>
    </row>
    <row r="3875" spans="1:25" ht="30" customHeight="1" x14ac:dyDescent="0.35">
      <c r="A3875" s="241">
        <v>81242</v>
      </c>
      <c r="B3875" s="1082" t="s">
        <v>1725</v>
      </c>
      <c r="C3875" s="1083"/>
      <c r="D3875" s="1093"/>
      <c r="E3875" s="889">
        <v>39.6</v>
      </c>
      <c r="F3875" s="694">
        <v>1</v>
      </c>
      <c r="G3875" s="639"/>
      <c r="H3875" s="659"/>
      <c r="I3875" s="1091">
        <f>+'2021 MILCON Inflation Table'!$F$20</f>
        <v>0.9432470865927236</v>
      </c>
      <c r="J3875" s="1092"/>
      <c r="K3875" s="463">
        <f t="shared" si="78"/>
        <v>37.352584629071856</v>
      </c>
      <c r="L3875" s="564" t="s">
        <v>6</v>
      </c>
      <c r="M3875" s="173"/>
      <c r="N3875" s="421"/>
      <c r="P3875" s="171"/>
      <c r="Q3875" s="171"/>
      <c r="R3875" s="171"/>
      <c r="S3875" s="51"/>
      <c r="T3875" s="51"/>
    </row>
    <row r="3876" spans="1:25" s="208" customFormat="1" ht="30" customHeight="1" x14ac:dyDescent="0.35">
      <c r="A3876" s="241">
        <v>81242</v>
      </c>
      <c r="B3876" s="1082" t="s">
        <v>1726</v>
      </c>
      <c r="C3876" s="1083"/>
      <c r="D3876" s="1093"/>
      <c r="E3876" s="591">
        <v>62</v>
      </c>
      <c r="F3876" s="694">
        <v>1</v>
      </c>
      <c r="G3876" s="639"/>
      <c r="H3876" s="659"/>
      <c r="I3876" s="1091">
        <f>+'2021 MILCON Inflation Table'!$F$20</f>
        <v>0.9432470865927236</v>
      </c>
      <c r="J3876" s="1092"/>
      <c r="K3876" s="463">
        <f t="shared" si="78"/>
        <v>58.481319368748863</v>
      </c>
      <c r="L3876" s="564" t="s">
        <v>6</v>
      </c>
      <c r="M3876" s="173"/>
      <c r="N3876" s="203"/>
      <c r="O3876" s="205"/>
      <c r="P3876" s="171"/>
      <c r="Q3876" s="171"/>
      <c r="R3876" s="171"/>
      <c r="S3876" s="51"/>
      <c r="T3876" s="51"/>
      <c r="U3876" s="203"/>
      <c r="V3876" s="203"/>
      <c r="W3876" s="203"/>
      <c r="X3876" s="203"/>
      <c r="Y3876" s="203"/>
    </row>
    <row r="3877" spans="1:25" ht="30" customHeight="1" x14ac:dyDescent="0.35">
      <c r="A3877" s="241">
        <v>81242</v>
      </c>
      <c r="B3877" s="1082" t="s">
        <v>1727</v>
      </c>
      <c r="C3877" s="1083"/>
      <c r="D3877" s="1093"/>
      <c r="E3877" s="591">
        <v>153</v>
      </c>
      <c r="F3877" s="694">
        <v>1</v>
      </c>
      <c r="G3877" s="639"/>
      <c r="H3877" s="659"/>
      <c r="I3877" s="1091">
        <f>+'2021 MILCON Inflation Table'!$F$20</f>
        <v>0.9432470865927236</v>
      </c>
      <c r="J3877" s="1092"/>
      <c r="K3877" s="463">
        <f t="shared" si="78"/>
        <v>144.31680424868671</v>
      </c>
      <c r="L3877" s="564" t="s">
        <v>6</v>
      </c>
      <c r="M3877" s="173"/>
      <c r="O3877" s="203"/>
      <c r="P3877" s="171"/>
      <c r="Q3877" s="171"/>
      <c r="R3877" s="171"/>
      <c r="S3877" s="51"/>
      <c r="T3877" s="51"/>
    </row>
    <row r="3878" spans="1:25" ht="30" customHeight="1" x14ac:dyDescent="0.35">
      <c r="A3878" s="241"/>
      <c r="B3878" s="1031"/>
      <c r="C3878" s="1032"/>
      <c r="D3878" s="1033"/>
      <c r="E3878" s="657"/>
      <c r="F3878" s="909"/>
      <c r="G3878" s="658"/>
      <c r="H3878" s="659"/>
      <c r="I3878" s="783"/>
      <c r="J3878" s="707" t="s">
        <v>304</v>
      </c>
      <c r="K3878" s="463">
        <f>AVERAGE(K3874:K3877)</f>
        <v>65.885808998501744</v>
      </c>
      <c r="L3878" s="564" t="s">
        <v>6</v>
      </c>
      <c r="M3878" s="173"/>
      <c r="O3878" s="203"/>
      <c r="P3878" s="171"/>
      <c r="Q3878" s="171"/>
      <c r="R3878" s="171"/>
      <c r="S3878" s="51"/>
    </row>
    <row r="3879" spans="1:25" ht="30" customHeight="1" thickBot="1" x14ac:dyDescent="0.4">
      <c r="A3879" s="241"/>
      <c r="B3879" s="1057"/>
      <c r="C3879" s="1057"/>
      <c r="D3879" s="1057"/>
      <c r="E3879" s="553"/>
      <c r="F3879" s="706"/>
      <c r="G3879" s="553"/>
      <c r="H3879" s="707"/>
      <c r="I3879" s="458"/>
      <c r="J3879" s="510" t="s">
        <v>2356</v>
      </c>
      <c r="K3879" s="459">
        <f>+K3878</f>
        <v>65.885808998501744</v>
      </c>
      <c r="L3879" s="564" t="s">
        <v>6</v>
      </c>
      <c r="M3879" s="173"/>
      <c r="O3879" s="203"/>
      <c r="P3879" s="171"/>
      <c r="Q3879" s="171"/>
      <c r="R3879" s="171"/>
      <c r="S3879" s="51"/>
    </row>
    <row r="3880" spans="1:25" ht="30" customHeight="1" thickBot="1" x14ac:dyDescent="0.4">
      <c r="A3880" s="481"/>
      <c r="B3880" s="482"/>
      <c r="C3880" s="482"/>
      <c r="D3880" s="482"/>
      <c r="E3880" s="482"/>
      <c r="F3880" s="482"/>
      <c r="G3880" s="482"/>
      <c r="H3880" s="482"/>
      <c r="I3880" s="482"/>
      <c r="J3880" s="482"/>
      <c r="K3880" s="482"/>
      <c r="L3880" s="483"/>
      <c r="M3880" s="173"/>
      <c r="O3880" s="203"/>
      <c r="P3880" s="218"/>
      <c r="Q3880" s="68"/>
      <c r="R3880" s="217"/>
    </row>
    <row r="3881" spans="1:25" ht="45" customHeight="1" x14ac:dyDescent="0.35">
      <c r="A3881" s="465" t="s">
        <v>278</v>
      </c>
      <c r="B3881" s="539">
        <v>8131</v>
      </c>
      <c r="C3881" s="1017" t="s">
        <v>2593</v>
      </c>
      <c r="D3881" s="1018"/>
      <c r="E3881" s="543" t="s">
        <v>285</v>
      </c>
      <c r="F3881" s="555">
        <v>4436</v>
      </c>
      <c r="G3881" s="541" t="s">
        <v>280</v>
      </c>
      <c r="H3881" s="542" t="s">
        <v>216</v>
      </c>
      <c r="I3881" s="541" t="s">
        <v>281</v>
      </c>
      <c r="J3881" s="1019" t="s">
        <v>3130</v>
      </c>
      <c r="K3881" s="1019"/>
      <c r="L3881" s="1020"/>
      <c r="M3881" s="173"/>
      <c r="O3881" s="203"/>
      <c r="P3881" s="218"/>
      <c r="Q3881" s="68"/>
      <c r="R3881" s="217"/>
    </row>
    <row r="3882" spans="1:25" ht="30" customHeight="1" x14ac:dyDescent="0.35">
      <c r="A3882" s="545"/>
      <c r="B3882" s="1021" t="s">
        <v>2921</v>
      </c>
      <c r="C3882" s="1021"/>
      <c r="D3882" s="1021"/>
      <c r="E3882" s="509" t="s">
        <v>290</v>
      </c>
      <c r="F3882" s="509" t="s">
        <v>322</v>
      </c>
      <c r="G3882" s="1034" t="s">
        <v>323</v>
      </c>
      <c r="H3882" s="1035"/>
      <c r="I3882" s="509" t="s">
        <v>327</v>
      </c>
      <c r="J3882" s="509" t="s">
        <v>419</v>
      </c>
      <c r="K3882" s="1012" t="s">
        <v>2356</v>
      </c>
      <c r="L3882" s="1013"/>
      <c r="M3882" s="173"/>
      <c r="O3882" s="171"/>
      <c r="P3882" s="218"/>
      <c r="Q3882" s="68"/>
      <c r="R3882" s="217"/>
    </row>
    <row r="3883" spans="1:25" ht="30" customHeight="1" thickBot="1" x14ac:dyDescent="0.4">
      <c r="A3883" s="546"/>
      <c r="B3883" s="1014">
        <v>351.05</v>
      </c>
      <c r="C3883" s="1014"/>
      <c r="D3883" s="1014"/>
      <c r="E3883" s="547"/>
      <c r="F3883" s="548"/>
      <c r="G3883" s="1015"/>
      <c r="H3883" s="1016"/>
      <c r="I3883" s="549"/>
      <c r="J3883" s="550">
        <v>1.0202</v>
      </c>
      <c r="K3883" s="551">
        <f>B3883*J3883</f>
        <v>358.14121</v>
      </c>
      <c r="L3883" s="552" t="s">
        <v>10</v>
      </c>
      <c r="M3883" s="363"/>
      <c r="O3883" s="171"/>
      <c r="P3883" s="218"/>
      <c r="Q3883" s="68"/>
      <c r="R3883" s="217"/>
    </row>
    <row r="3884" spans="1:25" ht="30" customHeight="1" thickBot="1" x14ac:dyDescent="0.4">
      <c r="A3884" s="481"/>
      <c r="B3884" s="482"/>
      <c r="C3884" s="482"/>
      <c r="D3884" s="482"/>
      <c r="E3884" s="482"/>
      <c r="F3884" s="482"/>
      <c r="G3884" s="482"/>
      <c r="H3884" s="482"/>
      <c r="I3884" s="482"/>
      <c r="J3884" s="482"/>
      <c r="K3884" s="482"/>
      <c r="L3884" s="483"/>
      <c r="M3884" s="173"/>
      <c r="O3884" s="203"/>
      <c r="P3884" s="218"/>
      <c r="Q3884" s="68"/>
      <c r="R3884" s="217"/>
    </row>
    <row r="3885" spans="1:25" ht="45" customHeight="1" x14ac:dyDescent="0.35">
      <c r="A3885" s="465" t="s">
        <v>278</v>
      </c>
      <c r="B3885" s="539">
        <v>8132</v>
      </c>
      <c r="C3885" s="1017" t="s">
        <v>2594</v>
      </c>
      <c r="D3885" s="1018"/>
      <c r="E3885" s="543" t="s">
        <v>285</v>
      </c>
      <c r="F3885" s="555">
        <v>28252</v>
      </c>
      <c r="G3885" s="541" t="s">
        <v>280</v>
      </c>
      <c r="H3885" s="542" t="s">
        <v>216</v>
      </c>
      <c r="I3885" s="541" t="s">
        <v>281</v>
      </c>
      <c r="J3885" s="1019" t="s">
        <v>3130</v>
      </c>
      <c r="K3885" s="1019"/>
      <c r="L3885" s="1020"/>
      <c r="M3885" s="363"/>
      <c r="N3885" s="68"/>
      <c r="O3885" s="203"/>
      <c r="P3885" s="216"/>
      <c r="Q3885" s="419"/>
      <c r="R3885" s="219"/>
    </row>
    <row r="3886" spans="1:25" ht="30" customHeight="1" x14ac:dyDescent="0.35">
      <c r="A3886" s="545"/>
      <c r="B3886" s="1021" t="s">
        <v>2921</v>
      </c>
      <c r="C3886" s="1021"/>
      <c r="D3886" s="1021"/>
      <c r="E3886" s="509" t="s">
        <v>290</v>
      </c>
      <c r="F3886" s="509" t="s">
        <v>322</v>
      </c>
      <c r="G3886" s="1034" t="s">
        <v>323</v>
      </c>
      <c r="H3886" s="1035"/>
      <c r="I3886" s="509" t="s">
        <v>327</v>
      </c>
      <c r="J3886" s="509" t="s">
        <v>419</v>
      </c>
      <c r="K3886" s="1012" t="s">
        <v>2356</v>
      </c>
      <c r="L3886" s="1013"/>
      <c r="M3886" s="173"/>
      <c r="N3886" s="68"/>
      <c r="O3886" s="203"/>
      <c r="P3886" s="216"/>
      <c r="Q3886" s="419"/>
      <c r="R3886" s="219"/>
    </row>
    <row r="3887" spans="1:25" ht="30" customHeight="1" thickBot="1" x14ac:dyDescent="0.4">
      <c r="A3887" s="546"/>
      <c r="B3887" s="1014">
        <v>67.569999999999993</v>
      </c>
      <c r="C3887" s="1014"/>
      <c r="D3887" s="1014"/>
      <c r="E3887" s="547"/>
      <c r="F3887" s="548"/>
      <c r="G3887" s="1015"/>
      <c r="H3887" s="1016"/>
      <c r="I3887" s="549"/>
      <c r="J3887" s="550">
        <v>1.0202</v>
      </c>
      <c r="K3887" s="551">
        <f>B3887*J3887</f>
        <v>68.934913999999992</v>
      </c>
      <c r="L3887" s="552" t="s">
        <v>10</v>
      </c>
      <c r="M3887" s="173"/>
      <c r="N3887" s="68"/>
      <c r="O3887" s="203"/>
      <c r="P3887" s="218"/>
      <c r="Q3887" s="68"/>
      <c r="R3887" s="217"/>
    </row>
    <row r="3888" spans="1:25" ht="30" customHeight="1" thickBot="1" x14ac:dyDescent="0.4">
      <c r="A3888" s="481"/>
      <c r="B3888" s="482"/>
      <c r="C3888" s="482"/>
      <c r="D3888" s="482"/>
      <c r="E3888" s="482"/>
      <c r="F3888" s="482"/>
      <c r="G3888" s="482"/>
      <c r="H3888" s="482"/>
      <c r="I3888" s="482"/>
      <c r="J3888" s="482"/>
      <c r="K3888" s="482"/>
      <c r="L3888" s="483"/>
      <c r="M3888" s="173"/>
      <c r="N3888" s="68"/>
      <c r="O3888" s="203"/>
      <c r="P3888" s="218"/>
      <c r="Q3888" s="68"/>
      <c r="R3888" s="217"/>
    </row>
    <row r="3889" spans="1:25" ht="30" customHeight="1" x14ac:dyDescent="0.35">
      <c r="A3889" s="465" t="s">
        <v>278</v>
      </c>
      <c r="B3889" s="539">
        <v>8133</v>
      </c>
      <c r="C3889" s="1060" t="s">
        <v>1728</v>
      </c>
      <c r="D3889" s="1061"/>
      <c r="E3889" s="541" t="s">
        <v>280</v>
      </c>
      <c r="F3889" s="542" t="s">
        <v>216</v>
      </c>
      <c r="G3889" s="543" t="s">
        <v>285</v>
      </c>
      <c r="H3889" s="569">
        <v>1615</v>
      </c>
      <c r="I3889" s="541" t="s">
        <v>281</v>
      </c>
      <c r="J3889" s="1019" t="s">
        <v>2749</v>
      </c>
      <c r="K3889" s="1019"/>
      <c r="L3889" s="1020"/>
      <c r="M3889" s="173"/>
      <c r="N3889" s="68"/>
      <c r="O3889" s="208"/>
      <c r="P3889" s="216"/>
      <c r="Q3889" s="419"/>
      <c r="R3889" s="217"/>
    </row>
    <row r="3890" spans="1:25" ht="30" customHeight="1" x14ac:dyDescent="0.35">
      <c r="A3890" s="545" t="s">
        <v>288</v>
      </c>
      <c r="B3890" s="1051" t="s">
        <v>282</v>
      </c>
      <c r="C3890" s="1051"/>
      <c r="D3890" s="1051"/>
      <c r="E3890" s="561" t="s">
        <v>1697</v>
      </c>
      <c r="F3890" s="509" t="s">
        <v>289</v>
      </c>
      <c r="G3890" s="1094" t="s">
        <v>323</v>
      </c>
      <c r="H3890" s="1095"/>
      <c r="I3890" s="1052" t="s">
        <v>405</v>
      </c>
      <c r="J3890" s="1053"/>
      <c r="K3890" s="595" t="s">
        <v>292</v>
      </c>
      <c r="L3890" s="739"/>
      <c r="M3890" s="173"/>
      <c r="N3890" s="68"/>
      <c r="O3890" s="203"/>
      <c r="P3890" s="216"/>
      <c r="Q3890" s="419"/>
      <c r="R3890" s="219"/>
    </row>
    <row r="3891" spans="1:25" ht="30" customHeight="1" x14ac:dyDescent="0.35">
      <c r="A3891" s="241">
        <v>81360</v>
      </c>
      <c r="B3891" s="1082" t="s">
        <v>2257</v>
      </c>
      <c r="C3891" s="1083"/>
      <c r="D3891" s="1093"/>
      <c r="E3891" s="453">
        <v>28570</v>
      </c>
      <c r="F3891" s="694">
        <v>500</v>
      </c>
      <c r="G3891" s="639">
        <v>500</v>
      </c>
      <c r="H3891" s="659" t="s">
        <v>1729</v>
      </c>
      <c r="I3891" s="1062">
        <f>+'2021 MILCON Inflation Table'!$F$20</f>
        <v>0.9432470865927236</v>
      </c>
      <c r="J3891" s="1063"/>
      <c r="K3891" s="451">
        <f>+E3891/G3891*I3891</f>
        <v>53.897138527908226</v>
      </c>
      <c r="L3891" s="564" t="s">
        <v>216</v>
      </c>
      <c r="M3891" s="173"/>
      <c r="N3891" s="68"/>
      <c r="O3891" s="203"/>
      <c r="P3891" s="218"/>
      <c r="Q3891" s="68"/>
      <c r="R3891" s="217"/>
    </row>
    <row r="3892" spans="1:25" ht="30" customHeight="1" x14ac:dyDescent="0.35">
      <c r="A3892" s="241">
        <v>81360</v>
      </c>
      <c r="B3892" s="1082" t="s">
        <v>2258</v>
      </c>
      <c r="C3892" s="1083"/>
      <c r="D3892" s="1093"/>
      <c r="E3892" s="453">
        <v>51870</v>
      </c>
      <c r="F3892" s="694">
        <v>1000</v>
      </c>
      <c r="G3892" s="639">
        <v>1000</v>
      </c>
      <c r="H3892" s="659" t="s">
        <v>1729</v>
      </c>
      <c r="I3892" s="1062">
        <f>+'2021 MILCON Inflation Table'!$F$20</f>
        <v>0.9432470865927236</v>
      </c>
      <c r="J3892" s="1063"/>
      <c r="K3892" s="451">
        <f>+E3892/G3892*I3892</f>
        <v>48.926226381564568</v>
      </c>
      <c r="L3892" s="564" t="s">
        <v>216</v>
      </c>
      <c r="M3892" s="364"/>
      <c r="N3892" s="68"/>
      <c r="O3892" s="203"/>
      <c r="P3892" s="218"/>
      <c r="Q3892" s="68"/>
      <c r="R3892" s="217"/>
    </row>
    <row r="3893" spans="1:25" ht="30" customHeight="1" x14ac:dyDescent="0.35">
      <c r="A3893" s="241">
        <v>81360</v>
      </c>
      <c r="B3893" s="1082" t="s">
        <v>2259</v>
      </c>
      <c r="C3893" s="1083"/>
      <c r="D3893" s="1093"/>
      <c r="E3893" s="453">
        <v>72860</v>
      </c>
      <c r="F3893" s="910">
        <v>2000</v>
      </c>
      <c r="G3893" s="639">
        <v>2000</v>
      </c>
      <c r="H3893" s="659" t="s">
        <v>1729</v>
      </c>
      <c r="I3893" s="1062">
        <f>+'2021 MILCON Inflation Table'!$F$20</f>
        <v>0.9432470865927236</v>
      </c>
      <c r="J3893" s="1063"/>
      <c r="K3893" s="451">
        <f>+E3893/G3893*I3893</f>
        <v>34.362491364572918</v>
      </c>
      <c r="L3893" s="564" t="s">
        <v>216</v>
      </c>
      <c r="M3893" s="173"/>
      <c r="N3893" s="68"/>
      <c r="O3893" s="208"/>
      <c r="P3893" s="216"/>
      <c r="Q3893" s="419"/>
      <c r="R3893" s="217"/>
    </row>
    <row r="3894" spans="1:25" ht="30" customHeight="1" x14ac:dyDescent="0.35">
      <c r="A3894" s="241"/>
      <c r="B3894" s="1031"/>
      <c r="C3894" s="1032"/>
      <c r="D3894" s="1033"/>
      <c r="E3894" s="453"/>
      <c r="F3894" s="706"/>
      <c r="G3894" s="639"/>
      <c r="H3894" s="659"/>
      <c r="I3894" s="458"/>
      <c r="J3894" s="435" t="s">
        <v>304</v>
      </c>
      <c r="K3894" s="463">
        <f>AVERAGE(K3891:K3893)</f>
        <v>45.728618758015237</v>
      </c>
      <c r="L3894" s="564" t="s">
        <v>216</v>
      </c>
      <c r="M3894" s="173"/>
      <c r="N3894" s="68"/>
      <c r="O3894" s="203"/>
      <c r="P3894" s="216"/>
      <c r="Q3894" s="419"/>
      <c r="R3894" s="219"/>
    </row>
    <row r="3895" spans="1:25" ht="30" customHeight="1" thickBot="1" x14ac:dyDescent="0.4">
      <c r="A3895" s="241"/>
      <c r="B3895" s="1031"/>
      <c r="C3895" s="1032"/>
      <c r="D3895" s="1033"/>
      <c r="E3895" s="453"/>
      <c r="F3895" s="706"/>
      <c r="G3895" s="639"/>
      <c r="H3895" s="659"/>
      <c r="I3895" s="458"/>
      <c r="J3895" s="433" t="s">
        <v>2356</v>
      </c>
      <c r="K3895" s="463">
        <f>+K3894</f>
        <v>45.728618758015237</v>
      </c>
      <c r="L3895" s="564" t="s">
        <v>216</v>
      </c>
      <c r="M3895" s="173"/>
      <c r="N3895" s="214"/>
      <c r="O3895" s="203"/>
      <c r="P3895" s="218"/>
      <c r="Q3895" s="68"/>
      <c r="R3895" s="217"/>
      <c r="T3895" s="208"/>
      <c r="U3895" s="208"/>
      <c r="V3895" s="208"/>
      <c r="W3895" s="208"/>
      <c r="X3895" s="208"/>
    </row>
    <row r="3896" spans="1:25" ht="30" customHeight="1" thickBot="1" x14ac:dyDescent="0.4">
      <c r="A3896" s="481"/>
      <c r="B3896" s="482"/>
      <c r="C3896" s="482"/>
      <c r="D3896" s="482"/>
      <c r="E3896" s="482"/>
      <c r="F3896" s="482"/>
      <c r="G3896" s="482"/>
      <c r="H3896" s="482"/>
      <c r="I3896" s="482"/>
      <c r="J3896" s="482"/>
      <c r="K3896" s="482"/>
      <c r="L3896" s="483"/>
      <c r="M3896" s="364"/>
      <c r="N3896" s="214"/>
      <c r="O3896" s="75"/>
      <c r="Q3896" s="68"/>
      <c r="R3896" s="217"/>
      <c r="Y3896" s="208"/>
    </row>
    <row r="3897" spans="1:25" ht="30" customHeight="1" x14ac:dyDescent="0.35">
      <c r="A3897" s="465" t="s">
        <v>278</v>
      </c>
      <c r="B3897" s="539">
        <v>8134</v>
      </c>
      <c r="C3897" s="1017" t="s">
        <v>1730</v>
      </c>
      <c r="D3897" s="1018"/>
      <c r="E3897" s="541" t="s">
        <v>280</v>
      </c>
      <c r="F3897" s="542" t="s">
        <v>10</v>
      </c>
      <c r="G3897" s="543" t="s">
        <v>285</v>
      </c>
      <c r="H3897" s="544">
        <v>2.5</v>
      </c>
      <c r="I3897" s="541" t="s">
        <v>281</v>
      </c>
      <c r="J3897" s="1019" t="s">
        <v>2371</v>
      </c>
      <c r="K3897" s="1019"/>
      <c r="L3897" s="1020"/>
      <c r="M3897" s="173"/>
      <c r="O3897" s="203"/>
      <c r="P3897" s="208"/>
      <c r="Q3897" s="68"/>
      <c r="R3897" s="217"/>
      <c r="S3897" s="208"/>
    </row>
    <row r="3898" spans="1:25" ht="30" customHeight="1" x14ac:dyDescent="0.35">
      <c r="A3898" s="588" t="s">
        <v>298</v>
      </c>
      <c r="B3898" s="1038" t="s">
        <v>321</v>
      </c>
      <c r="C3898" s="1039"/>
      <c r="D3898" s="1040"/>
      <c r="E3898" s="23" t="s">
        <v>290</v>
      </c>
      <c r="F3898" s="23" t="s">
        <v>322</v>
      </c>
      <c r="G3898" s="1034" t="s">
        <v>323</v>
      </c>
      <c r="H3898" s="1035"/>
      <c r="I3898" s="509" t="s">
        <v>299</v>
      </c>
      <c r="J3898" s="509"/>
      <c r="K3898" s="595" t="s">
        <v>292</v>
      </c>
      <c r="L3898" s="739"/>
      <c r="M3898" s="173"/>
      <c r="O3898" s="203"/>
      <c r="P3898" s="218"/>
      <c r="Q3898" s="68"/>
      <c r="R3898" s="217"/>
    </row>
    <row r="3899" spans="1:25" s="208" customFormat="1" ht="30" customHeight="1" x14ac:dyDescent="0.35">
      <c r="A3899" s="832" t="s">
        <v>550</v>
      </c>
      <c r="B3899" s="1082" t="s">
        <v>1731</v>
      </c>
      <c r="C3899" s="1083"/>
      <c r="D3899" s="1093"/>
      <c r="E3899" s="40">
        <v>1320</v>
      </c>
      <c r="F3899" s="3" t="s">
        <v>10</v>
      </c>
      <c r="G3899" s="639"/>
      <c r="H3899" s="659"/>
      <c r="I3899" s="665">
        <v>1.01</v>
      </c>
      <c r="J3899" s="446"/>
      <c r="K3899" s="38">
        <f>+E3899*I3899</f>
        <v>1333.2</v>
      </c>
      <c r="L3899" s="676" t="s">
        <v>10</v>
      </c>
      <c r="M3899" s="173"/>
      <c r="N3899" s="203"/>
      <c r="O3899" s="203"/>
      <c r="P3899" s="218"/>
      <c r="Q3899" s="68"/>
      <c r="R3899" s="217"/>
      <c r="S3899" s="203"/>
      <c r="T3899" s="203"/>
      <c r="U3899" s="203"/>
      <c r="V3899" s="203"/>
      <c r="W3899" s="203"/>
      <c r="X3899" s="203"/>
      <c r="Y3899" s="203"/>
    </row>
    <row r="3900" spans="1:25" ht="30" customHeight="1" x14ac:dyDescent="0.35">
      <c r="A3900" s="832" t="s">
        <v>544</v>
      </c>
      <c r="B3900" s="1031" t="s">
        <v>1732</v>
      </c>
      <c r="C3900" s="1032"/>
      <c r="D3900" s="1033"/>
      <c r="E3900" s="453">
        <v>322</v>
      </c>
      <c r="F3900" s="3" t="s">
        <v>10</v>
      </c>
      <c r="G3900" s="639"/>
      <c r="H3900" s="659"/>
      <c r="I3900" s="665">
        <v>1.01</v>
      </c>
      <c r="J3900" s="446"/>
      <c r="K3900" s="38">
        <f>+E3900*I3900</f>
        <v>325.22000000000003</v>
      </c>
      <c r="L3900" s="243" t="s">
        <v>10</v>
      </c>
      <c r="M3900" s="363"/>
      <c r="N3900" s="13"/>
      <c r="O3900" s="203"/>
      <c r="P3900" s="218"/>
      <c r="Q3900" s="68"/>
      <c r="R3900" s="217"/>
    </row>
    <row r="3901" spans="1:25" ht="30" customHeight="1" x14ac:dyDescent="0.35">
      <c r="A3901" s="832" t="s">
        <v>544</v>
      </c>
      <c r="B3901" s="1031" t="s">
        <v>3131</v>
      </c>
      <c r="C3901" s="1032"/>
      <c r="D3901" s="1033"/>
      <c r="E3901" s="453">
        <v>159</v>
      </c>
      <c r="F3901" s="3" t="s">
        <v>10</v>
      </c>
      <c r="G3901" s="639"/>
      <c r="H3901" s="659"/>
      <c r="I3901" s="665">
        <v>1.01</v>
      </c>
      <c r="J3901" s="446"/>
      <c r="K3901" s="38">
        <f>+E3901*I3901</f>
        <v>160.59</v>
      </c>
      <c r="L3901" s="243" t="s">
        <v>10</v>
      </c>
      <c r="M3901" s="173"/>
      <c r="N3901" s="13"/>
      <c r="O3901" s="171"/>
      <c r="P3901" s="218"/>
      <c r="Q3901" s="68"/>
      <c r="R3901" s="217"/>
    </row>
    <row r="3902" spans="1:25" ht="30" customHeight="1" x14ac:dyDescent="0.35">
      <c r="A3902" s="832" t="s">
        <v>544</v>
      </c>
      <c r="B3902" s="1031" t="s">
        <v>3132</v>
      </c>
      <c r="C3902" s="1032"/>
      <c r="D3902" s="1033"/>
      <c r="E3902" s="453">
        <v>6.52</v>
      </c>
      <c r="F3902" s="3" t="s">
        <v>333</v>
      </c>
      <c r="G3902" s="639">
        <v>80</v>
      </c>
      <c r="H3902" s="659" t="s">
        <v>1733</v>
      </c>
      <c r="I3902" s="665">
        <v>1.01</v>
      </c>
      <c r="J3902" s="446"/>
      <c r="K3902" s="38">
        <f>+E3902*G3902*I3902</f>
        <v>526.81599999999992</v>
      </c>
      <c r="L3902" s="243" t="s">
        <v>10</v>
      </c>
      <c r="M3902" s="173"/>
      <c r="N3902" s="304"/>
      <c r="O3902" s="171"/>
      <c r="P3902" s="218"/>
      <c r="Q3902" s="68"/>
      <c r="R3902" s="217"/>
    </row>
    <row r="3903" spans="1:25" ht="30" customHeight="1" x14ac:dyDescent="0.35">
      <c r="A3903" s="832" t="s">
        <v>1734</v>
      </c>
      <c r="B3903" s="1031" t="s">
        <v>3133</v>
      </c>
      <c r="C3903" s="1032"/>
      <c r="D3903" s="1033"/>
      <c r="E3903" s="453">
        <v>350</v>
      </c>
      <c r="F3903" s="3" t="s">
        <v>10</v>
      </c>
      <c r="G3903" s="639"/>
      <c r="H3903" s="659"/>
      <c r="I3903" s="665">
        <v>1.01</v>
      </c>
      <c r="J3903" s="446"/>
      <c r="K3903" s="38">
        <f>+E3903*I3903</f>
        <v>353.5</v>
      </c>
      <c r="L3903" s="243" t="s">
        <v>10</v>
      </c>
      <c r="M3903" s="173"/>
      <c r="N3903" s="304"/>
      <c r="O3903" s="203"/>
      <c r="P3903" s="218"/>
      <c r="Q3903" s="68"/>
      <c r="R3903" s="217"/>
    </row>
    <row r="3904" spans="1:25" ht="30" customHeight="1" x14ac:dyDescent="0.35">
      <c r="A3904" s="905"/>
      <c r="B3904" s="570"/>
      <c r="C3904" s="570"/>
      <c r="D3904" s="571"/>
      <c r="E3904" s="453"/>
      <c r="F3904" s="3"/>
      <c r="G3904" s="639"/>
      <c r="H3904" s="659"/>
      <c r="I3904" s="665"/>
      <c r="J3904" s="446" t="s">
        <v>335</v>
      </c>
      <c r="K3904" s="38">
        <f>SUM(K3899:K3903)</f>
        <v>2699.326</v>
      </c>
      <c r="L3904" s="243" t="s">
        <v>10</v>
      </c>
      <c r="M3904" s="173"/>
      <c r="N3904" s="68"/>
      <c r="O3904" s="203"/>
      <c r="P3904" s="216"/>
      <c r="Q3904" s="419"/>
      <c r="R3904" s="219"/>
    </row>
    <row r="3905" spans="1:25" ht="30" customHeight="1" x14ac:dyDescent="0.35">
      <c r="A3905" s="241"/>
      <c r="B3905" s="506"/>
      <c r="C3905" s="506"/>
      <c r="D3905" s="506"/>
      <c r="E3905" s="453"/>
      <c r="F3905" s="1029" t="s">
        <v>302</v>
      </c>
      <c r="G3905" s="1058" t="s">
        <v>303</v>
      </c>
      <c r="H3905" s="1058"/>
      <c r="I3905" s="1058"/>
      <c r="J3905" s="1058"/>
      <c r="K3905" s="612">
        <v>1.07</v>
      </c>
      <c r="L3905" s="243"/>
      <c r="M3905" s="173"/>
      <c r="N3905" s="422"/>
      <c r="O3905" s="203"/>
      <c r="P3905" s="216"/>
      <c r="Q3905" s="419"/>
      <c r="R3905" s="219"/>
    </row>
    <row r="3906" spans="1:25" ht="30" customHeight="1" x14ac:dyDescent="0.35">
      <c r="A3906" s="241"/>
      <c r="B3906" s="506"/>
      <c r="C3906" s="506"/>
      <c r="D3906" s="506"/>
      <c r="E3906" s="453"/>
      <c r="F3906" s="1030"/>
      <c r="G3906" s="1073" t="s">
        <v>2374</v>
      </c>
      <c r="H3906" s="1073"/>
      <c r="I3906" s="1073"/>
      <c r="J3906" s="1073"/>
      <c r="K3906" s="612">
        <v>1.08</v>
      </c>
      <c r="L3906" s="243"/>
      <c r="M3906" s="173"/>
      <c r="N3906" s="422"/>
      <c r="O3906" s="203"/>
      <c r="P3906" s="218"/>
      <c r="Q3906" s="68"/>
      <c r="R3906" s="217"/>
    </row>
    <row r="3907" spans="1:25" ht="30" customHeight="1" x14ac:dyDescent="0.35">
      <c r="A3907" s="905"/>
      <c r="B3907" s="570"/>
      <c r="C3907" s="570"/>
      <c r="D3907" s="571"/>
      <c r="E3907" s="453"/>
      <c r="F3907" s="3"/>
      <c r="G3907" s="639"/>
      <c r="H3907" s="659"/>
      <c r="I3907" s="665"/>
      <c r="J3907" s="446" t="s">
        <v>2356</v>
      </c>
      <c r="K3907" s="38">
        <f>+K3904*K3905/K3906</f>
        <v>2674.3322407407404</v>
      </c>
      <c r="L3907" s="243" t="s">
        <v>10</v>
      </c>
      <c r="M3907" s="173"/>
      <c r="N3907" s="68"/>
      <c r="O3907" s="208"/>
      <c r="P3907" s="218"/>
      <c r="Q3907" s="68"/>
      <c r="R3907" s="217"/>
    </row>
    <row r="3908" spans="1:25" ht="30" customHeight="1" thickBot="1" x14ac:dyDescent="0.4">
      <c r="A3908" s="1360" t="s">
        <v>2260</v>
      </c>
      <c r="B3908" s="1110"/>
      <c r="C3908" s="1110"/>
      <c r="D3908" s="1111"/>
      <c r="E3908" s="458"/>
      <c r="F3908" s="458"/>
      <c r="G3908" s="592" t="s">
        <v>2358</v>
      </c>
      <c r="H3908" s="458"/>
      <c r="I3908" s="458"/>
      <c r="J3908" s="583">
        <f>VLOOKUP(B3897,'Mil Cost Premiums for PUCs'!$A$4:$R$272,18,FALSE)</f>
        <v>1.0905505199999999</v>
      </c>
      <c r="K3908" s="591">
        <f>+K3907*J3908</f>
        <v>2916.4944157925793</v>
      </c>
      <c r="L3908" s="243" t="s">
        <v>10</v>
      </c>
      <c r="M3908" s="173"/>
      <c r="N3908" s="68"/>
      <c r="O3908" s="203"/>
      <c r="P3908" s="218"/>
      <c r="Q3908" s="68"/>
      <c r="R3908" s="217"/>
      <c r="T3908" s="208"/>
      <c r="U3908" s="208"/>
      <c r="V3908" s="208"/>
      <c r="W3908" s="208"/>
      <c r="X3908" s="208"/>
    </row>
    <row r="3909" spans="1:25" ht="30" customHeight="1" thickBot="1" x14ac:dyDescent="0.4">
      <c r="A3909" s="481"/>
      <c r="B3909" s="482"/>
      <c r="C3909" s="482"/>
      <c r="D3909" s="482"/>
      <c r="E3909" s="482"/>
      <c r="F3909" s="482"/>
      <c r="G3909" s="482"/>
      <c r="H3909" s="482"/>
      <c r="I3909" s="482"/>
      <c r="J3909" s="482"/>
      <c r="K3909" s="482"/>
      <c r="L3909" s="483"/>
      <c r="M3909" s="173"/>
      <c r="N3909" s="68"/>
      <c r="O3909" s="171"/>
      <c r="P3909" s="218"/>
      <c r="Q3909" s="68"/>
      <c r="R3909" s="217"/>
      <c r="Y3909" s="208"/>
    </row>
    <row r="3910" spans="1:25" ht="30" customHeight="1" x14ac:dyDescent="0.35">
      <c r="A3910" s="465" t="s">
        <v>278</v>
      </c>
      <c r="B3910" s="539">
        <v>8211</v>
      </c>
      <c r="C3910" s="1231" t="s">
        <v>1735</v>
      </c>
      <c r="D3910" s="1327"/>
      <c r="E3910" s="541" t="s">
        <v>280</v>
      </c>
      <c r="F3910" s="542" t="s">
        <v>218</v>
      </c>
      <c r="G3910" s="543" t="s">
        <v>285</v>
      </c>
      <c r="H3910" s="555">
        <v>42885137</v>
      </c>
      <c r="I3910" s="541" t="s">
        <v>281</v>
      </c>
      <c r="J3910" s="1019" t="s">
        <v>2371</v>
      </c>
      <c r="K3910" s="1019"/>
      <c r="L3910" s="1020"/>
      <c r="M3910" s="173"/>
      <c r="N3910" s="419"/>
      <c r="O3910" s="171"/>
      <c r="P3910" s="218"/>
      <c r="Q3910" s="68"/>
      <c r="R3910" s="217"/>
      <c r="S3910" s="208"/>
    </row>
    <row r="3911" spans="1:25" ht="30" customHeight="1" x14ac:dyDescent="0.35">
      <c r="A3911" s="588" t="s">
        <v>298</v>
      </c>
      <c r="B3911" s="1038" t="s">
        <v>1736</v>
      </c>
      <c r="C3911" s="1039"/>
      <c r="D3911" s="1040"/>
      <c r="E3911" s="23" t="s">
        <v>290</v>
      </c>
      <c r="F3911" s="23" t="s">
        <v>322</v>
      </c>
      <c r="G3911" s="1034" t="s">
        <v>323</v>
      </c>
      <c r="H3911" s="1035"/>
      <c r="I3911" s="509" t="s">
        <v>299</v>
      </c>
      <c r="J3911" s="509"/>
      <c r="K3911" s="595" t="s">
        <v>292</v>
      </c>
      <c r="L3911" s="739"/>
      <c r="M3911" s="173"/>
      <c r="N3911" s="419"/>
      <c r="O3911" s="203"/>
      <c r="P3911" s="218"/>
      <c r="Q3911" s="68"/>
      <c r="R3911" s="217"/>
    </row>
    <row r="3912" spans="1:25" s="208" customFormat="1" ht="30" customHeight="1" x14ac:dyDescent="0.35">
      <c r="A3912" s="241"/>
      <c r="B3912" s="1031" t="s">
        <v>1737</v>
      </c>
      <c r="C3912" s="1032"/>
      <c r="D3912" s="1033"/>
      <c r="E3912" s="300">
        <v>33475</v>
      </c>
      <c r="F3912" s="3" t="s">
        <v>1738</v>
      </c>
      <c r="G3912" s="50">
        <f>+H3910/E3912</f>
        <v>1281.1093950709485</v>
      </c>
      <c r="H3912" s="1287" t="s">
        <v>1739</v>
      </c>
      <c r="I3912" s="1174"/>
      <c r="J3912" s="646"/>
      <c r="K3912" s="3"/>
      <c r="L3912" s="676"/>
      <c r="M3912" s="173"/>
      <c r="N3912" s="68"/>
      <c r="O3912" s="203"/>
      <c r="P3912" s="216"/>
      <c r="Q3912" s="419"/>
      <c r="R3912" s="219"/>
      <c r="S3912" s="203"/>
      <c r="T3912" s="203"/>
      <c r="U3912" s="203"/>
      <c r="V3912" s="203"/>
      <c r="W3912" s="203"/>
      <c r="X3912" s="203"/>
      <c r="Y3912" s="203"/>
    </row>
    <row r="3913" spans="1:25" ht="30" customHeight="1" x14ac:dyDescent="0.35">
      <c r="A3913" s="832" t="s">
        <v>1740</v>
      </c>
      <c r="B3913" s="1031" t="s">
        <v>1741</v>
      </c>
      <c r="C3913" s="1032"/>
      <c r="D3913" s="1033"/>
      <c r="E3913" s="40">
        <f>(391+530)/2</f>
        <v>460.5</v>
      </c>
      <c r="F3913" s="3" t="s">
        <v>2500</v>
      </c>
      <c r="G3913" s="50"/>
      <c r="H3913" s="498"/>
      <c r="I3913" s="446"/>
      <c r="J3913" s="446"/>
      <c r="K3913" s="38"/>
      <c r="L3913" s="676"/>
      <c r="M3913" s="173"/>
      <c r="N3913" s="68"/>
      <c r="O3913" s="203"/>
      <c r="P3913" s="216"/>
      <c r="Q3913" s="419"/>
      <c r="R3913" s="219"/>
    </row>
    <row r="3914" spans="1:25" ht="30" customHeight="1" x14ac:dyDescent="0.35">
      <c r="A3914" s="832"/>
      <c r="B3914" s="1031" t="s">
        <v>1742</v>
      </c>
      <c r="C3914" s="1032"/>
      <c r="D3914" s="1033"/>
      <c r="E3914" s="40"/>
      <c r="F3914" s="3" t="s">
        <v>1743</v>
      </c>
      <c r="G3914" s="74">
        <f>+E3913/E3912</f>
        <v>1.3756534727408514E-2</v>
      </c>
      <c r="H3914" s="498" t="s">
        <v>1744</v>
      </c>
      <c r="I3914" s="446">
        <v>1.04</v>
      </c>
      <c r="J3914" s="446"/>
      <c r="K3914" s="301">
        <f>+G3914*I3914</f>
        <v>1.4306796116504856E-2</v>
      </c>
      <c r="L3914" s="676" t="s">
        <v>218</v>
      </c>
      <c r="M3914" s="173"/>
      <c r="N3914" s="68"/>
      <c r="O3914" s="203"/>
      <c r="P3914" s="218"/>
      <c r="Q3914" s="68"/>
      <c r="R3914" s="217"/>
    </row>
    <row r="3915" spans="1:25" ht="30" customHeight="1" x14ac:dyDescent="0.35">
      <c r="A3915" s="832" t="s">
        <v>1745</v>
      </c>
      <c r="B3915" s="1082" t="s">
        <v>2432</v>
      </c>
      <c r="C3915" s="1083"/>
      <c r="D3915" s="1093"/>
      <c r="E3915" s="40">
        <v>745</v>
      </c>
      <c r="F3915" s="3" t="s">
        <v>6</v>
      </c>
      <c r="G3915" s="62">
        <f>30*E3915/H3910</f>
        <v>5.2115958029934708E-4</v>
      </c>
      <c r="H3915" s="498" t="s">
        <v>1744</v>
      </c>
      <c r="I3915" s="446">
        <v>1.04</v>
      </c>
      <c r="J3915" s="446"/>
      <c r="K3915" s="301">
        <f>+G3915*I3915</f>
        <v>5.4200596351132099E-4</v>
      </c>
      <c r="L3915" s="676" t="s">
        <v>218</v>
      </c>
      <c r="M3915" s="173"/>
      <c r="N3915" s="68"/>
      <c r="O3915" s="208"/>
      <c r="P3915" s="218"/>
      <c r="Q3915" s="68"/>
      <c r="R3915" s="217"/>
    </row>
    <row r="3916" spans="1:25" ht="30" customHeight="1" x14ac:dyDescent="0.35">
      <c r="A3916" s="241"/>
      <c r="B3916" s="1067"/>
      <c r="C3916" s="1065"/>
      <c r="D3916" s="1362"/>
      <c r="E3916" s="458"/>
      <c r="F3916" s="458"/>
      <c r="G3916" s="458"/>
      <c r="H3916" s="458"/>
      <c r="I3916" s="458"/>
      <c r="J3916" s="446" t="s">
        <v>335</v>
      </c>
      <c r="K3916" s="301">
        <f>SUM(K3914:K3915)</f>
        <v>1.4848802080016177E-2</v>
      </c>
      <c r="L3916" s="676" t="s">
        <v>218</v>
      </c>
      <c r="M3916" s="173"/>
      <c r="N3916" s="1081" t="s">
        <v>3134</v>
      </c>
      <c r="O3916" s="1081"/>
      <c r="P3916" s="218"/>
      <c r="Q3916" s="68"/>
      <c r="R3916" s="217"/>
      <c r="T3916" s="208"/>
      <c r="U3916" s="208"/>
      <c r="V3916" s="208"/>
      <c r="W3916" s="208"/>
      <c r="X3916" s="208"/>
    </row>
    <row r="3917" spans="1:25" ht="30" customHeight="1" x14ac:dyDescent="0.35">
      <c r="A3917" s="241"/>
      <c r="B3917" s="506"/>
      <c r="C3917" s="506"/>
      <c r="D3917" s="506"/>
      <c r="E3917" s="453"/>
      <c r="F3917" s="1029" t="s">
        <v>302</v>
      </c>
      <c r="G3917" s="1058" t="s">
        <v>303</v>
      </c>
      <c r="H3917" s="1058"/>
      <c r="I3917" s="1058"/>
      <c r="J3917" s="1058"/>
      <c r="K3917" s="612">
        <v>1.07</v>
      </c>
      <c r="L3917" s="243"/>
      <c r="M3917" s="173"/>
      <c r="N3917" s="68"/>
      <c r="O3917" s="203"/>
      <c r="P3917" s="218"/>
      <c r="Q3917" s="68"/>
      <c r="R3917" s="217"/>
      <c r="Y3917" s="208"/>
    </row>
    <row r="3918" spans="1:25" ht="30" customHeight="1" x14ac:dyDescent="0.35">
      <c r="A3918" s="241"/>
      <c r="B3918" s="506"/>
      <c r="C3918" s="506"/>
      <c r="D3918" s="506"/>
      <c r="E3918" s="453"/>
      <c r="F3918" s="1030"/>
      <c r="G3918" s="1073" t="s">
        <v>2374</v>
      </c>
      <c r="H3918" s="1073"/>
      <c r="I3918" s="1073"/>
      <c r="J3918" s="1073"/>
      <c r="K3918" s="612">
        <v>1.08</v>
      </c>
      <c r="L3918" s="243"/>
      <c r="M3918" s="173"/>
      <c r="N3918" s="419"/>
      <c r="O3918" s="203"/>
      <c r="P3918" s="218"/>
      <c r="Q3918" s="68"/>
      <c r="R3918" s="217"/>
      <c r="S3918" s="208"/>
    </row>
    <row r="3919" spans="1:25" ht="30" customHeight="1" x14ac:dyDescent="0.35">
      <c r="A3919" s="241"/>
      <c r="B3919" s="1067" t="s">
        <v>1746</v>
      </c>
      <c r="C3919" s="1065"/>
      <c r="D3919" s="1362"/>
      <c r="E3919" s="458"/>
      <c r="F3919" s="458"/>
      <c r="G3919" s="458"/>
      <c r="H3919" s="458"/>
      <c r="I3919" s="458"/>
      <c r="J3919" s="446" t="s">
        <v>2356</v>
      </c>
      <c r="K3919" s="302">
        <f>+K3916*K3917/K3918</f>
        <v>1.4711313171867881E-2</v>
      </c>
      <c r="L3919" s="676" t="s">
        <v>218</v>
      </c>
      <c r="M3919" s="173"/>
      <c r="N3919" s="419"/>
      <c r="O3919" s="171"/>
      <c r="P3919" s="218"/>
      <c r="Q3919" s="68"/>
      <c r="R3919" s="217"/>
    </row>
    <row r="3920" spans="1:25" s="208" customFormat="1" ht="30" customHeight="1" x14ac:dyDescent="0.35">
      <c r="A3920" s="241" t="s">
        <v>323</v>
      </c>
      <c r="B3920" s="1031" t="s">
        <v>1737</v>
      </c>
      <c r="C3920" s="1032"/>
      <c r="D3920" s="1033"/>
      <c r="E3920" s="300">
        <v>33475</v>
      </c>
      <c r="F3920" s="3" t="s">
        <v>1738</v>
      </c>
      <c r="G3920" s="911">
        <f>H3910/E3920</f>
        <v>1281.1093950709485</v>
      </c>
      <c r="H3920" s="1176" t="s">
        <v>1739</v>
      </c>
      <c r="I3920" s="1177"/>
      <c r="J3920" s="446"/>
      <c r="K3920" s="303"/>
      <c r="L3920" s="676"/>
      <c r="M3920" s="173"/>
      <c r="N3920" s="68"/>
      <c r="O3920" s="171"/>
      <c r="P3920" s="218"/>
      <c r="Q3920" s="68"/>
      <c r="R3920" s="217"/>
      <c r="S3920" s="203"/>
      <c r="T3920" s="203"/>
      <c r="U3920" s="203"/>
      <c r="V3920" s="203"/>
      <c r="W3920" s="203"/>
      <c r="X3920" s="203"/>
      <c r="Y3920" s="203"/>
    </row>
    <row r="3921" spans="1:25" ht="30" customHeight="1" x14ac:dyDescent="0.35">
      <c r="A3921" s="241"/>
      <c r="B3921" s="1067" t="s">
        <v>2261</v>
      </c>
      <c r="C3921" s="1065"/>
      <c r="D3921" s="1362"/>
      <c r="E3921" s="458"/>
      <c r="F3921" s="458"/>
      <c r="G3921" s="592" t="s">
        <v>2358</v>
      </c>
      <c r="H3921" s="458"/>
      <c r="I3921" s="458"/>
      <c r="J3921" s="583">
        <f>VLOOKUP(B3910,'Mil Cost Premiums for PUCs'!$A$4:$R$272,18,FALSE)</f>
        <v>1.0905505199999999</v>
      </c>
      <c r="K3921" s="912">
        <f>+K3919*J3921</f>
        <v>1.6043430229463366E-2</v>
      </c>
      <c r="L3921" s="243" t="s">
        <v>218</v>
      </c>
      <c r="M3921" s="438"/>
      <c r="N3921" s="68"/>
      <c r="O3921" s="203"/>
      <c r="P3921" s="218"/>
      <c r="Q3921" s="68"/>
      <c r="R3921" s="217"/>
    </row>
    <row r="3922" spans="1:25" ht="60" customHeight="1" x14ac:dyDescent="0.35">
      <c r="A3922" s="1064" t="s">
        <v>305</v>
      </c>
      <c r="B3922" s="1065"/>
      <c r="C3922" s="1065"/>
      <c r="D3922" s="1065"/>
      <c r="E3922" s="1065"/>
      <c r="F3922" s="1065"/>
      <c r="G3922" s="1065"/>
      <c r="H3922" s="1065"/>
      <c r="I3922" s="1065"/>
      <c r="J3922" s="1065"/>
      <c r="K3922" s="1065"/>
      <c r="L3922" s="1066"/>
      <c r="M3922" s="173"/>
      <c r="N3922" s="68"/>
      <c r="O3922" s="203"/>
      <c r="P3922" s="216"/>
      <c r="Q3922" s="419"/>
      <c r="R3922" s="219"/>
    </row>
    <row r="3923" spans="1:25" ht="75" customHeight="1" x14ac:dyDescent="0.35">
      <c r="A3923" s="1077" t="s">
        <v>306</v>
      </c>
      <c r="B3923" s="1042"/>
      <c r="C3923" s="1043"/>
      <c r="D3923" s="1067" t="s">
        <v>2321</v>
      </c>
      <c r="E3923" s="1065"/>
      <c r="F3923" s="1065"/>
      <c r="G3923" s="1065"/>
      <c r="H3923" s="1065"/>
      <c r="I3923" s="1065"/>
      <c r="J3923" s="1065"/>
      <c r="K3923" s="1065"/>
      <c r="L3923" s="1066"/>
      <c r="M3923" s="173"/>
      <c r="N3923" s="68"/>
      <c r="O3923" s="203"/>
      <c r="P3923" s="216"/>
      <c r="Q3923" s="419"/>
      <c r="R3923" s="219"/>
    </row>
    <row r="3924" spans="1:25" ht="30" customHeight="1" x14ac:dyDescent="0.35">
      <c r="A3924" s="1077" t="s">
        <v>307</v>
      </c>
      <c r="B3924" s="1042"/>
      <c r="C3924" s="1043"/>
      <c r="D3924" s="1067" t="s">
        <v>1747</v>
      </c>
      <c r="E3924" s="1065"/>
      <c r="F3924" s="1065"/>
      <c r="G3924" s="1065"/>
      <c r="H3924" s="1065"/>
      <c r="I3924" s="1065"/>
      <c r="J3924" s="1065"/>
      <c r="K3924" s="1065"/>
      <c r="L3924" s="1066"/>
      <c r="M3924" s="173"/>
      <c r="N3924" s="68"/>
      <c r="O3924" s="203"/>
      <c r="P3924" s="218"/>
      <c r="Q3924" s="68"/>
      <c r="R3924" s="217"/>
    </row>
    <row r="3925" spans="1:25" ht="30" customHeight="1" x14ac:dyDescent="0.35">
      <c r="A3925" s="1077" t="s">
        <v>308</v>
      </c>
      <c r="B3925" s="1042"/>
      <c r="C3925" s="1043"/>
      <c r="D3925" s="1067" t="s">
        <v>2433</v>
      </c>
      <c r="E3925" s="1065"/>
      <c r="F3925" s="1065"/>
      <c r="G3925" s="1065"/>
      <c r="H3925" s="1065"/>
      <c r="I3925" s="1065"/>
      <c r="J3925" s="1065"/>
      <c r="K3925" s="1065"/>
      <c r="L3925" s="1066"/>
      <c r="M3925" s="173"/>
      <c r="N3925" s="68"/>
      <c r="O3925" s="208"/>
      <c r="P3925" s="218"/>
      <c r="Q3925" s="68"/>
      <c r="R3925" s="217"/>
    </row>
    <row r="3926" spans="1:25" ht="30" customHeight="1" x14ac:dyDescent="0.35">
      <c r="A3926" s="1077" t="s">
        <v>309</v>
      </c>
      <c r="B3926" s="1042"/>
      <c r="C3926" s="1043"/>
      <c r="D3926" s="1067" t="s">
        <v>1748</v>
      </c>
      <c r="E3926" s="1065"/>
      <c r="F3926" s="1065"/>
      <c r="G3926" s="1065"/>
      <c r="H3926" s="1065"/>
      <c r="I3926" s="1065"/>
      <c r="J3926" s="1065"/>
      <c r="K3926" s="1065"/>
      <c r="L3926" s="1066"/>
      <c r="M3926" s="173"/>
      <c r="N3926" s="68"/>
      <c r="O3926" s="203"/>
      <c r="P3926" s="218"/>
      <c r="Q3926" s="68"/>
      <c r="R3926" s="217"/>
      <c r="T3926" s="208"/>
      <c r="U3926" s="208"/>
      <c r="V3926" s="208"/>
      <c r="W3926" s="208"/>
      <c r="X3926" s="208"/>
    </row>
    <row r="3927" spans="1:25" ht="30" customHeight="1" x14ac:dyDescent="0.35">
      <c r="A3927" s="1077" t="s">
        <v>311</v>
      </c>
      <c r="B3927" s="1042"/>
      <c r="C3927" s="1043"/>
      <c r="D3927" s="1067" t="s">
        <v>1749</v>
      </c>
      <c r="E3927" s="1065"/>
      <c r="F3927" s="1065"/>
      <c r="G3927" s="1065"/>
      <c r="H3927" s="1065"/>
      <c r="I3927" s="1065"/>
      <c r="J3927" s="1065"/>
      <c r="K3927" s="1065"/>
      <c r="L3927" s="1066"/>
      <c r="M3927" s="173"/>
      <c r="N3927" s="68"/>
      <c r="O3927" s="203"/>
      <c r="P3927" s="218"/>
      <c r="Q3927" s="68"/>
      <c r="R3927" s="217"/>
      <c r="Y3927" s="208"/>
    </row>
    <row r="3928" spans="1:25" ht="30" customHeight="1" x14ac:dyDescent="0.35">
      <c r="A3928" s="1077" t="s">
        <v>313</v>
      </c>
      <c r="B3928" s="1042"/>
      <c r="C3928" s="1043"/>
      <c r="D3928" s="1067" t="s">
        <v>1750</v>
      </c>
      <c r="E3928" s="1065"/>
      <c r="F3928" s="1065"/>
      <c r="G3928" s="1065"/>
      <c r="H3928" s="1065"/>
      <c r="I3928" s="1065"/>
      <c r="J3928" s="1065"/>
      <c r="K3928" s="1065"/>
      <c r="L3928" s="1066"/>
      <c r="M3928" s="173"/>
      <c r="N3928" s="419"/>
      <c r="O3928" s="203"/>
      <c r="P3928" s="218"/>
      <c r="Q3928" s="68"/>
      <c r="R3928" s="217"/>
      <c r="S3928" s="208"/>
    </row>
    <row r="3929" spans="1:25" ht="30" customHeight="1" x14ac:dyDescent="0.35">
      <c r="A3929" s="1077" t="s">
        <v>315</v>
      </c>
      <c r="B3929" s="1042"/>
      <c r="C3929" s="1043"/>
      <c r="D3929" s="1067" t="s">
        <v>1751</v>
      </c>
      <c r="E3929" s="1065"/>
      <c r="F3929" s="1065"/>
      <c r="G3929" s="1065"/>
      <c r="H3929" s="1065"/>
      <c r="I3929" s="1065"/>
      <c r="J3929" s="1065"/>
      <c r="K3929" s="1065"/>
      <c r="L3929" s="1066"/>
      <c r="M3929" s="173"/>
      <c r="N3929" s="419"/>
      <c r="O3929" s="171"/>
      <c r="P3929" s="218"/>
      <c r="Q3929" s="68"/>
      <c r="R3929" s="217"/>
    </row>
    <row r="3930" spans="1:25" s="208" customFormat="1" ht="75" customHeight="1" x14ac:dyDescent="0.35">
      <c r="A3930" s="1077" t="s">
        <v>316</v>
      </c>
      <c r="B3930" s="1042"/>
      <c r="C3930" s="1043"/>
      <c r="D3930" s="1067" t="s">
        <v>373</v>
      </c>
      <c r="E3930" s="1065"/>
      <c r="F3930" s="1065"/>
      <c r="G3930" s="1065"/>
      <c r="H3930" s="1065"/>
      <c r="I3930" s="1065"/>
      <c r="J3930" s="1065"/>
      <c r="K3930" s="1065"/>
      <c r="L3930" s="1066"/>
      <c r="M3930" s="173"/>
      <c r="N3930" s="68"/>
      <c r="O3930" s="171"/>
      <c r="P3930" s="218"/>
      <c r="Q3930" s="68"/>
      <c r="R3930" s="217"/>
      <c r="S3930" s="203"/>
      <c r="T3930" s="203"/>
      <c r="U3930" s="203"/>
      <c r="V3930" s="203"/>
      <c r="W3930" s="203"/>
      <c r="X3930" s="203"/>
      <c r="Y3930" s="203"/>
    </row>
    <row r="3931" spans="1:25" ht="135" customHeight="1" thickBot="1" x14ac:dyDescent="0.4">
      <c r="A3931" s="1078" t="s">
        <v>318</v>
      </c>
      <c r="B3931" s="1079"/>
      <c r="C3931" s="1080"/>
      <c r="D3931" s="1068" t="s">
        <v>3135</v>
      </c>
      <c r="E3931" s="1069"/>
      <c r="F3931" s="1069"/>
      <c r="G3931" s="1069"/>
      <c r="H3931" s="1069"/>
      <c r="I3931" s="1069"/>
      <c r="J3931" s="1069"/>
      <c r="K3931" s="1069"/>
      <c r="L3931" s="1070"/>
      <c r="M3931" s="173"/>
      <c r="N3931" s="68"/>
      <c r="O3931" s="203"/>
      <c r="P3931" s="218"/>
      <c r="Q3931" s="68"/>
      <c r="R3931" s="217"/>
    </row>
    <row r="3932" spans="1:25" ht="30" customHeight="1" thickBot="1" x14ac:dyDescent="0.4">
      <c r="A3932" s="481"/>
      <c r="B3932" s="482"/>
      <c r="C3932" s="482"/>
      <c r="D3932" s="482"/>
      <c r="E3932" s="482"/>
      <c r="F3932" s="482"/>
      <c r="G3932" s="482"/>
      <c r="H3932" s="482"/>
      <c r="I3932" s="482"/>
      <c r="J3932" s="482"/>
      <c r="K3932" s="482"/>
      <c r="L3932" s="483"/>
      <c r="M3932" s="173"/>
      <c r="N3932" s="68"/>
      <c r="O3932" s="203"/>
      <c r="P3932" s="216"/>
      <c r="Q3932" s="419"/>
      <c r="R3932" s="219"/>
    </row>
    <row r="3933" spans="1:25" ht="30" customHeight="1" x14ac:dyDescent="0.35">
      <c r="A3933" s="465" t="s">
        <v>278</v>
      </c>
      <c r="B3933" s="539">
        <v>8221</v>
      </c>
      <c r="C3933" s="1060" t="s">
        <v>1752</v>
      </c>
      <c r="D3933" s="1061"/>
      <c r="E3933" s="541" t="s">
        <v>280</v>
      </c>
      <c r="F3933" s="542" t="s">
        <v>6</v>
      </c>
      <c r="G3933" s="543" t="s">
        <v>285</v>
      </c>
      <c r="H3933" s="569">
        <v>14996</v>
      </c>
      <c r="I3933" s="541" t="s">
        <v>281</v>
      </c>
      <c r="J3933" s="1019" t="s">
        <v>2749</v>
      </c>
      <c r="K3933" s="1019"/>
      <c r="L3933" s="1020"/>
      <c r="M3933" s="173"/>
      <c r="N3933" s="68"/>
      <c r="O3933" s="203"/>
      <c r="P3933" s="216"/>
      <c r="Q3933" s="419"/>
      <c r="R3933" s="219"/>
    </row>
    <row r="3934" spans="1:25" ht="30" customHeight="1" x14ac:dyDescent="0.35">
      <c r="A3934" s="545" t="s">
        <v>288</v>
      </c>
      <c r="B3934" s="1051" t="s">
        <v>282</v>
      </c>
      <c r="C3934" s="1051"/>
      <c r="D3934" s="1051"/>
      <c r="E3934" s="561" t="s">
        <v>1723</v>
      </c>
      <c r="F3934" s="509" t="s">
        <v>289</v>
      </c>
      <c r="G3934" s="1094" t="s">
        <v>323</v>
      </c>
      <c r="H3934" s="1095"/>
      <c r="I3934" s="1052" t="s">
        <v>2301</v>
      </c>
      <c r="J3934" s="1053"/>
      <c r="K3934" s="595" t="s">
        <v>292</v>
      </c>
      <c r="L3934" s="739"/>
      <c r="M3934" s="173"/>
      <c r="N3934" s="68"/>
      <c r="O3934" s="203"/>
      <c r="P3934" s="218"/>
      <c r="Q3934" s="68"/>
      <c r="R3934" s="217"/>
    </row>
    <row r="3935" spans="1:25" ht="30" customHeight="1" x14ac:dyDescent="0.35">
      <c r="A3935" s="241">
        <v>82210</v>
      </c>
      <c r="B3935" s="1082" t="s">
        <v>2434</v>
      </c>
      <c r="C3935" s="1083"/>
      <c r="D3935" s="1083"/>
      <c r="E3935" s="1083"/>
      <c r="F3935" s="1083"/>
      <c r="G3935" s="1083"/>
      <c r="H3935" s="1083"/>
      <c r="I3935" s="1083"/>
      <c r="J3935" s="1083"/>
      <c r="K3935" s="1083"/>
      <c r="L3935" s="1084"/>
      <c r="M3935" s="173"/>
      <c r="N3935" s="68"/>
      <c r="O3935" s="203"/>
      <c r="P3935" s="218"/>
      <c r="Q3935" s="68"/>
      <c r="R3935" s="217"/>
    </row>
    <row r="3936" spans="1:25" ht="30" customHeight="1" x14ac:dyDescent="0.35">
      <c r="A3936" s="241"/>
      <c r="B3936" s="1082" t="s">
        <v>2435</v>
      </c>
      <c r="C3936" s="1083"/>
      <c r="D3936" s="1093"/>
      <c r="E3936" s="889">
        <v>579</v>
      </c>
      <c r="F3936" s="694" t="s">
        <v>406</v>
      </c>
      <c r="G3936" s="639"/>
      <c r="H3936" s="659"/>
      <c r="I3936" s="1091">
        <f>+'2021 MILCON Inflation Table'!$F$20</f>
        <v>0.9432470865927236</v>
      </c>
      <c r="J3936" s="1092"/>
      <c r="K3936" s="463">
        <f>+E3936*I3936</f>
        <v>546.14006313718698</v>
      </c>
      <c r="L3936" s="564" t="s">
        <v>6</v>
      </c>
      <c r="M3936" s="173"/>
      <c r="N3936" s="68"/>
      <c r="O3936" s="203"/>
      <c r="P3936" s="218"/>
      <c r="Q3936" s="68"/>
      <c r="R3936" s="217"/>
    </row>
    <row r="3937" spans="1:25" ht="30" customHeight="1" x14ac:dyDescent="0.35">
      <c r="A3937" s="241"/>
      <c r="B3937" s="1082" t="s">
        <v>2436</v>
      </c>
      <c r="C3937" s="1083"/>
      <c r="D3937" s="1093"/>
      <c r="E3937" s="453">
        <v>574</v>
      </c>
      <c r="F3937" s="694" t="s">
        <v>406</v>
      </c>
      <c r="G3937" s="639"/>
      <c r="H3937" s="659"/>
      <c r="I3937" s="1091">
        <f>+'2021 MILCON Inflation Table'!$F$20</f>
        <v>0.9432470865927236</v>
      </c>
      <c r="J3937" s="1092"/>
      <c r="K3937" s="463">
        <f>+E3937*I3937</f>
        <v>541.4238277042233</v>
      </c>
      <c r="L3937" s="564" t="s">
        <v>6</v>
      </c>
      <c r="M3937" s="173"/>
      <c r="N3937" s="68"/>
      <c r="O3937" s="203"/>
      <c r="P3937" s="218"/>
      <c r="Q3937" s="68"/>
      <c r="R3937" s="217"/>
    </row>
    <row r="3938" spans="1:25" ht="30" customHeight="1" x14ac:dyDescent="0.35">
      <c r="A3938" s="241"/>
      <c r="B3938" s="1082" t="s">
        <v>2437</v>
      </c>
      <c r="C3938" s="1083"/>
      <c r="D3938" s="1093"/>
      <c r="E3938" s="453">
        <v>574</v>
      </c>
      <c r="F3938" s="694" t="s">
        <v>406</v>
      </c>
      <c r="G3938" s="639"/>
      <c r="H3938" s="659"/>
      <c r="I3938" s="1091">
        <f>+'2021 MILCON Inflation Table'!$F$20</f>
        <v>0.9432470865927236</v>
      </c>
      <c r="J3938" s="1092"/>
      <c r="K3938" s="463">
        <f>+E3938*I3938</f>
        <v>541.4238277042233</v>
      </c>
      <c r="L3938" s="564" t="s">
        <v>6</v>
      </c>
      <c r="M3938" s="173"/>
      <c r="N3938" s="419"/>
      <c r="O3938" s="203"/>
      <c r="P3938" s="218"/>
      <c r="Q3938" s="68"/>
      <c r="R3938" s="217"/>
    </row>
    <row r="3939" spans="1:25" ht="30" customHeight="1" x14ac:dyDescent="0.35">
      <c r="A3939" s="241"/>
      <c r="B3939" s="485"/>
      <c r="C3939" s="610"/>
      <c r="D3939" s="610"/>
      <c r="E3939" s="667"/>
      <c r="F3939" s="724"/>
      <c r="G3939" s="658"/>
      <c r="H3939" s="658"/>
      <c r="I3939" s="1363" t="s">
        <v>2450</v>
      </c>
      <c r="J3939" s="1363"/>
      <c r="K3939" s="913">
        <f>AVERAGE(K3936:K3938)</f>
        <v>542.99590618187779</v>
      </c>
      <c r="L3939" s="914"/>
      <c r="M3939" s="173"/>
      <c r="N3939" s="419"/>
      <c r="O3939" s="203"/>
      <c r="P3939" s="218"/>
      <c r="Q3939" s="68"/>
      <c r="R3939" s="217"/>
    </row>
    <row r="3940" spans="1:25" ht="30" customHeight="1" x14ac:dyDescent="0.35">
      <c r="A3940" s="241">
        <v>82210</v>
      </c>
      <c r="B3940" s="1082" t="s">
        <v>2451</v>
      </c>
      <c r="C3940" s="1083"/>
      <c r="D3940" s="1083"/>
      <c r="E3940" s="1083"/>
      <c r="F3940" s="1083"/>
      <c r="G3940" s="1083"/>
      <c r="H3940" s="1083"/>
      <c r="I3940" s="1083"/>
      <c r="J3940" s="1083"/>
      <c r="K3940" s="1083"/>
      <c r="L3940" s="1084"/>
      <c r="M3940" s="173"/>
      <c r="N3940" s="68"/>
      <c r="O3940" s="203"/>
      <c r="P3940" s="218"/>
      <c r="Q3940" s="68"/>
      <c r="R3940" s="217"/>
    </row>
    <row r="3941" spans="1:25" ht="30" customHeight="1" x14ac:dyDescent="0.35">
      <c r="A3941" s="241"/>
      <c r="B3941" s="1082" t="s">
        <v>2438</v>
      </c>
      <c r="C3941" s="1083"/>
      <c r="D3941" s="1093"/>
      <c r="E3941" s="453">
        <v>357</v>
      </c>
      <c r="F3941" s="694" t="s">
        <v>406</v>
      </c>
      <c r="G3941" s="639"/>
      <c r="H3941" s="659"/>
      <c r="I3941" s="1091">
        <f>+'2021 MILCON Inflation Table'!$F$20</f>
        <v>0.9432470865927236</v>
      </c>
      <c r="J3941" s="1092"/>
      <c r="K3941" s="463">
        <f>+E3941*I3941</f>
        <v>336.73920991360234</v>
      </c>
      <c r="L3941" s="564" t="s">
        <v>6</v>
      </c>
      <c r="M3941" s="173"/>
      <c r="N3941" s="68"/>
      <c r="O3941" s="203"/>
      <c r="P3941" s="218"/>
      <c r="Q3941" s="68"/>
      <c r="R3941" s="217"/>
    </row>
    <row r="3942" spans="1:25" ht="30" customHeight="1" x14ac:dyDescent="0.35">
      <c r="A3942" s="241"/>
      <c r="B3942" s="1082" t="s">
        <v>2443</v>
      </c>
      <c r="C3942" s="1083"/>
      <c r="D3942" s="1093"/>
      <c r="E3942" s="453">
        <v>372</v>
      </c>
      <c r="F3942" s="694" t="s">
        <v>406</v>
      </c>
      <c r="G3942" s="639"/>
      <c r="H3942" s="659"/>
      <c r="I3942" s="1091">
        <f>+'2021 MILCON Inflation Table'!$F$20</f>
        <v>0.9432470865927236</v>
      </c>
      <c r="J3942" s="1092"/>
      <c r="K3942" s="463">
        <f>+E3942*I3942</f>
        <v>350.88791621249317</v>
      </c>
      <c r="L3942" s="564" t="s">
        <v>6</v>
      </c>
      <c r="M3942" s="173"/>
      <c r="N3942" s="68"/>
      <c r="O3942" s="203"/>
      <c r="P3942" s="218"/>
      <c r="Q3942" s="68"/>
      <c r="R3942" s="217"/>
    </row>
    <row r="3943" spans="1:25" ht="30" customHeight="1" x14ac:dyDescent="0.35">
      <c r="A3943" s="241"/>
      <c r="B3943" s="1102" t="s">
        <v>2439</v>
      </c>
      <c r="C3943" s="1102"/>
      <c r="D3943" s="1102"/>
      <c r="E3943" s="453">
        <v>396</v>
      </c>
      <c r="F3943" s="694" t="s">
        <v>406</v>
      </c>
      <c r="G3943" s="639"/>
      <c r="H3943" s="659"/>
      <c r="I3943" s="1091">
        <f>+'2021 MILCON Inflation Table'!$F$20</f>
        <v>0.9432470865927236</v>
      </c>
      <c r="J3943" s="1092"/>
      <c r="K3943" s="463">
        <f>+E3943*I3943</f>
        <v>373.52584629071856</v>
      </c>
      <c r="L3943" s="564" t="s">
        <v>6</v>
      </c>
      <c r="M3943" s="173"/>
      <c r="N3943" s="68"/>
      <c r="O3943" s="203"/>
      <c r="P3943" s="218"/>
      <c r="Q3943" s="68"/>
      <c r="R3943" s="217"/>
    </row>
    <row r="3944" spans="1:25" ht="30" customHeight="1" x14ac:dyDescent="0.35">
      <c r="A3944" s="241"/>
      <c r="B3944" s="1102" t="s">
        <v>2440</v>
      </c>
      <c r="C3944" s="1102"/>
      <c r="D3944" s="1102"/>
      <c r="E3944" s="453">
        <v>431</v>
      </c>
      <c r="F3944" s="694" t="s">
        <v>406</v>
      </c>
      <c r="G3944" s="639"/>
      <c r="H3944" s="659"/>
      <c r="I3944" s="1091">
        <f>+'2021 MILCON Inflation Table'!$F$20</f>
        <v>0.9432470865927236</v>
      </c>
      <c r="J3944" s="1092"/>
      <c r="K3944" s="463">
        <f>+E3944*I3944</f>
        <v>406.53949432146385</v>
      </c>
      <c r="L3944" s="564" t="s">
        <v>6</v>
      </c>
      <c r="M3944" s="363"/>
      <c r="N3944" s="68"/>
      <c r="O3944" s="203"/>
      <c r="P3944" s="218"/>
      <c r="Q3944" s="68"/>
      <c r="R3944" s="217"/>
    </row>
    <row r="3945" spans="1:25" ht="30" customHeight="1" x14ac:dyDescent="0.35">
      <c r="A3945" s="241"/>
      <c r="B3945" s="1102" t="s">
        <v>2441</v>
      </c>
      <c r="C3945" s="1102"/>
      <c r="D3945" s="1102"/>
      <c r="E3945" s="453">
        <v>533</v>
      </c>
      <c r="F3945" s="694" t="s">
        <v>406</v>
      </c>
      <c r="G3945" s="639"/>
      <c r="H3945" s="659"/>
      <c r="I3945" s="1091">
        <f>+'2021 MILCON Inflation Table'!$F$20</f>
        <v>0.9432470865927236</v>
      </c>
      <c r="J3945" s="1092"/>
      <c r="K3945" s="463">
        <f>+E3945*I3945</f>
        <v>502.75069715392169</v>
      </c>
      <c r="L3945" s="564" t="s">
        <v>6</v>
      </c>
      <c r="M3945" s="363"/>
      <c r="N3945" s="68"/>
      <c r="O3945" s="208"/>
      <c r="P3945" s="218"/>
      <c r="Q3945" s="68"/>
      <c r="R3945" s="217"/>
    </row>
    <row r="3946" spans="1:25" ht="30" customHeight="1" x14ac:dyDescent="0.35">
      <c r="A3946" s="241"/>
      <c r="B3946" s="1031"/>
      <c r="C3946" s="1032"/>
      <c r="D3946" s="1032"/>
      <c r="E3946" s="667"/>
      <c r="F3946" s="724"/>
      <c r="G3946" s="658"/>
      <c r="H3946" s="658"/>
      <c r="I3946" s="807"/>
      <c r="J3946" s="807" t="s">
        <v>304</v>
      </c>
      <c r="K3946" s="913">
        <f>AVERAGE(K3941:K3945)</f>
        <v>394.08863277843989</v>
      </c>
      <c r="L3946" s="914"/>
      <c r="M3946" s="173"/>
      <c r="N3946" s="68"/>
      <c r="O3946" s="203"/>
      <c r="P3946" s="218"/>
      <c r="Q3946" s="68"/>
      <c r="R3946" s="217"/>
      <c r="T3946" s="208"/>
      <c r="U3946" s="208"/>
      <c r="V3946" s="208"/>
      <c r="W3946" s="208"/>
      <c r="X3946" s="208"/>
    </row>
    <row r="3947" spans="1:25" ht="30" customHeight="1" x14ac:dyDescent="0.35">
      <c r="A3947" s="241"/>
      <c r="B3947" s="1059" t="s">
        <v>2442</v>
      </c>
      <c r="C3947" s="1059"/>
      <c r="D3947" s="1059"/>
      <c r="E3947" s="453">
        <v>164</v>
      </c>
      <c r="F3947" s="694" t="s">
        <v>406</v>
      </c>
      <c r="G3947" s="639"/>
      <c r="H3947" s="659"/>
      <c r="I3947" s="1091">
        <f>+'2021 MILCON Inflation Table'!$F$20</f>
        <v>0.9432470865927236</v>
      </c>
      <c r="J3947" s="1092"/>
      <c r="K3947" s="463">
        <f>+E3947*I3947</f>
        <v>154.69252220120666</v>
      </c>
      <c r="L3947" s="914" t="s">
        <v>6</v>
      </c>
      <c r="M3947" s="173"/>
      <c r="N3947" s="68"/>
      <c r="O3947" s="203"/>
      <c r="P3947" s="218"/>
      <c r="Q3947" s="68"/>
      <c r="R3947" s="217"/>
      <c r="Y3947" s="208"/>
    </row>
    <row r="3948" spans="1:25" ht="30" customHeight="1" x14ac:dyDescent="0.35">
      <c r="A3948" s="241"/>
      <c r="B3948" s="485"/>
      <c r="C3948" s="610"/>
      <c r="D3948" s="610"/>
      <c r="E3948" s="667"/>
      <c r="F3948" s="724"/>
      <c r="G3948" s="658"/>
      <c r="H3948" s="658"/>
      <c r="I3948" s="1363" t="s">
        <v>2452</v>
      </c>
      <c r="J3948" s="1363"/>
      <c r="K3948" s="913">
        <f>+(K3947+K3946)</f>
        <v>548.78115497964654</v>
      </c>
      <c r="L3948" s="914" t="s">
        <v>6</v>
      </c>
      <c r="M3948" s="173"/>
      <c r="N3948" s="68"/>
      <c r="O3948" s="203"/>
      <c r="P3948" s="218"/>
      <c r="Q3948" s="68"/>
      <c r="R3948" s="217"/>
      <c r="S3948" s="208"/>
    </row>
    <row r="3949" spans="1:25" ht="30" customHeight="1" x14ac:dyDescent="0.35">
      <c r="A3949" s="241">
        <v>82220</v>
      </c>
      <c r="B3949" s="1082" t="s">
        <v>2444</v>
      </c>
      <c r="C3949" s="1083"/>
      <c r="D3949" s="1083"/>
      <c r="E3949" s="1083"/>
      <c r="F3949" s="1083"/>
      <c r="G3949" s="1083"/>
      <c r="H3949" s="1083"/>
      <c r="I3949" s="1083"/>
      <c r="J3949" s="1083"/>
      <c r="K3949" s="1083"/>
      <c r="L3949" s="1084"/>
      <c r="M3949" s="173"/>
      <c r="N3949" s="68"/>
      <c r="O3949" s="203"/>
      <c r="P3949" s="218"/>
      <c r="Q3949" s="68"/>
      <c r="R3949" s="217"/>
    </row>
    <row r="3950" spans="1:25" s="208" customFormat="1" ht="30" customHeight="1" x14ac:dyDescent="0.35">
      <c r="A3950" s="241"/>
      <c r="B3950" s="1361" t="s">
        <v>2445</v>
      </c>
      <c r="C3950" s="1032"/>
      <c r="D3950" s="1033"/>
      <c r="E3950" s="453">
        <v>424</v>
      </c>
      <c r="F3950" s="694" t="s">
        <v>406</v>
      </c>
      <c r="G3950" s="639"/>
      <c r="H3950" s="659"/>
      <c r="I3950" s="1091">
        <f>+'2021 MILCON Inflation Table'!$F$20</f>
        <v>0.9432470865927236</v>
      </c>
      <c r="J3950" s="1092"/>
      <c r="K3950" s="463">
        <f>+E3950*I3950</f>
        <v>399.93676471531478</v>
      </c>
      <c r="L3950" s="564" t="s">
        <v>6</v>
      </c>
      <c r="M3950" s="173"/>
      <c r="N3950" s="68"/>
      <c r="O3950" s="171"/>
      <c r="P3950" s="218"/>
      <c r="Q3950" s="68"/>
      <c r="R3950" s="217"/>
      <c r="S3950" s="203"/>
      <c r="T3950" s="203"/>
      <c r="U3950" s="203"/>
      <c r="V3950" s="203"/>
      <c r="W3950" s="203"/>
      <c r="X3950" s="203"/>
      <c r="Y3950" s="203"/>
    </row>
    <row r="3951" spans="1:25" ht="30" customHeight="1" x14ac:dyDescent="0.35">
      <c r="A3951" s="241"/>
      <c r="B3951" s="1361" t="s">
        <v>2446</v>
      </c>
      <c r="C3951" s="1032"/>
      <c r="D3951" s="1033"/>
      <c r="E3951" s="889">
        <v>424</v>
      </c>
      <c r="F3951" s="694" t="s">
        <v>406</v>
      </c>
      <c r="G3951" s="639"/>
      <c r="H3951" s="659"/>
      <c r="I3951" s="1091">
        <f>+'2021 MILCON Inflation Table'!$F$20</f>
        <v>0.9432470865927236</v>
      </c>
      <c r="J3951" s="1092"/>
      <c r="K3951" s="463">
        <f>+E3951*I3951</f>
        <v>399.93676471531478</v>
      </c>
      <c r="L3951" s="564" t="s">
        <v>6</v>
      </c>
      <c r="M3951" s="173"/>
      <c r="N3951" s="68"/>
      <c r="O3951" s="171"/>
      <c r="P3951" s="218"/>
      <c r="Q3951" s="68"/>
      <c r="R3951" s="217"/>
    </row>
    <row r="3952" spans="1:25" ht="30" customHeight="1" x14ac:dyDescent="0.35">
      <c r="A3952" s="241"/>
      <c r="B3952" s="1361" t="s">
        <v>2447</v>
      </c>
      <c r="C3952" s="1032"/>
      <c r="D3952" s="1033"/>
      <c r="E3952" s="453">
        <v>431</v>
      </c>
      <c r="F3952" s="694" t="s">
        <v>406</v>
      </c>
      <c r="G3952" s="639"/>
      <c r="H3952" s="659"/>
      <c r="I3952" s="1091">
        <f>+'2021 MILCON Inflation Table'!$F$20</f>
        <v>0.9432470865927236</v>
      </c>
      <c r="J3952" s="1092"/>
      <c r="K3952" s="463">
        <f>+E3952*I3952</f>
        <v>406.53949432146385</v>
      </c>
      <c r="L3952" s="564" t="s">
        <v>6</v>
      </c>
      <c r="M3952" s="173"/>
      <c r="N3952" s="68"/>
      <c r="O3952" s="203"/>
      <c r="P3952" s="218"/>
      <c r="Q3952" s="68"/>
      <c r="R3952" s="217"/>
    </row>
    <row r="3953" spans="1:25" ht="30" customHeight="1" x14ac:dyDescent="0.35">
      <c r="A3953" s="241"/>
      <c r="B3953" s="1031" t="s">
        <v>2448</v>
      </c>
      <c r="C3953" s="1032"/>
      <c r="D3953" s="1033"/>
      <c r="E3953" s="453">
        <v>488</v>
      </c>
      <c r="F3953" s="694" t="s">
        <v>406</v>
      </c>
      <c r="G3953" s="639"/>
      <c r="H3953" s="659"/>
      <c r="I3953" s="1091">
        <f>+'2021 MILCON Inflation Table'!$F$20</f>
        <v>0.9432470865927236</v>
      </c>
      <c r="J3953" s="1092"/>
      <c r="K3953" s="463">
        <f>+E3953*I3953</f>
        <v>460.30457825724909</v>
      </c>
      <c r="L3953" s="564" t="s">
        <v>6</v>
      </c>
      <c r="M3953" s="173"/>
      <c r="N3953" s="68"/>
      <c r="O3953" s="203"/>
      <c r="P3953" s="216"/>
      <c r="Q3953" s="419"/>
      <c r="R3953" s="219"/>
    </row>
    <row r="3954" spans="1:25" ht="30" customHeight="1" x14ac:dyDescent="0.35">
      <c r="A3954" s="241"/>
      <c r="B3954" s="1031" t="s">
        <v>2449</v>
      </c>
      <c r="C3954" s="1032"/>
      <c r="D3954" s="1033"/>
      <c r="E3954" s="453">
        <v>642</v>
      </c>
      <c r="F3954" s="694" t="s">
        <v>406</v>
      </c>
      <c r="G3954" s="639"/>
      <c r="H3954" s="659"/>
      <c r="I3954" s="1091">
        <f>+'2021 MILCON Inflation Table'!$F$20</f>
        <v>0.9432470865927236</v>
      </c>
      <c r="J3954" s="1092"/>
      <c r="K3954" s="463">
        <f>+E3954*I3954</f>
        <v>605.5646295925286</v>
      </c>
      <c r="L3954" s="564" t="s">
        <v>6</v>
      </c>
      <c r="M3954" s="173"/>
      <c r="N3954" s="68"/>
      <c r="O3954" s="203"/>
      <c r="P3954" s="216"/>
      <c r="Q3954" s="419"/>
      <c r="R3954" s="219"/>
    </row>
    <row r="3955" spans="1:25" ht="30" customHeight="1" x14ac:dyDescent="0.35">
      <c r="A3955" s="241"/>
      <c r="B3955" s="516"/>
      <c r="C3955" s="570"/>
      <c r="D3955" s="571"/>
      <c r="E3955" s="667"/>
      <c r="F3955" s="724"/>
      <c r="G3955" s="658"/>
      <c r="H3955" s="659"/>
      <c r="I3955" s="1071" t="s">
        <v>2453</v>
      </c>
      <c r="J3955" s="1072"/>
      <c r="K3955" s="463">
        <f>AVERAGE(K3950:K3954)</f>
        <v>454.4564463203742</v>
      </c>
      <c r="L3955" s="564" t="s">
        <v>6</v>
      </c>
      <c r="M3955" s="173"/>
      <c r="N3955" s="68"/>
      <c r="O3955" s="203"/>
      <c r="P3955" s="218"/>
      <c r="Q3955" s="68"/>
      <c r="R3955" s="217"/>
    </row>
    <row r="3956" spans="1:25" ht="30" customHeight="1" x14ac:dyDescent="0.35">
      <c r="A3956" s="241"/>
      <c r="B3956" s="516"/>
      <c r="C3956" s="570"/>
      <c r="D3956" s="571"/>
      <c r="E3956" s="667"/>
      <c r="F3956" s="724"/>
      <c r="G3956" s="658"/>
      <c r="H3956" s="659"/>
      <c r="I3956" s="783"/>
      <c r="J3956" s="707"/>
      <c r="K3956" s="463"/>
      <c r="L3956" s="564"/>
      <c r="M3956" s="173"/>
      <c r="N3956" s="68"/>
      <c r="O3956" s="208"/>
      <c r="P3956" s="218"/>
      <c r="Q3956" s="68"/>
      <c r="R3956" s="217"/>
    </row>
    <row r="3957" spans="1:25" ht="30" customHeight="1" thickBot="1" x14ac:dyDescent="0.4">
      <c r="A3957" s="241"/>
      <c r="B3957" s="1031"/>
      <c r="C3957" s="1032"/>
      <c r="D3957" s="1033"/>
      <c r="E3957" s="553"/>
      <c r="F3957" s="706"/>
      <c r="G3957" s="553"/>
      <c r="H3957" s="707"/>
      <c r="I3957" s="458"/>
      <c r="J3957" s="433" t="s">
        <v>2595</v>
      </c>
      <c r="K3957" s="463">
        <f>(K3939+K3948+K3955)/3</f>
        <v>515.41116916063277</v>
      </c>
      <c r="L3957" s="564" t="s">
        <v>6</v>
      </c>
      <c r="M3957" s="173"/>
      <c r="N3957" s="68"/>
      <c r="O3957" s="203"/>
      <c r="P3957" s="218"/>
      <c r="Q3957" s="68"/>
      <c r="R3957" s="217"/>
      <c r="T3957" s="208"/>
      <c r="U3957" s="208"/>
      <c r="V3957" s="208"/>
      <c r="W3957" s="208"/>
      <c r="X3957" s="208"/>
    </row>
    <row r="3958" spans="1:25" ht="30" customHeight="1" thickBot="1" x14ac:dyDescent="0.4">
      <c r="A3958" s="481"/>
      <c r="B3958" s="482"/>
      <c r="C3958" s="482"/>
      <c r="D3958" s="482"/>
      <c r="E3958" s="482"/>
      <c r="F3958" s="482"/>
      <c r="G3958" s="482"/>
      <c r="H3958" s="482"/>
      <c r="I3958" s="482"/>
      <c r="J3958" s="482"/>
      <c r="K3958" s="482"/>
      <c r="L3958" s="483"/>
      <c r="M3958" s="173"/>
      <c r="N3958" s="68"/>
      <c r="O3958" s="171"/>
      <c r="P3958" s="218"/>
      <c r="Q3958" s="68"/>
      <c r="R3958" s="217"/>
      <c r="Y3958" s="208"/>
    </row>
    <row r="3959" spans="1:25" ht="30" customHeight="1" x14ac:dyDescent="0.35">
      <c r="A3959" s="465" t="s">
        <v>278</v>
      </c>
      <c r="B3959" s="539">
        <v>8231</v>
      </c>
      <c r="C3959" s="1017" t="s">
        <v>1753</v>
      </c>
      <c r="D3959" s="1018"/>
      <c r="E3959" s="541" t="s">
        <v>280</v>
      </c>
      <c r="F3959" s="542" t="s">
        <v>218</v>
      </c>
      <c r="G3959" s="543" t="s">
        <v>285</v>
      </c>
      <c r="H3959" s="555">
        <v>118440000</v>
      </c>
      <c r="I3959" s="541" t="s">
        <v>281</v>
      </c>
      <c r="J3959" s="1019" t="s">
        <v>2371</v>
      </c>
      <c r="K3959" s="1019"/>
      <c r="L3959" s="1020"/>
      <c r="M3959" s="173"/>
      <c r="N3959" s="419"/>
      <c r="O3959" s="171"/>
      <c r="P3959" s="218"/>
      <c r="Q3959" s="68"/>
      <c r="R3959" s="217"/>
      <c r="S3959" s="208"/>
    </row>
    <row r="3960" spans="1:25" ht="30" customHeight="1" x14ac:dyDescent="0.35">
      <c r="A3960" s="588" t="s">
        <v>298</v>
      </c>
      <c r="B3960" s="1038" t="s">
        <v>321</v>
      </c>
      <c r="C3960" s="1039"/>
      <c r="D3960" s="1040"/>
      <c r="E3960" s="23" t="s">
        <v>290</v>
      </c>
      <c r="F3960" s="23" t="s">
        <v>322</v>
      </c>
      <c r="G3960" s="1034" t="s">
        <v>323</v>
      </c>
      <c r="H3960" s="1035"/>
      <c r="I3960" s="509" t="s">
        <v>299</v>
      </c>
      <c r="J3960" s="509"/>
      <c r="K3960" s="595" t="s">
        <v>292</v>
      </c>
      <c r="L3960" s="739"/>
      <c r="M3960" s="173"/>
      <c r="N3960" s="419"/>
      <c r="O3960" s="203"/>
      <c r="P3960" s="218"/>
      <c r="Q3960" s="68"/>
      <c r="R3960" s="217"/>
    </row>
    <row r="3961" spans="1:25" s="208" customFormat="1" ht="30" customHeight="1" x14ac:dyDescent="0.35">
      <c r="A3961" s="241"/>
      <c r="B3961" s="171"/>
      <c r="C3961" s="570"/>
      <c r="D3961" s="571"/>
      <c r="E3961" s="3"/>
      <c r="F3961" s="3"/>
      <c r="G3961" s="496"/>
      <c r="H3961" s="498"/>
      <c r="I3961" s="659"/>
      <c r="J3961" s="446"/>
      <c r="K3961" s="453"/>
      <c r="L3961" s="243"/>
      <c r="M3961" s="173"/>
      <c r="N3961" s="68"/>
      <c r="O3961" s="203"/>
      <c r="P3961" s="216"/>
      <c r="Q3961" s="419"/>
      <c r="R3961" s="219"/>
      <c r="S3961" s="203"/>
      <c r="T3961" s="203"/>
      <c r="U3961" s="203"/>
      <c r="V3961" s="203"/>
      <c r="W3961" s="203"/>
      <c r="X3961" s="203"/>
      <c r="Y3961" s="203"/>
    </row>
    <row r="3962" spans="1:25" ht="30" customHeight="1" x14ac:dyDescent="0.35">
      <c r="A3962" s="832" t="s">
        <v>1754</v>
      </c>
      <c r="B3962" s="1031" t="s">
        <v>2454</v>
      </c>
      <c r="C3962" s="1032"/>
      <c r="D3962" s="1033"/>
      <c r="E3962" s="40">
        <f>+(10200+12500)/2</f>
        <v>11350</v>
      </c>
      <c r="F3962" s="3" t="s">
        <v>10</v>
      </c>
      <c r="G3962" s="43">
        <v>54000000</v>
      </c>
      <c r="H3962" s="498" t="s">
        <v>1756</v>
      </c>
      <c r="I3962" s="446">
        <v>1.05</v>
      </c>
      <c r="J3962" s="446"/>
      <c r="K3962" s="178">
        <f>+E3962/G3962*I3962</f>
        <v>2.2069444444444445E-4</v>
      </c>
      <c r="L3962" s="676" t="s">
        <v>218</v>
      </c>
      <c r="M3962" s="173"/>
      <c r="N3962" s="68"/>
      <c r="O3962" s="203"/>
      <c r="P3962" s="216"/>
      <c r="Q3962" s="419"/>
      <c r="R3962" s="219"/>
    </row>
    <row r="3963" spans="1:25" ht="30" customHeight="1" x14ac:dyDescent="0.35">
      <c r="A3963" s="832" t="s">
        <v>355</v>
      </c>
      <c r="B3963" s="1031" t="s">
        <v>1757</v>
      </c>
      <c r="C3963" s="1032"/>
      <c r="D3963" s="1033"/>
      <c r="E3963" s="40">
        <v>313000</v>
      </c>
      <c r="F3963" s="3" t="s">
        <v>10</v>
      </c>
      <c r="G3963" s="43">
        <f>+H3959</f>
        <v>118440000</v>
      </c>
      <c r="H3963" s="498" t="s">
        <v>1756</v>
      </c>
      <c r="I3963" s="665">
        <v>1.02</v>
      </c>
      <c r="J3963" s="446"/>
      <c r="K3963" s="178">
        <f>+E3963/G3963*I3963</f>
        <v>2.6955420466058767E-3</v>
      </c>
      <c r="L3963" s="676" t="s">
        <v>218</v>
      </c>
      <c r="M3963" s="173"/>
      <c r="N3963" s="68"/>
      <c r="O3963" s="203"/>
      <c r="P3963" s="218"/>
      <c r="Q3963" s="68"/>
      <c r="R3963" s="217"/>
    </row>
    <row r="3964" spans="1:25" ht="30" customHeight="1" x14ac:dyDescent="0.35">
      <c r="A3964" s="832" t="s">
        <v>1772</v>
      </c>
      <c r="B3964" s="1031" t="s">
        <v>2455</v>
      </c>
      <c r="C3964" s="1032"/>
      <c r="D3964" s="1033"/>
      <c r="E3964" s="40">
        <f>(42+46)/2</f>
        <v>44</v>
      </c>
      <c r="F3964" s="3" t="s">
        <v>333</v>
      </c>
      <c r="G3964" s="43">
        <f>+H3959</f>
        <v>118440000</v>
      </c>
      <c r="H3964" s="498" t="s">
        <v>2456</v>
      </c>
      <c r="I3964" s="446">
        <v>1.04</v>
      </c>
      <c r="J3964" s="446"/>
      <c r="K3964" s="178">
        <f>+E3964*520/G3964*I3964</f>
        <v>2.0090509962850388E-4</v>
      </c>
      <c r="L3964" s="676" t="s">
        <v>218</v>
      </c>
      <c r="M3964" s="173"/>
      <c r="N3964" s="68"/>
      <c r="O3964" s="203"/>
      <c r="P3964" s="218"/>
      <c r="Q3964" s="68"/>
      <c r="R3964" s="217"/>
    </row>
    <row r="3965" spans="1:25" ht="30" customHeight="1" x14ac:dyDescent="0.35">
      <c r="A3965" s="832" t="s">
        <v>1774</v>
      </c>
      <c r="B3965" s="1031" t="s">
        <v>2165</v>
      </c>
      <c r="C3965" s="1032"/>
      <c r="D3965" s="1033"/>
      <c r="E3965" s="40">
        <f>(7900+9100)/2</f>
        <v>8500</v>
      </c>
      <c r="F3965" s="3" t="s">
        <v>10</v>
      </c>
      <c r="G3965" s="43">
        <f>+H3959</f>
        <v>118440000</v>
      </c>
      <c r="H3965" s="498" t="s">
        <v>2456</v>
      </c>
      <c r="I3965" s="446">
        <v>1.04</v>
      </c>
      <c r="J3965" s="446"/>
      <c r="K3965" s="178">
        <f>+((E3965*4)/G3965)*I3965</f>
        <v>2.9854778790949007E-4</v>
      </c>
      <c r="L3965" s="676" t="s">
        <v>218</v>
      </c>
      <c r="M3965" s="173"/>
      <c r="N3965" s="71"/>
      <c r="O3965" s="203"/>
      <c r="P3965" s="218"/>
      <c r="Q3965" s="68"/>
      <c r="R3965" s="217"/>
    </row>
    <row r="3966" spans="1:25" ht="30" customHeight="1" x14ac:dyDescent="0.35">
      <c r="A3966" s="717"/>
      <c r="B3966" s="1102"/>
      <c r="C3966" s="1102"/>
      <c r="D3966" s="1102"/>
      <c r="E3966" s="453"/>
      <c r="F3966" s="446"/>
      <c r="G3966" s="446"/>
      <c r="H3966" s="446"/>
      <c r="I3966" s="446"/>
      <c r="J3966" s="446" t="s">
        <v>335</v>
      </c>
      <c r="K3966" s="729">
        <f>SUM(K3962:K3963)</f>
        <v>2.9162364910503211E-3</v>
      </c>
      <c r="L3966" s="676" t="s">
        <v>218</v>
      </c>
      <c r="M3966" s="173"/>
      <c r="N3966" s="68"/>
      <c r="O3966" s="203"/>
      <c r="P3966" s="218"/>
      <c r="Q3966" s="68"/>
      <c r="R3966" s="217"/>
    </row>
    <row r="3967" spans="1:25" ht="30" customHeight="1" x14ac:dyDescent="0.35">
      <c r="A3967" s="241"/>
      <c r="B3967" s="506"/>
      <c r="C3967" s="506"/>
      <c r="D3967" s="506"/>
      <c r="E3967" s="453"/>
      <c r="F3967" s="1029" t="s">
        <v>302</v>
      </c>
      <c r="G3967" s="1058" t="s">
        <v>303</v>
      </c>
      <c r="H3967" s="1058"/>
      <c r="I3967" s="1058"/>
      <c r="J3967" s="1058"/>
      <c r="K3967" s="612">
        <v>1.07</v>
      </c>
      <c r="L3967" s="243"/>
      <c r="M3967" s="173"/>
      <c r="N3967" s="419"/>
      <c r="O3967" s="203"/>
      <c r="P3967" s="218"/>
      <c r="Q3967" s="68"/>
      <c r="R3967" s="217"/>
    </row>
    <row r="3968" spans="1:25" ht="30" customHeight="1" x14ac:dyDescent="0.35">
      <c r="A3968" s="241"/>
      <c r="B3968" s="506"/>
      <c r="C3968" s="506"/>
      <c r="D3968" s="506"/>
      <c r="E3968" s="453"/>
      <c r="F3968" s="1030"/>
      <c r="G3968" s="1073" t="s">
        <v>2171</v>
      </c>
      <c r="H3968" s="1073"/>
      <c r="I3968" s="1073"/>
      <c r="J3968" s="1073"/>
      <c r="K3968" s="612">
        <v>1.08</v>
      </c>
      <c r="L3968" s="243"/>
      <c r="M3968" s="173"/>
      <c r="N3968" s="419"/>
      <c r="O3968" s="203"/>
      <c r="P3968" s="218"/>
      <c r="Q3968" s="68"/>
      <c r="R3968" s="217"/>
    </row>
    <row r="3969" spans="1:25" ht="30" customHeight="1" x14ac:dyDescent="0.35">
      <c r="A3969" s="241"/>
      <c r="B3969" s="579"/>
      <c r="C3969" s="579"/>
      <c r="D3969" s="579"/>
      <c r="E3969" s="446"/>
      <c r="F3969" s="446" t="s">
        <v>8</v>
      </c>
      <c r="G3969" s="458"/>
      <c r="H3969" s="458"/>
      <c r="I3969" s="458"/>
      <c r="J3969" s="458" t="s">
        <v>2356</v>
      </c>
      <c r="K3969" s="915">
        <f>+K3966*K3967/K3968</f>
        <v>2.8892343013183735E-3</v>
      </c>
      <c r="L3969" s="676" t="s">
        <v>218</v>
      </c>
      <c r="M3969" s="173"/>
      <c r="N3969" s="68"/>
      <c r="O3969" s="203"/>
      <c r="P3969" s="218"/>
      <c r="Q3969" s="68"/>
      <c r="R3969" s="217"/>
    </row>
    <row r="3970" spans="1:25" ht="30" customHeight="1" thickBot="1" x14ac:dyDescent="0.4">
      <c r="A3970" s="241"/>
      <c r="B3970" s="458"/>
      <c r="C3970" s="506"/>
      <c r="D3970" s="590"/>
      <c r="E3970" s="132"/>
      <c r="F3970" s="458"/>
      <c r="G3970" s="592" t="s">
        <v>2358</v>
      </c>
      <c r="H3970" s="458"/>
      <c r="I3970" s="458"/>
      <c r="J3970" s="583">
        <f>VLOOKUP(B3959,'Mil Cost Premiums for PUCs'!$A$4:$R$272,18,FALSE)</f>
        <v>1.0905505199999999</v>
      </c>
      <c r="K3970" s="915">
        <f>+K3969*J3970</f>
        <v>3.1508559697045885E-3</v>
      </c>
      <c r="L3970" s="676" t="s">
        <v>218</v>
      </c>
      <c r="M3970" s="417"/>
      <c r="N3970" s="68"/>
      <c r="O3970" s="203"/>
      <c r="P3970" s="218"/>
      <c r="Q3970" s="68"/>
      <c r="R3970" s="217"/>
    </row>
    <row r="3971" spans="1:25" ht="30" customHeight="1" thickBot="1" x14ac:dyDescent="0.4">
      <c r="A3971" s="481"/>
      <c r="B3971" s="482"/>
      <c r="C3971" s="482"/>
      <c r="D3971" s="482"/>
      <c r="E3971" s="482"/>
      <c r="F3971" s="482"/>
      <c r="G3971" s="482"/>
      <c r="H3971" s="482"/>
      <c r="I3971" s="482"/>
      <c r="J3971" s="482"/>
      <c r="K3971" s="482"/>
      <c r="L3971" s="483"/>
      <c r="M3971" s="173"/>
      <c r="N3971" s="68"/>
      <c r="O3971" s="203"/>
      <c r="P3971" s="218"/>
      <c r="Q3971" s="68"/>
      <c r="R3971" s="217"/>
    </row>
    <row r="3972" spans="1:25" ht="30" customHeight="1" x14ac:dyDescent="0.35">
      <c r="A3972" s="465" t="s">
        <v>278</v>
      </c>
      <c r="B3972" s="539">
        <v>8232</v>
      </c>
      <c r="C3972" s="1017" t="s">
        <v>1758</v>
      </c>
      <c r="D3972" s="1018"/>
      <c r="E3972" s="541" t="s">
        <v>280</v>
      </c>
      <c r="F3972" s="542" t="s">
        <v>10</v>
      </c>
      <c r="G3972" s="553" t="s">
        <v>279</v>
      </c>
      <c r="H3972" s="555">
        <v>1</v>
      </c>
      <c r="I3972" s="541" t="s">
        <v>281</v>
      </c>
      <c r="J3972" s="1019" t="s">
        <v>2371</v>
      </c>
      <c r="K3972" s="1019"/>
      <c r="L3972" s="1020"/>
      <c r="M3972" s="173"/>
      <c r="N3972" s="68"/>
      <c r="O3972" s="203"/>
      <c r="P3972" s="218"/>
      <c r="Q3972" s="68"/>
      <c r="R3972" s="217"/>
    </row>
    <row r="3973" spans="1:25" ht="30" customHeight="1" x14ac:dyDescent="0.35">
      <c r="A3973" s="588" t="s">
        <v>298</v>
      </c>
      <c r="B3973" s="1038" t="s">
        <v>321</v>
      </c>
      <c r="C3973" s="1039"/>
      <c r="D3973" s="1040"/>
      <c r="E3973" s="23" t="s">
        <v>290</v>
      </c>
      <c r="F3973" s="23" t="s">
        <v>322</v>
      </c>
      <c r="G3973" s="1034" t="s">
        <v>323</v>
      </c>
      <c r="H3973" s="1035"/>
      <c r="I3973" s="509" t="s">
        <v>299</v>
      </c>
      <c r="J3973" s="509"/>
      <c r="K3973" s="595" t="s">
        <v>292</v>
      </c>
      <c r="L3973" s="739"/>
      <c r="M3973" s="173"/>
      <c r="N3973" s="68"/>
      <c r="O3973" s="203"/>
      <c r="P3973" s="218"/>
      <c r="Q3973" s="68"/>
      <c r="R3973" s="217"/>
    </row>
    <row r="3974" spans="1:25" ht="30" customHeight="1" x14ac:dyDescent="0.35">
      <c r="A3974" s="241" t="s">
        <v>355</v>
      </c>
      <c r="B3974" s="1059" t="s">
        <v>1759</v>
      </c>
      <c r="C3974" s="1059"/>
      <c r="D3974" s="1059"/>
      <c r="E3974" s="453">
        <v>102000</v>
      </c>
      <c r="F3974" s="639" t="s">
        <v>10</v>
      </c>
      <c r="G3974" s="916"/>
      <c r="H3974" s="659"/>
      <c r="I3974" s="704">
        <v>1.02</v>
      </c>
      <c r="J3974" s="446"/>
      <c r="K3974" s="453">
        <f>+E3974*I3974</f>
        <v>104040</v>
      </c>
      <c r="L3974" s="243" t="s">
        <v>10</v>
      </c>
      <c r="M3974" s="173"/>
      <c r="N3974" s="68"/>
      <c r="O3974" s="208"/>
      <c r="P3974" s="218"/>
      <c r="Q3974" s="68"/>
      <c r="R3974" s="217"/>
    </row>
    <row r="3975" spans="1:25" ht="30" customHeight="1" x14ac:dyDescent="0.35">
      <c r="A3975" s="241"/>
      <c r="B3975" s="506"/>
      <c r="C3975" s="506"/>
      <c r="D3975" s="506"/>
      <c r="E3975" s="453"/>
      <c r="F3975" s="1029" t="s">
        <v>302</v>
      </c>
      <c r="G3975" s="1058" t="s">
        <v>303</v>
      </c>
      <c r="H3975" s="1058"/>
      <c r="I3975" s="1058"/>
      <c r="J3975" s="1058"/>
      <c r="K3975" s="612">
        <v>1.07</v>
      </c>
      <c r="L3975" s="243"/>
      <c r="M3975" s="173"/>
      <c r="N3975" s="68"/>
      <c r="O3975" s="203"/>
      <c r="P3975" s="218"/>
      <c r="Q3975" s="68"/>
      <c r="R3975" s="217"/>
      <c r="T3975" s="208"/>
      <c r="U3975" s="208"/>
      <c r="V3975" s="208"/>
      <c r="W3975" s="208"/>
      <c r="X3975" s="208"/>
    </row>
    <row r="3976" spans="1:25" ht="30" customHeight="1" x14ac:dyDescent="0.35">
      <c r="A3976" s="241"/>
      <c r="B3976" s="506"/>
      <c r="C3976" s="506"/>
      <c r="D3976" s="506"/>
      <c r="E3976" s="453"/>
      <c r="F3976" s="1030"/>
      <c r="G3976" s="1073" t="s">
        <v>2374</v>
      </c>
      <c r="H3976" s="1073"/>
      <c r="I3976" s="1073"/>
      <c r="J3976" s="1073"/>
      <c r="K3976" s="612">
        <v>1.08</v>
      </c>
      <c r="L3976" s="243"/>
      <c r="M3976" s="173"/>
      <c r="N3976" s="68"/>
      <c r="O3976" s="171"/>
      <c r="P3976" s="218"/>
      <c r="Q3976" s="68"/>
      <c r="R3976" s="217"/>
      <c r="Y3976" s="208"/>
    </row>
    <row r="3977" spans="1:25" ht="30" customHeight="1" x14ac:dyDescent="0.35">
      <c r="A3977" s="241"/>
      <c r="B3977" s="446"/>
      <c r="C3977" s="458"/>
      <c r="D3977" s="458"/>
      <c r="E3977" s="458"/>
      <c r="F3977" s="458"/>
      <c r="G3977" s="458"/>
      <c r="H3977" s="458"/>
      <c r="I3977" s="458"/>
      <c r="J3977" s="446" t="s">
        <v>2356</v>
      </c>
      <c r="K3977" s="591">
        <f>+K3974*K3975/K3976</f>
        <v>103076.66666666666</v>
      </c>
      <c r="L3977" s="243" t="s">
        <v>10</v>
      </c>
      <c r="M3977" s="173"/>
      <c r="N3977" s="68"/>
      <c r="O3977" s="171"/>
      <c r="P3977" s="218"/>
      <c r="Q3977" s="68"/>
      <c r="R3977" s="217"/>
      <c r="S3977" s="208"/>
    </row>
    <row r="3978" spans="1:25" ht="30" customHeight="1" thickBot="1" x14ac:dyDescent="0.4">
      <c r="A3978" s="241"/>
      <c r="B3978" s="446"/>
      <c r="C3978" s="458"/>
      <c r="D3978" s="458"/>
      <c r="E3978" s="458"/>
      <c r="F3978" s="458"/>
      <c r="G3978" s="592" t="s">
        <v>2358</v>
      </c>
      <c r="H3978" s="458"/>
      <c r="I3978" s="458"/>
      <c r="J3978" s="583">
        <f>VLOOKUP(B3972,'Mil Cost Premiums for PUCs'!$A$4:$R$272,18,FALSE)</f>
        <v>1.0905505199999999</v>
      </c>
      <c r="K3978" s="591">
        <f>+K3977*J3978</f>
        <v>112410.31243319997</v>
      </c>
      <c r="L3978" s="243" t="s">
        <v>10</v>
      </c>
      <c r="M3978" s="173"/>
      <c r="N3978" s="68"/>
      <c r="O3978" s="203"/>
      <c r="P3978" s="218"/>
      <c r="Q3978" s="68"/>
      <c r="R3978" s="217"/>
    </row>
    <row r="3979" spans="1:25" s="208" customFormat="1" ht="30" customHeight="1" thickBot="1" x14ac:dyDescent="0.4">
      <c r="A3979" s="481"/>
      <c r="B3979" s="482"/>
      <c r="C3979" s="482"/>
      <c r="D3979" s="482"/>
      <c r="E3979" s="482"/>
      <c r="F3979" s="482"/>
      <c r="G3979" s="482"/>
      <c r="H3979" s="482"/>
      <c r="I3979" s="482"/>
      <c r="J3979" s="482"/>
      <c r="K3979" s="482"/>
      <c r="L3979" s="483"/>
      <c r="M3979" s="173"/>
      <c r="N3979" s="68"/>
      <c r="O3979" s="203"/>
      <c r="P3979" s="216"/>
      <c r="Q3979" s="419"/>
      <c r="R3979" s="219"/>
      <c r="S3979" s="203"/>
      <c r="T3979" s="203"/>
      <c r="U3979" s="203"/>
      <c r="V3979" s="203"/>
      <c r="W3979" s="203"/>
      <c r="X3979" s="203"/>
      <c r="Y3979" s="203"/>
    </row>
    <row r="3980" spans="1:25" ht="30" customHeight="1" x14ac:dyDescent="0.35">
      <c r="A3980" s="465" t="s">
        <v>278</v>
      </c>
      <c r="B3980" s="539">
        <v>8241</v>
      </c>
      <c r="C3980" s="1017" t="s">
        <v>1760</v>
      </c>
      <c r="D3980" s="1018"/>
      <c r="E3980" s="541" t="s">
        <v>280</v>
      </c>
      <c r="F3980" s="542" t="s">
        <v>6</v>
      </c>
      <c r="G3980" s="543" t="s">
        <v>285</v>
      </c>
      <c r="H3980" s="555">
        <v>8685</v>
      </c>
      <c r="I3980" s="541" t="s">
        <v>281</v>
      </c>
      <c r="J3980" s="1019" t="s">
        <v>2371</v>
      </c>
      <c r="K3980" s="1019"/>
      <c r="L3980" s="1020"/>
      <c r="M3980" s="173"/>
      <c r="N3980" s="68"/>
      <c r="O3980" s="171"/>
      <c r="P3980" s="218"/>
      <c r="Q3980" s="68"/>
      <c r="R3980" s="217"/>
    </row>
    <row r="3981" spans="1:25" ht="30" customHeight="1" x14ac:dyDescent="0.35">
      <c r="A3981" s="588" t="s">
        <v>298</v>
      </c>
      <c r="B3981" s="1038" t="s">
        <v>321</v>
      </c>
      <c r="C3981" s="1039"/>
      <c r="D3981" s="1040"/>
      <c r="E3981" s="23" t="s">
        <v>290</v>
      </c>
      <c r="F3981" s="23" t="s">
        <v>322</v>
      </c>
      <c r="G3981" s="1034" t="s">
        <v>323</v>
      </c>
      <c r="H3981" s="1035"/>
      <c r="I3981" s="509" t="s">
        <v>299</v>
      </c>
      <c r="J3981" s="509"/>
      <c r="K3981" s="595" t="s">
        <v>292</v>
      </c>
      <c r="L3981" s="739"/>
      <c r="M3981" s="173"/>
      <c r="N3981" s="68"/>
      <c r="O3981" s="203"/>
      <c r="P3981" s="218"/>
      <c r="Q3981" s="68"/>
      <c r="R3981" s="217"/>
    </row>
    <row r="3982" spans="1:25" ht="30" customHeight="1" x14ac:dyDescent="0.35">
      <c r="A3982" s="241" t="s">
        <v>331</v>
      </c>
      <c r="B3982" s="1031" t="s">
        <v>1761</v>
      </c>
      <c r="C3982" s="1032"/>
      <c r="D3982" s="1033"/>
      <c r="E3982" s="40">
        <v>19.95</v>
      </c>
      <c r="F3982" s="3" t="s">
        <v>6</v>
      </c>
      <c r="G3982" s="496"/>
      <c r="H3982" s="498"/>
      <c r="I3982" s="446">
        <v>1.03</v>
      </c>
      <c r="J3982" s="446"/>
      <c r="K3982" s="40">
        <f>+E3982*I3982</f>
        <v>20.548500000000001</v>
      </c>
      <c r="L3982" s="676" t="s">
        <v>6</v>
      </c>
      <c r="M3982" s="173"/>
      <c r="N3982" s="68"/>
      <c r="O3982" s="203"/>
      <c r="P3982" s="216"/>
      <c r="Q3982" s="419"/>
      <c r="R3982" s="219"/>
    </row>
    <row r="3983" spans="1:25" ht="30" customHeight="1" x14ac:dyDescent="0.35">
      <c r="A3983" s="241" t="s">
        <v>331</v>
      </c>
      <c r="B3983" s="1031" t="s">
        <v>1762</v>
      </c>
      <c r="C3983" s="1032"/>
      <c r="D3983" s="1033"/>
      <c r="E3983" s="40">
        <v>19.7</v>
      </c>
      <c r="F3983" s="3" t="s">
        <v>6</v>
      </c>
      <c r="G3983" s="74"/>
      <c r="H3983" s="498"/>
      <c r="I3983" s="446">
        <v>1.03</v>
      </c>
      <c r="J3983" s="446"/>
      <c r="K3983" s="40">
        <f>+E3983*I3983</f>
        <v>20.291</v>
      </c>
      <c r="L3983" s="676" t="s">
        <v>6</v>
      </c>
      <c r="M3983" s="173"/>
      <c r="N3983" s="68"/>
      <c r="O3983" s="203"/>
      <c r="P3983" s="216"/>
      <c r="Q3983" s="419"/>
      <c r="R3983" s="219"/>
    </row>
    <row r="3984" spans="1:25" ht="30" customHeight="1" x14ac:dyDescent="0.35">
      <c r="A3984" s="717"/>
      <c r="B3984" s="1102"/>
      <c r="C3984" s="1102"/>
      <c r="D3984" s="1102"/>
      <c r="E3984" s="453"/>
      <c r="F3984" s="446"/>
      <c r="G3984" s="446"/>
      <c r="H3984" s="446"/>
      <c r="I3984" s="446"/>
      <c r="J3984" s="446" t="s">
        <v>304</v>
      </c>
      <c r="K3984" s="453">
        <f>AVERAGE(K3982:K3983)</f>
        <v>20.419750000000001</v>
      </c>
      <c r="L3984" s="243" t="s">
        <v>6</v>
      </c>
      <c r="M3984" s="173"/>
      <c r="N3984" s="68"/>
      <c r="O3984" s="203"/>
      <c r="P3984" s="218"/>
      <c r="Q3984" s="68"/>
      <c r="R3984" s="217"/>
    </row>
    <row r="3985" spans="1:25" ht="30" customHeight="1" x14ac:dyDescent="0.35">
      <c r="A3985" s="241"/>
      <c r="B3985" s="506"/>
      <c r="C3985" s="506"/>
      <c r="D3985" s="506"/>
      <c r="E3985" s="453"/>
      <c r="F3985" s="1029" t="s">
        <v>302</v>
      </c>
      <c r="G3985" s="1058" t="s">
        <v>303</v>
      </c>
      <c r="H3985" s="1058"/>
      <c r="I3985" s="1058"/>
      <c r="J3985" s="1058"/>
      <c r="K3985" s="612">
        <v>1.07</v>
      </c>
      <c r="L3985" s="243"/>
      <c r="M3985" s="173"/>
      <c r="N3985" s="68"/>
      <c r="O3985" s="208"/>
      <c r="P3985" s="218"/>
      <c r="Q3985" s="68"/>
      <c r="R3985" s="217"/>
    </row>
    <row r="3986" spans="1:25" ht="30" customHeight="1" x14ac:dyDescent="0.35">
      <c r="A3986" s="241"/>
      <c r="B3986" s="506"/>
      <c r="C3986" s="506"/>
      <c r="D3986" s="506"/>
      <c r="E3986" s="453"/>
      <c r="F3986" s="1030"/>
      <c r="G3986" s="1073" t="s">
        <v>2374</v>
      </c>
      <c r="H3986" s="1073"/>
      <c r="I3986" s="1073"/>
      <c r="J3986" s="1073"/>
      <c r="K3986" s="612">
        <v>1.08</v>
      </c>
      <c r="L3986" s="243"/>
      <c r="M3986" s="173"/>
      <c r="N3986" s="68"/>
      <c r="O3986" s="203"/>
      <c r="P3986" s="218"/>
      <c r="Q3986" s="68"/>
      <c r="R3986" s="217"/>
      <c r="T3986" s="208"/>
      <c r="U3986" s="208"/>
      <c r="V3986" s="208"/>
      <c r="W3986" s="208"/>
      <c r="X3986" s="208"/>
    </row>
    <row r="3987" spans="1:25" ht="30" customHeight="1" x14ac:dyDescent="0.35">
      <c r="A3987" s="241"/>
      <c r="B3987" s="446"/>
      <c r="C3987" s="458"/>
      <c r="D3987" s="458"/>
      <c r="E3987" s="458"/>
      <c r="F3987" s="458"/>
      <c r="G3987" s="458"/>
      <c r="H3987" s="458"/>
      <c r="I3987" s="458"/>
      <c r="J3987" s="446" t="s">
        <v>2356</v>
      </c>
      <c r="K3987" s="591">
        <f>+K3984*K3985/K3986</f>
        <v>20.230678240740744</v>
      </c>
      <c r="L3987" s="243" t="s">
        <v>6</v>
      </c>
      <c r="M3987" s="173"/>
      <c r="N3987" s="68"/>
      <c r="O3987" s="203"/>
      <c r="P3987" s="218"/>
      <c r="Q3987" s="68"/>
      <c r="R3987" s="217"/>
      <c r="Y3987" s="208"/>
    </row>
    <row r="3988" spans="1:25" ht="30" customHeight="1" thickBot="1" x14ac:dyDescent="0.4">
      <c r="A3988" s="241"/>
      <c r="B3988" s="446"/>
      <c r="C3988" s="458"/>
      <c r="D3988" s="458"/>
      <c r="E3988" s="458"/>
      <c r="F3988" s="458"/>
      <c r="G3988" s="592" t="s">
        <v>2358</v>
      </c>
      <c r="H3988" s="458"/>
      <c r="I3988" s="458"/>
      <c r="J3988" s="583">
        <f>VLOOKUP(B3980,'Mil Cost Premiums for PUCs'!$A$4:$R$272,18,FALSE)</f>
        <v>1.0905505199999999</v>
      </c>
      <c r="K3988" s="591">
        <f>+K3987*J3988</f>
        <v>22.062576675392499</v>
      </c>
      <c r="L3988" s="243" t="s">
        <v>6</v>
      </c>
      <c r="M3988" s="173"/>
      <c r="N3988" s="419"/>
      <c r="O3988" s="203"/>
      <c r="P3988" s="218"/>
      <c r="Q3988" s="68"/>
      <c r="R3988" s="217"/>
      <c r="S3988" s="208"/>
    </row>
    <row r="3989" spans="1:25" ht="30" customHeight="1" thickBot="1" x14ac:dyDescent="0.4">
      <c r="A3989" s="481"/>
      <c r="B3989" s="482"/>
      <c r="C3989" s="482"/>
      <c r="D3989" s="482"/>
      <c r="E3989" s="482"/>
      <c r="F3989" s="482"/>
      <c r="G3989" s="482"/>
      <c r="H3989" s="482"/>
      <c r="I3989" s="482"/>
      <c r="J3989" s="482"/>
      <c r="K3989" s="482"/>
      <c r="L3989" s="483"/>
      <c r="M3989" s="173"/>
      <c r="N3989" s="419"/>
      <c r="O3989" s="171"/>
      <c r="P3989" s="218"/>
      <c r="Q3989" s="68"/>
      <c r="R3989" s="217"/>
    </row>
    <row r="3990" spans="1:25" s="208" customFormat="1" ht="30" customHeight="1" x14ac:dyDescent="0.35">
      <c r="A3990" s="465" t="s">
        <v>278</v>
      </c>
      <c r="B3990" s="539">
        <v>8261</v>
      </c>
      <c r="C3990" s="1096" t="s">
        <v>1763</v>
      </c>
      <c r="D3990" s="1097"/>
      <c r="E3990" s="541" t="s">
        <v>280</v>
      </c>
      <c r="F3990" s="542" t="s">
        <v>223</v>
      </c>
      <c r="G3990" s="543" t="s">
        <v>285</v>
      </c>
      <c r="H3990" s="555">
        <v>568</v>
      </c>
      <c r="I3990" s="541" t="s">
        <v>281</v>
      </c>
      <c r="J3990" s="1019" t="s">
        <v>2371</v>
      </c>
      <c r="K3990" s="1019"/>
      <c r="L3990" s="1020"/>
      <c r="M3990" s="173"/>
      <c r="N3990" s="68"/>
      <c r="O3990" s="171"/>
      <c r="P3990" s="218"/>
      <c r="Q3990" s="68"/>
      <c r="R3990" s="217"/>
      <c r="S3990" s="203"/>
      <c r="T3990" s="203"/>
      <c r="U3990" s="203"/>
      <c r="V3990" s="203"/>
      <c r="W3990" s="203"/>
      <c r="X3990" s="203"/>
      <c r="Y3990" s="203"/>
    </row>
    <row r="3991" spans="1:25" ht="30" customHeight="1" x14ac:dyDescent="0.35">
      <c r="A3991" s="588" t="s">
        <v>298</v>
      </c>
      <c r="B3991" s="1038" t="s">
        <v>321</v>
      </c>
      <c r="C3991" s="1039"/>
      <c r="D3991" s="1040"/>
      <c r="E3991" s="23" t="s">
        <v>290</v>
      </c>
      <c r="F3991" s="23" t="s">
        <v>322</v>
      </c>
      <c r="G3991" s="1034" t="s">
        <v>323</v>
      </c>
      <c r="H3991" s="1035"/>
      <c r="I3991" s="509" t="s">
        <v>299</v>
      </c>
      <c r="J3991" s="509"/>
      <c r="K3991" s="595" t="s">
        <v>292</v>
      </c>
      <c r="L3991" s="739"/>
      <c r="M3991" s="173"/>
      <c r="N3991" s="68"/>
      <c r="O3991" s="203"/>
      <c r="P3991" s="218"/>
      <c r="Q3991" s="68"/>
      <c r="R3991" s="217"/>
    </row>
    <row r="3992" spans="1:25" ht="30" customHeight="1" x14ac:dyDescent="0.35">
      <c r="A3992" s="241" t="s">
        <v>1764</v>
      </c>
      <c r="B3992" s="1122" t="s">
        <v>1765</v>
      </c>
      <c r="C3992" s="1364"/>
      <c r="D3992" s="1365"/>
      <c r="E3992" s="40">
        <v>4875</v>
      </c>
      <c r="F3992" s="3" t="s">
        <v>223</v>
      </c>
      <c r="G3992" s="496"/>
      <c r="H3992" s="498"/>
      <c r="I3992" s="446">
        <v>1.03</v>
      </c>
      <c r="J3992" s="446"/>
      <c r="K3992" s="40">
        <f>+E3992*I3992</f>
        <v>5021.25</v>
      </c>
      <c r="L3992" s="676" t="s">
        <v>223</v>
      </c>
      <c r="M3992" s="173"/>
      <c r="N3992" s="68"/>
      <c r="P3992" s="216"/>
      <c r="Q3992" s="419"/>
      <c r="R3992" s="219"/>
    </row>
    <row r="3993" spans="1:25" ht="30" customHeight="1" x14ac:dyDescent="0.35">
      <c r="A3993" s="241" t="s">
        <v>1764</v>
      </c>
      <c r="B3993" s="1122" t="s">
        <v>1766</v>
      </c>
      <c r="C3993" s="1364"/>
      <c r="D3993" s="1365"/>
      <c r="E3993" s="40">
        <v>4700</v>
      </c>
      <c r="F3993" s="3" t="s">
        <v>223</v>
      </c>
      <c r="G3993" s="74"/>
      <c r="H3993" s="498"/>
      <c r="I3993" s="446">
        <v>1.03</v>
      </c>
      <c r="J3993" s="446"/>
      <c r="K3993" s="40">
        <f>+E3993*I3993</f>
        <v>4841</v>
      </c>
      <c r="L3993" s="676" t="s">
        <v>223</v>
      </c>
      <c r="M3993" s="173"/>
      <c r="N3993" s="68"/>
      <c r="P3993" s="216"/>
      <c r="Q3993" s="419"/>
      <c r="R3993" s="219"/>
      <c r="T3993" s="51"/>
      <c r="U3993" s="171"/>
    </row>
    <row r="3994" spans="1:25" ht="30" customHeight="1" x14ac:dyDescent="0.35">
      <c r="A3994" s="717"/>
      <c r="B3994" s="1102"/>
      <c r="C3994" s="1102"/>
      <c r="D3994" s="1102"/>
      <c r="E3994" s="453"/>
      <c r="F3994" s="446"/>
      <c r="G3994" s="446"/>
      <c r="H3994" s="446"/>
      <c r="I3994" s="446"/>
      <c r="J3994" s="446" t="s">
        <v>304</v>
      </c>
      <c r="K3994" s="453">
        <f>AVERAGE(K3992:K3993)</f>
        <v>4931.125</v>
      </c>
      <c r="L3994" s="243" t="s">
        <v>223</v>
      </c>
      <c r="M3994" s="173"/>
      <c r="N3994" s="68"/>
      <c r="P3994" s="218"/>
      <c r="Q3994" s="68"/>
      <c r="R3994" s="217"/>
      <c r="T3994" s="51"/>
      <c r="U3994" s="171"/>
    </row>
    <row r="3995" spans="1:25" ht="30" customHeight="1" x14ac:dyDescent="0.35">
      <c r="A3995" s="241"/>
      <c r="B3995" s="506"/>
      <c r="C3995" s="506"/>
      <c r="D3995" s="506"/>
      <c r="E3995" s="453"/>
      <c r="F3995" s="1029" t="s">
        <v>302</v>
      </c>
      <c r="G3995" s="1058" t="s">
        <v>303</v>
      </c>
      <c r="H3995" s="1058"/>
      <c r="I3995" s="1058"/>
      <c r="J3995" s="1058"/>
      <c r="K3995" s="612">
        <v>1.07</v>
      </c>
      <c r="L3995" s="243"/>
      <c r="M3995" s="173"/>
      <c r="N3995" s="68"/>
      <c r="P3995" s="171"/>
      <c r="Q3995" s="171"/>
      <c r="R3995" s="171"/>
      <c r="S3995" s="51"/>
      <c r="T3995" s="51"/>
      <c r="U3995" s="171"/>
    </row>
    <row r="3996" spans="1:25" ht="30" customHeight="1" x14ac:dyDescent="0.35">
      <c r="A3996" s="241"/>
      <c r="B3996" s="506"/>
      <c r="C3996" s="506"/>
      <c r="D3996" s="506"/>
      <c r="E3996" s="453"/>
      <c r="F3996" s="1030"/>
      <c r="G3996" s="1073" t="s">
        <v>2374</v>
      </c>
      <c r="H3996" s="1073"/>
      <c r="I3996" s="1073"/>
      <c r="J3996" s="1073"/>
      <c r="K3996" s="612">
        <v>1.08</v>
      </c>
      <c r="L3996" s="243"/>
      <c r="M3996" s="173"/>
      <c r="N3996" s="68"/>
      <c r="P3996" s="171"/>
      <c r="Q3996" s="171"/>
      <c r="R3996" s="171"/>
      <c r="S3996" s="51"/>
      <c r="T3996" s="208"/>
      <c r="U3996" s="75"/>
      <c r="V3996" s="208"/>
      <c r="W3996" s="208"/>
      <c r="X3996" s="208"/>
    </row>
    <row r="3997" spans="1:25" ht="30" customHeight="1" x14ac:dyDescent="0.35">
      <c r="A3997" s="241"/>
      <c r="B3997" s="446"/>
      <c r="C3997" s="458"/>
      <c r="D3997" s="458"/>
      <c r="E3997" s="458"/>
      <c r="F3997" s="458"/>
      <c r="G3997" s="458"/>
      <c r="H3997" s="458"/>
      <c r="I3997" s="458"/>
      <c r="J3997" s="446" t="s">
        <v>2356</v>
      </c>
      <c r="K3997" s="591">
        <f>+K3994*K3995/K3996</f>
        <v>4885.4664351851852</v>
      </c>
      <c r="L3997" s="243" t="s">
        <v>223</v>
      </c>
      <c r="M3997" s="173"/>
      <c r="N3997" s="68"/>
      <c r="P3997" s="171"/>
      <c r="Q3997" s="171"/>
      <c r="R3997" s="171"/>
      <c r="S3997" s="51"/>
      <c r="U3997" s="171"/>
      <c r="Y3997" s="208"/>
    </row>
    <row r="3998" spans="1:25" ht="30" customHeight="1" x14ac:dyDescent="0.35">
      <c r="A3998" s="241"/>
      <c r="B3998" s="446"/>
      <c r="C3998" s="458"/>
      <c r="D3998" s="458"/>
      <c r="E3998" s="458"/>
      <c r="F3998" s="458"/>
      <c r="G3998" s="613" t="s">
        <v>2359</v>
      </c>
      <c r="H3998" s="458"/>
      <c r="I3998" s="458"/>
      <c r="J3998" s="583">
        <f>VLOOKUP(B3990,'Mil Cost Premiums for PUCs'!$A$4:$R$272,18,FALSE)</f>
        <v>1.0905505199999999</v>
      </c>
      <c r="K3998" s="591">
        <f>+K3997*J3998</f>
        <v>5327.8479613337495</v>
      </c>
      <c r="L3998" s="243" t="s">
        <v>223</v>
      </c>
      <c r="M3998" s="173"/>
      <c r="N3998" s="419"/>
      <c r="P3998" s="208"/>
      <c r="Q3998" s="208"/>
      <c r="R3998" s="208"/>
      <c r="S3998" s="208"/>
      <c r="U3998" s="171"/>
    </row>
    <row r="3999" spans="1:25" ht="60" customHeight="1" x14ac:dyDescent="0.35">
      <c r="A3999" s="1064" t="s">
        <v>1767</v>
      </c>
      <c r="B3999" s="1065"/>
      <c r="C3999" s="1065"/>
      <c r="D3999" s="1065"/>
      <c r="E3999" s="1065"/>
      <c r="F3999" s="1065"/>
      <c r="G3999" s="1065"/>
      <c r="H3999" s="1065"/>
      <c r="I3999" s="1065"/>
      <c r="J3999" s="1065"/>
      <c r="K3999" s="1065"/>
      <c r="L3999" s="1066"/>
      <c r="M3999" s="173"/>
      <c r="N3999" s="419"/>
      <c r="T3999" s="51"/>
    </row>
    <row r="4000" spans="1:25" s="208" customFormat="1" ht="60" customHeight="1" x14ac:dyDescent="0.35">
      <c r="A4000" s="1077" t="s">
        <v>306</v>
      </c>
      <c r="B4000" s="1042"/>
      <c r="C4000" s="1043"/>
      <c r="D4000" s="1067" t="s">
        <v>2262</v>
      </c>
      <c r="E4000" s="1065"/>
      <c r="F4000" s="1065"/>
      <c r="G4000" s="1065"/>
      <c r="H4000" s="1065"/>
      <c r="I4000" s="1065"/>
      <c r="J4000" s="1065"/>
      <c r="K4000" s="1065"/>
      <c r="L4000" s="1066"/>
      <c r="M4000" s="173"/>
      <c r="N4000" s="68"/>
      <c r="O4000" s="203"/>
      <c r="P4000" s="203"/>
      <c r="Q4000" s="203"/>
      <c r="R4000" s="203"/>
      <c r="S4000" s="203"/>
      <c r="T4000" s="51"/>
      <c r="U4000" s="203"/>
      <c r="V4000" s="203"/>
      <c r="W4000" s="203"/>
      <c r="X4000" s="203"/>
      <c r="Y4000" s="203"/>
    </row>
    <row r="4001" spans="1:25" ht="30" customHeight="1" x14ac:dyDescent="0.35">
      <c r="A4001" s="1077" t="s">
        <v>307</v>
      </c>
      <c r="B4001" s="1042"/>
      <c r="C4001" s="1043"/>
      <c r="D4001" s="1067" t="s">
        <v>1768</v>
      </c>
      <c r="E4001" s="1065"/>
      <c r="F4001" s="1065"/>
      <c r="G4001" s="1065"/>
      <c r="H4001" s="1065"/>
      <c r="I4001" s="1065"/>
      <c r="J4001" s="1065"/>
      <c r="K4001" s="1065"/>
      <c r="L4001" s="1066"/>
      <c r="M4001" s="173"/>
      <c r="N4001" s="68"/>
      <c r="O4001" s="203"/>
      <c r="P4001" s="171"/>
      <c r="Q4001" s="171"/>
      <c r="R4001" s="171"/>
      <c r="S4001" s="51"/>
    </row>
    <row r="4002" spans="1:25" ht="30" customHeight="1" x14ac:dyDescent="0.35">
      <c r="A4002" s="1077" t="s">
        <v>308</v>
      </c>
      <c r="B4002" s="1042"/>
      <c r="C4002" s="1043"/>
      <c r="D4002" s="1067" t="s">
        <v>3186</v>
      </c>
      <c r="E4002" s="1065"/>
      <c r="F4002" s="1065"/>
      <c r="G4002" s="1065"/>
      <c r="H4002" s="1065"/>
      <c r="I4002" s="1065"/>
      <c r="J4002" s="1065"/>
      <c r="K4002" s="1065"/>
      <c r="L4002" s="1066"/>
      <c r="M4002" s="173"/>
      <c r="N4002" s="68"/>
      <c r="O4002" s="203"/>
      <c r="P4002" s="171"/>
      <c r="Q4002" s="171"/>
      <c r="R4002" s="171"/>
      <c r="S4002" s="51"/>
    </row>
    <row r="4003" spans="1:25" ht="45" customHeight="1" x14ac:dyDescent="0.35">
      <c r="A4003" s="1077" t="s">
        <v>309</v>
      </c>
      <c r="B4003" s="1042"/>
      <c r="C4003" s="1043"/>
      <c r="D4003" s="1067" t="s">
        <v>1769</v>
      </c>
      <c r="E4003" s="1065"/>
      <c r="F4003" s="1065"/>
      <c r="G4003" s="1065"/>
      <c r="H4003" s="1065"/>
      <c r="I4003" s="1065"/>
      <c r="J4003" s="1065"/>
      <c r="K4003" s="1065"/>
      <c r="L4003" s="1066"/>
      <c r="M4003" s="173"/>
      <c r="O4003" s="208"/>
      <c r="P4003" s="218"/>
      <c r="Q4003" s="68"/>
      <c r="R4003" s="217"/>
    </row>
    <row r="4004" spans="1:25" ht="30" customHeight="1" x14ac:dyDescent="0.35">
      <c r="A4004" s="1077" t="s">
        <v>311</v>
      </c>
      <c r="B4004" s="1042"/>
      <c r="C4004" s="1043"/>
      <c r="D4004" s="1067" t="s">
        <v>1749</v>
      </c>
      <c r="E4004" s="1065"/>
      <c r="F4004" s="1065"/>
      <c r="G4004" s="1065"/>
      <c r="H4004" s="1065"/>
      <c r="I4004" s="1065"/>
      <c r="J4004" s="1065"/>
      <c r="K4004" s="1065"/>
      <c r="L4004" s="1066"/>
      <c r="M4004" s="173"/>
      <c r="N4004" s="208"/>
      <c r="O4004" s="203"/>
      <c r="P4004" s="218"/>
      <c r="Q4004" s="68"/>
      <c r="R4004" s="217"/>
      <c r="T4004" s="208"/>
      <c r="U4004" s="208"/>
      <c r="V4004" s="208"/>
      <c r="W4004" s="208"/>
      <c r="X4004" s="208"/>
    </row>
    <row r="4005" spans="1:25" ht="30" customHeight="1" x14ac:dyDescent="0.35">
      <c r="A4005" s="1077" t="s">
        <v>313</v>
      </c>
      <c r="B4005" s="1042"/>
      <c r="C4005" s="1043"/>
      <c r="D4005" s="1067" t="s">
        <v>1682</v>
      </c>
      <c r="E4005" s="1065"/>
      <c r="F4005" s="1065"/>
      <c r="G4005" s="1065"/>
      <c r="H4005" s="1065"/>
      <c r="I4005" s="1065"/>
      <c r="J4005" s="1065"/>
      <c r="K4005" s="1065"/>
      <c r="L4005" s="1066"/>
      <c r="M4005" s="173"/>
      <c r="O4005" s="203"/>
      <c r="P4005" s="218"/>
      <c r="Q4005" s="68"/>
      <c r="R4005" s="217"/>
      <c r="Y4005" s="208"/>
    </row>
    <row r="4006" spans="1:25" ht="30" customHeight="1" x14ac:dyDescent="0.35">
      <c r="A4006" s="1077" t="s">
        <v>315</v>
      </c>
      <c r="B4006" s="1042"/>
      <c r="C4006" s="1043"/>
      <c r="D4006" s="1067" t="s">
        <v>1683</v>
      </c>
      <c r="E4006" s="1065"/>
      <c r="F4006" s="1065"/>
      <c r="G4006" s="1065"/>
      <c r="H4006" s="1065"/>
      <c r="I4006" s="1065"/>
      <c r="J4006" s="1065"/>
      <c r="K4006" s="1065"/>
      <c r="L4006" s="1066"/>
      <c r="M4006" s="173"/>
      <c r="O4006" s="203"/>
      <c r="P4006" s="218"/>
      <c r="Q4006" s="68"/>
      <c r="R4006" s="217"/>
      <c r="S4006" s="208"/>
    </row>
    <row r="4007" spans="1:25" ht="45" customHeight="1" x14ac:dyDescent="0.35">
      <c r="A4007" s="1077" t="s">
        <v>316</v>
      </c>
      <c r="B4007" s="1042"/>
      <c r="C4007" s="1043"/>
      <c r="D4007" s="1067" t="s">
        <v>1770</v>
      </c>
      <c r="E4007" s="1065"/>
      <c r="F4007" s="1065"/>
      <c r="G4007" s="1065"/>
      <c r="H4007" s="1065"/>
      <c r="I4007" s="1065"/>
      <c r="J4007" s="1065"/>
      <c r="K4007" s="1065"/>
      <c r="L4007" s="1066"/>
      <c r="M4007" s="173"/>
      <c r="O4007" s="203"/>
      <c r="P4007" s="218"/>
      <c r="Q4007" s="68"/>
      <c r="R4007" s="217"/>
    </row>
    <row r="4008" spans="1:25" s="208" customFormat="1" ht="120" customHeight="1" thickBot="1" x14ac:dyDescent="0.4">
      <c r="A4008" s="1078" t="s">
        <v>318</v>
      </c>
      <c r="B4008" s="1079"/>
      <c r="C4008" s="1080"/>
      <c r="D4008" s="1068" t="s">
        <v>3158</v>
      </c>
      <c r="E4008" s="1069"/>
      <c r="F4008" s="1069"/>
      <c r="G4008" s="1069"/>
      <c r="H4008" s="1069"/>
      <c r="I4008" s="1069"/>
      <c r="J4008" s="1069"/>
      <c r="K4008" s="1069"/>
      <c r="L4008" s="1070"/>
      <c r="M4008" s="173"/>
      <c r="N4008" s="203"/>
      <c r="O4008" s="203"/>
      <c r="P4008" s="218"/>
      <c r="Q4008" s="68"/>
      <c r="R4008" s="217"/>
      <c r="S4008" s="203"/>
      <c r="T4008" s="203"/>
      <c r="U4008" s="203"/>
      <c r="V4008" s="203"/>
      <c r="W4008" s="203"/>
      <c r="X4008" s="203"/>
      <c r="Y4008" s="203"/>
    </row>
    <row r="4009" spans="1:25" ht="30" customHeight="1" thickBot="1" x14ac:dyDescent="0.4">
      <c r="A4009" s="481"/>
      <c r="B4009" s="482"/>
      <c r="C4009" s="482"/>
      <c r="D4009" s="482"/>
      <c r="E4009" s="482"/>
      <c r="F4009" s="482"/>
      <c r="G4009" s="482"/>
      <c r="H4009" s="482"/>
      <c r="I4009" s="482"/>
      <c r="J4009" s="482"/>
      <c r="K4009" s="482"/>
      <c r="L4009" s="483"/>
      <c r="M4009" s="173"/>
      <c r="O4009" s="203"/>
      <c r="P4009" s="218"/>
      <c r="Q4009" s="68"/>
      <c r="R4009" s="217"/>
    </row>
    <row r="4010" spans="1:25" ht="30" customHeight="1" x14ac:dyDescent="0.35">
      <c r="A4010" s="465" t="s">
        <v>278</v>
      </c>
      <c r="B4010" s="539">
        <v>8271</v>
      </c>
      <c r="C4010" s="1060" t="s">
        <v>1771</v>
      </c>
      <c r="D4010" s="1061"/>
      <c r="E4010" s="541" t="s">
        <v>280</v>
      </c>
      <c r="F4010" s="542" t="s">
        <v>6</v>
      </c>
      <c r="G4010" s="543" t="s">
        <v>285</v>
      </c>
      <c r="H4010" s="875">
        <v>5379</v>
      </c>
      <c r="I4010" s="541" t="s">
        <v>281</v>
      </c>
      <c r="J4010" s="1019" t="s">
        <v>2371</v>
      </c>
      <c r="K4010" s="1019"/>
      <c r="L4010" s="1020"/>
      <c r="M4010" s="173"/>
      <c r="O4010" s="171"/>
      <c r="P4010" s="218"/>
      <c r="Q4010" s="68"/>
      <c r="R4010" s="217"/>
    </row>
    <row r="4011" spans="1:25" ht="30" customHeight="1" x14ac:dyDescent="0.35">
      <c r="A4011" s="588" t="s">
        <v>298</v>
      </c>
      <c r="B4011" s="1038" t="s">
        <v>321</v>
      </c>
      <c r="C4011" s="1039"/>
      <c r="D4011" s="1040"/>
      <c r="E4011" s="23" t="s">
        <v>290</v>
      </c>
      <c r="F4011" s="23" t="s">
        <v>322</v>
      </c>
      <c r="G4011" s="1034" t="s">
        <v>323</v>
      </c>
      <c r="H4011" s="1035"/>
      <c r="I4011" s="509" t="s">
        <v>299</v>
      </c>
      <c r="J4011" s="509"/>
      <c r="K4011" s="595" t="s">
        <v>292</v>
      </c>
      <c r="L4011" s="739"/>
      <c r="M4011" s="173"/>
      <c r="N4011" s="68"/>
      <c r="O4011" s="171"/>
      <c r="P4011" s="218"/>
      <c r="Q4011" s="68"/>
      <c r="R4011" s="217"/>
    </row>
    <row r="4012" spans="1:25" ht="30" customHeight="1" x14ac:dyDescent="0.35">
      <c r="A4012" s="241" t="s">
        <v>1772</v>
      </c>
      <c r="B4012" s="1082" t="s">
        <v>2457</v>
      </c>
      <c r="C4012" s="1083"/>
      <c r="D4012" s="1093"/>
      <c r="E4012" s="40">
        <f>+(51+58)/2</f>
        <v>54.5</v>
      </c>
      <c r="F4012" s="3" t="s">
        <v>6</v>
      </c>
      <c r="G4012" s="496"/>
      <c r="H4012" s="498"/>
      <c r="I4012" s="446">
        <v>1.04</v>
      </c>
      <c r="J4012" s="3"/>
      <c r="K4012" s="591">
        <f>+E4012*I4012</f>
        <v>56.68</v>
      </c>
      <c r="L4012" s="676" t="s">
        <v>6</v>
      </c>
      <c r="M4012" s="173"/>
      <c r="N4012" s="68"/>
      <c r="O4012" s="203"/>
      <c r="P4012" s="218"/>
      <c r="Q4012" s="68"/>
      <c r="R4012" s="217"/>
    </row>
    <row r="4013" spans="1:25" ht="30" customHeight="1" x14ac:dyDescent="0.35">
      <c r="A4013" s="241" t="s">
        <v>1772</v>
      </c>
      <c r="B4013" s="1031" t="s">
        <v>1773</v>
      </c>
      <c r="C4013" s="1032"/>
      <c r="D4013" s="1033"/>
      <c r="E4013" s="40">
        <f>+(51+58)/2</f>
        <v>54.5</v>
      </c>
      <c r="F4013" s="3" t="s">
        <v>6</v>
      </c>
      <c r="G4013" s="917"/>
      <c r="H4013" s="495"/>
      <c r="I4013" s="446">
        <v>1.04</v>
      </c>
      <c r="J4013" s="446"/>
      <c r="K4013" s="40">
        <f>+K4012</f>
        <v>56.68</v>
      </c>
      <c r="L4013" s="676" t="s">
        <v>6</v>
      </c>
      <c r="M4013" s="173"/>
      <c r="N4013" s="68"/>
      <c r="O4013" s="203"/>
      <c r="P4013" s="216"/>
      <c r="Q4013" s="419"/>
      <c r="R4013" s="219"/>
    </row>
    <row r="4014" spans="1:25" ht="30" customHeight="1" x14ac:dyDescent="0.35">
      <c r="A4014" s="241" t="s">
        <v>1774</v>
      </c>
      <c r="B4014" s="1031" t="s">
        <v>2458</v>
      </c>
      <c r="C4014" s="1032"/>
      <c r="D4014" s="1033"/>
      <c r="E4014" s="453">
        <f>+(2925+4925)/2</f>
        <v>3925</v>
      </c>
      <c r="F4014" s="639" t="s">
        <v>10</v>
      </c>
      <c r="G4014" s="738">
        <v>316</v>
      </c>
      <c r="H4014" s="655" t="s">
        <v>1944</v>
      </c>
      <c r="I4014" s="446">
        <v>1.04</v>
      </c>
      <c r="J4014" s="3"/>
      <c r="K4014" s="629">
        <f>+E4014/G4014*I4014</f>
        <v>12.917721518987342</v>
      </c>
      <c r="L4014" s="243" t="s">
        <v>6</v>
      </c>
      <c r="M4014" s="173"/>
      <c r="N4014" s="68"/>
      <c r="O4014" s="203"/>
      <c r="P4014" s="216"/>
      <c r="Q4014" s="419"/>
      <c r="R4014" s="219"/>
    </row>
    <row r="4015" spans="1:25" ht="30" customHeight="1" x14ac:dyDescent="0.35">
      <c r="A4015" s="717"/>
      <c r="B4015" s="1102"/>
      <c r="C4015" s="1102"/>
      <c r="D4015" s="1102"/>
      <c r="E4015" s="453"/>
      <c r="F4015" s="446"/>
      <c r="G4015" s="3"/>
      <c r="H4015" s="3"/>
      <c r="I4015" s="446"/>
      <c r="J4015" s="446" t="s">
        <v>335</v>
      </c>
      <c r="K4015" s="453">
        <f>+K4012+K4013+K4014</f>
        <v>126.27772151898733</v>
      </c>
      <c r="L4015" s="243" t="s">
        <v>6</v>
      </c>
      <c r="M4015" s="173"/>
      <c r="N4015" s="68"/>
      <c r="O4015" s="203"/>
      <c r="P4015" s="218"/>
      <c r="Q4015" s="68"/>
      <c r="R4015" s="217"/>
    </row>
    <row r="4016" spans="1:25" ht="30" customHeight="1" x14ac:dyDescent="0.35">
      <c r="A4016" s="241"/>
      <c r="B4016" s="506"/>
      <c r="C4016" s="506"/>
      <c r="D4016" s="506"/>
      <c r="E4016" s="453"/>
      <c r="F4016" s="1029" t="s">
        <v>302</v>
      </c>
      <c r="G4016" s="1058" t="s">
        <v>303</v>
      </c>
      <c r="H4016" s="1058"/>
      <c r="I4016" s="1058"/>
      <c r="J4016" s="1058"/>
      <c r="K4016" s="612">
        <v>1.07</v>
      </c>
      <c r="L4016" s="243"/>
      <c r="M4016" s="173"/>
      <c r="N4016" s="68"/>
      <c r="O4016" s="203"/>
      <c r="P4016" s="218"/>
      <c r="Q4016" s="68"/>
      <c r="R4016" s="217"/>
    </row>
    <row r="4017" spans="1:25" ht="30" customHeight="1" x14ac:dyDescent="0.35">
      <c r="A4017" s="241"/>
      <c r="B4017" s="506"/>
      <c r="C4017" s="506"/>
      <c r="D4017" s="506"/>
      <c r="E4017" s="453"/>
      <c r="F4017" s="1030"/>
      <c r="G4017" s="1073" t="s">
        <v>2374</v>
      </c>
      <c r="H4017" s="1073"/>
      <c r="I4017" s="1073"/>
      <c r="J4017" s="1073"/>
      <c r="K4017" s="612">
        <v>1.08</v>
      </c>
      <c r="L4017" s="918"/>
      <c r="M4017" s="173"/>
      <c r="N4017" s="68"/>
      <c r="O4017" s="203"/>
      <c r="P4017" s="218"/>
      <c r="Q4017" s="68"/>
      <c r="R4017" s="217"/>
    </row>
    <row r="4018" spans="1:25" ht="30" customHeight="1" x14ac:dyDescent="0.35">
      <c r="A4018" s="241"/>
      <c r="B4018" s="446"/>
      <c r="C4018" s="458"/>
      <c r="D4018" s="458"/>
      <c r="E4018" s="458"/>
      <c r="F4018" s="458"/>
      <c r="G4018" s="458"/>
      <c r="H4018" s="458"/>
      <c r="I4018" s="458"/>
      <c r="J4018" s="446" t="s">
        <v>2356</v>
      </c>
      <c r="K4018" s="591">
        <f>+K4015*K4016/K4017</f>
        <v>125.10848335677449</v>
      </c>
      <c r="L4018" s="243" t="s">
        <v>6</v>
      </c>
      <c r="M4018" s="173"/>
      <c r="N4018" s="68"/>
      <c r="O4018" s="203"/>
      <c r="P4018" s="218"/>
      <c r="Q4018" s="68"/>
      <c r="R4018" s="217"/>
    </row>
    <row r="4019" spans="1:25" ht="30" customHeight="1" thickBot="1" x14ac:dyDescent="0.4">
      <c r="A4019" s="241"/>
      <c r="B4019" s="446"/>
      <c r="C4019" s="458"/>
      <c r="D4019" s="458"/>
      <c r="E4019" s="458"/>
      <c r="F4019" s="458"/>
      <c r="G4019" s="592" t="s">
        <v>2358</v>
      </c>
      <c r="H4019" s="458"/>
      <c r="I4019" s="458"/>
      <c r="J4019" s="583">
        <f>VLOOKUP(B4010,'Mil Cost Premiums for PUCs'!$A$4:$R$272,18,FALSE)</f>
        <v>1.0905505199999999</v>
      </c>
      <c r="K4019" s="591">
        <f>+K4018*J4019</f>
        <v>136.43712158114175</v>
      </c>
      <c r="L4019" s="243" t="s">
        <v>6</v>
      </c>
      <c r="M4019" s="173"/>
      <c r="N4019" s="419"/>
      <c r="O4019" s="203"/>
      <c r="P4019" s="218"/>
      <c r="Q4019" s="68"/>
      <c r="R4019" s="217"/>
    </row>
    <row r="4020" spans="1:25" ht="30" customHeight="1" thickBot="1" x14ac:dyDescent="0.4">
      <c r="A4020" s="481"/>
      <c r="B4020" s="482"/>
      <c r="C4020" s="482"/>
      <c r="D4020" s="482"/>
      <c r="E4020" s="482"/>
      <c r="F4020" s="482"/>
      <c r="G4020" s="482"/>
      <c r="H4020" s="482"/>
      <c r="I4020" s="482"/>
      <c r="J4020" s="482"/>
      <c r="K4020" s="482"/>
      <c r="L4020" s="483"/>
      <c r="M4020" s="173"/>
      <c r="N4020" s="419"/>
      <c r="O4020" s="426"/>
      <c r="P4020" s="218"/>
      <c r="Q4020" s="68"/>
      <c r="R4020" s="217"/>
    </row>
    <row r="4021" spans="1:25" ht="30" customHeight="1" x14ac:dyDescent="0.35">
      <c r="A4021" s="465" t="s">
        <v>278</v>
      </c>
      <c r="B4021" s="539">
        <v>8311</v>
      </c>
      <c r="C4021" s="1017" t="s">
        <v>1775</v>
      </c>
      <c r="D4021" s="1018"/>
      <c r="E4021" s="541" t="s">
        <v>280</v>
      </c>
      <c r="F4021" s="542" t="s">
        <v>226</v>
      </c>
      <c r="G4021" s="543" t="s">
        <v>285</v>
      </c>
      <c r="H4021" s="555">
        <v>1155</v>
      </c>
      <c r="I4021" s="541" t="s">
        <v>281</v>
      </c>
      <c r="J4021" s="1019" t="s">
        <v>2425</v>
      </c>
      <c r="K4021" s="1019"/>
      <c r="L4021" s="1020"/>
      <c r="M4021" s="173"/>
      <c r="N4021" s="68"/>
      <c r="O4021" s="203"/>
      <c r="P4021" s="218"/>
      <c r="Q4021" s="68"/>
      <c r="R4021" s="217"/>
    </row>
    <row r="4022" spans="1:25" ht="30" customHeight="1" x14ac:dyDescent="0.35">
      <c r="A4022" s="588" t="s">
        <v>298</v>
      </c>
      <c r="B4022" s="1038" t="s">
        <v>321</v>
      </c>
      <c r="C4022" s="1039"/>
      <c r="D4022" s="1040"/>
      <c r="E4022" s="23" t="s">
        <v>290</v>
      </c>
      <c r="F4022" s="23" t="s">
        <v>322</v>
      </c>
      <c r="G4022" s="1034" t="s">
        <v>323</v>
      </c>
      <c r="H4022" s="1035"/>
      <c r="I4022" s="509" t="s">
        <v>299</v>
      </c>
      <c r="J4022" s="509" t="s">
        <v>405</v>
      </c>
      <c r="K4022" s="595" t="s">
        <v>292</v>
      </c>
      <c r="L4022" s="739"/>
      <c r="M4022" s="173"/>
      <c r="N4022" s="68"/>
      <c r="O4022" s="203"/>
      <c r="P4022" s="218"/>
      <c r="Q4022" s="68"/>
      <c r="R4022" s="217"/>
    </row>
    <row r="4023" spans="1:25" ht="30" customHeight="1" x14ac:dyDescent="0.35">
      <c r="A4023" s="241" t="s">
        <v>1087</v>
      </c>
      <c r="B4023" s="1082" t="s">
        <v>2459</v>
      </c>
      <c r="C4023" s="1083"/>
      <c r="D4023" s="1093"/>
      <c r="E4023" s="40">
        <f>+(4.11+8.55)/2</f>
        <v>6.33</v>
      </c>
      <c r="F4023" s="3" t="s">
        <v>5</v>
      </c>
      <c r="G4023" s="496">
        <v>1000</v>
      </c>
      <c r="H4023" s="498" t="s">
        <v>1782</v>
      </c>
      <c r="I4023" s="446">
        <v>1.05</v>
      </c>
      <c r="J4023" s="178">
        <f>+'2021 MILCON Inflation Table'!$F$14</f>
        <v>1.1198495748855462</v>
      </c>
      <c r="K4023" s="591">
        <f>+E4023*G4023*I4023*J4023</f>
        <v>7443.0801994767826</v>
      </c>
      <c r="L4023" s="676" t="s">
        <v>226</v>
      </c>
      <c r="M4023" s="173"/>
      <c r="N4023" s="68"/>
      <c r="O4023" s="203"/>
      <c r="P4023" s="218"/>
      <c r="Q4023" s="68"/>
      <c r="R4023" s="217"/>
    </row>
    <row r="4024" spans="1:25" ht="30" customHeight="1" x14ac:dyDescent="0.35">
      <c r="A4024" s="241"/>
      <c r="B4024" s="506"/>
      <c r="C4024" s="506"/>
      <c r="D4024" s="506"/>
      <c r="E4024" s="453"/>
      <c r="F4024" s="1029" t="s">
        <v>302</v>
      </c>
      <c r="G4024" s="1058" t="s">
        <v>303</v>
      </c>
      <c r="H4024" s="1058"/>
      <c r="I4024" s="1058"/>
      <c r="J4024" s="1058"/>
      <c r="K4024" s="612">
        <v>1.07</v>
      </c>
      <c r="L4024" s="243"/>
      <c r="M4024" s="173"/>
      <c r="N4024" s="68"/>
      <c r="O4024" s="203"/>
      <c r="P4024" s="218"/>
      <c r="Q4024" s="68"/>
      <c r="R4024" s="217"/>
    </row>
    <row r="4025" spans="1:25" ht="30" customHeight="1" x14ac:dyDescent="0.35">
      <c r="A4025" s="241"/>
      <c r="B4025" s="506"/>
      <c r="C4025" s="506"/>
      <c r="D4025" s="506"/>
      <c r="E4025" s="453"/>
      <c r="F4025" s="1030"/>
      <c r="G4025" s="1073" t="s">
        <v>2374</v>
      </c>
      <c r="H4025" s="1073"/>
      <c r="I4025" s="1073"/>
      <c r="J4025" s="1073"/>
      <c r="K4025" s="612">
        <v>1.08</v>
      </c>
      <c r="L4025" s="243"/>
      <c r="M4025" s="173"/>
      <c r="O4025" s="203"/>
      <c r="P4025" s="218"/>
      <c r="Q4025" s="68"/>
      <c r="R4025" s="217"/>
    </row>
    <row r="4026" spans="1:25" ht="30" customHeight="1" x14ac:dyDescent="0.35">
      <c r="A4026" s="241"/>
      <c r="B4026" s="516"/>
      <c r="C4026" s="570"/>
      <c r="D4026" s="571"/>
      <c r="E4026" s="40"/>
      <c r="F4026" s="3"/>
      <c r="G4026" s="74"/>
      <c r="H4026" s="498"/>
      <c r="I4026" s="446"/>
      <c r="J4026" s="446" t="s">
        <v>2356</v>
      </c>
      <c r="K4026" s="591">
        <f>+K4023*K4024/K4025</f>
        <v>7374.1627902223681</v>
      </c>
      <c r="L4026" s="243" t="s">
        <v>226</v>
      </c>
      <c r="M4026" s="173"/>
      <c r="N4026" s="68"/>
      <c r="O4026" s="208"/>
      <c r="P4026" s="218"/>
      <c r="Q4026" s="68"/>
      <c r="R4026" s="217"/>
    </row>
    <row r="4027" spans="1:25" ht="30" customHeight="1" x14ac:dyDescent="0.35">
      <c r="A4027" s="582"/>
      <c r="B4027" s="505"/>
      <c r="C4027" s="505"/>
      <c r="D4027" s="505"/>
      <c r="E4027" s="64"/>
      <c r="F4027" s="171"/>
      <c r="G4027" s="305"/>
      <c r="H4027" s="171"/>
      <c r="I4027" s="820" t="s">
        <v>2358</v>
      </c>
      <c r="J4027" s="583">
        <f>VLOOKUP(B4021,'Mil Cost Premiums for PUCs'!$A$4:$R$272,18,FALSE)</f>
        <v>1.1199953840399997</v>
      </c>
      <c r="K4027" s="591">
        <f>+K4026*J4027</f>
        <v>8259.0282862085769</v>
      </c>
      <c r="L4027" s="243" t="s">
        <v>226</v>
      </c>
      <c r="M4027" s="173"/>
      <c r="N4027" s="71"/>
      <c r="O4027" s="203"/>
      <c r="P4027" s="218"/>
      <c r="Q4027" s="68"/>
      <c r="R4027" s="217"/>
      <c r="T4027" s="208"/>
      <c r="U4027" s="208"/>
      <c r="V4027" s="208"/>
      <c r="W4027" s="208"/>
      <c r="X4027" s="208"/>
    </row>
    <row r="4028" spans="1:25" ht="60" customHeight="1" x14ac:dyDescent="0.35">
      <c r="A4028" s="1074" t="s">
        <v>305</v>
      </c>
      <c r="B4028" s="1075"/>
      <c r="C4028" s="1075"/>
      <c r="D4028" s="1075"/>
      <c r="E4028" s="1075"/>
      <c r="F4028" s="1075"/>
      <c r="G4028" s="1075"/>
      <c r="H4028" s="1075"/>
      <c r="I4028" s="1075"/>
      <c r="J4028" s="1075"/>
      <c r="K4028" s="1075"/>
      <c r="L4028" s="1076"/>
      <c r="M4028" s="173"/>
      <c r="N4028" s="68"/>
      <c r="O4028" s="203"/>
      <c r="P4028" s="218"/>
      <c r="Q4028" s="68"/>
      <c r="R4028" s="217"/>
      <c r="Y4028" s="208"/>
    </row>
    <row r="4029" spans="1:25" ht="30" customHeight="1" x14ac:dyDescent="0.35">
      <c r="A4029" s="1077" t="s">
        <v>306</v>
      </c>
      <c r="B4029" s="1042"/>
      <c r="C4029" s="1043"/>
      <c r="D4029" s="1067" t="s">
        <v>1776</v>
      </c>
      <c r="E4029" s="1065"/>
      <c r="F4029" s="1065"/>
      <c r="G4029" s="1065"/>
      <c r="H4029" s="1065"/>
      <c r="I4029" s="1065"/>
      <c r="J4029" s="1065"/>
      <c r="K4029" s="1065"/>
      <c r="L4029" s="1066"/>
      <c r="M4029" s="173"/>
      <c r="N4029" s="68"/>
      <c r="O4029" s="171"/>
      <c r="P4029" s="218"/>
      <c r="Q4029" s="68"/>
      <c r="R4029" s="217"/>
      <c r="S4029" s="208"/>
    </row>
    <row r="4030" spans="1:25" ht="105" customHeight="1" x14ac:dyDescent="0.35">
      <c r="A4030" s="1077" t="s">
        <v>307</v>
      </c>
      <c r="B4030" s="1042"/>
      <c r="C4030" s="1043"/>
      <c r="D4030" s="1067" t="s">
        <v>1777</v>
      </c>
      <c r="E4030" s="1065"/>
      <c r="F4030" s="1065"/>
      <c r="G4030" s="1065"/>
      <c r="H4030" s="1065"/>
      <c r="I4030" s="1065"/>
      <c r="J4030" s="1065"/>
      <c r="K4030" s="1065"/>
      <c r="L4030" s="1066"/>
      <c r="M4030" s="173"/>
      <c r="N4030" s="68"/>
      <c r="O4030" s="171"/>
      <c r="P4030" s="218"/>
      <c r="Q4030" s="68"/>
      <c r="R4030" s="217"/>
    </row>
    <row r="4031" spans="1:25" s="208" customFormat="1" ht="30" customHeight="1" x14ac:dyDescent="0.35">
      <c r="A4031" s="1077" t="s">
        <v>308</v>
      </c>
      <c r="B4031" s="1042"/>
      <c r="C4031" s="1043"/>
      <c r="D4031" s="1067" t="s">
        <v>3185</v>
      </c>
      <c r="E4031" s="1065"/>
      <c r="F4031" s="1065"/>
      <c r="G4031" s="1065"/>
      <c r="H4031" s="1065"/>
      <c r="I4031" s="1065"/>
      <c r="J4031" s="1065"/>
      <c r="K4031" s="1065"/>
      <c r="L4031" s="1066"/>
      <c r="M4031" s="173"/>
      <c r="N4031" s="203"/>
      <c r="O4031" s="203"/>
      <c r="P4031" s="218"/>
      <c r="Q4031" s="68"/>
      <c r="R4031" s="217"/>
      <c r="S4031" s="203"/>
      <c r="T4031" s="203"/>
      <c r="U4031" s="203"/>
      <c r="V4031" s="203"/>
      <c r="W4031" s="203"/>
      <c r="X4031" s="203"/>
      <c r="Y4031" s="203"/>
    </row>
    <row r="4032" spans="1:25" ht="30" customHeight="1" x14ac:dyDescent="0.35">
      <c r="A4032" s="1077" t="s">
        <v>309</v>
      </c>
      <c r="B4032" s="1042"/>
      <c r="C4032" s="1043"/>
      <c r="D4032" s="1067" t="s">
        <v>1778</v>
      </c>
      <c r="E4032" s="1065"/>
      <c r="F4032" s="1065"/>
      <c r="G4032" s="1065"/>
      <c r="H4032" s="1065"/>
      <c r="I4032" s="1065"/>
      <c r="J4032" s="1065"/>
      <c r="K4032" s="1065"/>
      <c r="L4032" s="1066"/>
      <c r="M4032" s="173"/>
      <c r="N4032" s="68"/>
      <c r="O4032" s="203"/>
      <c r="P4032" s="216"/>
      <c r="Q4032" s="419"/>
      <c r="R4032" s="219"/>
    </row>
    <row r="4033" spans="1:25" ht="30" customHeight="1" x14ac:dyDescent="0.35">
      <c r="A4033" s="1077" t="s">
        <v>311</v>
      </c>
      <c r="B4033" s="1042"/>
      <c r="C4033" s="1043"/>
      <c r="D4033" s="1067" t="s">
        <v>1749</v>
      </c>
      <c r="E4033" s="1065"/>
      <c r="F4033" s="1065"/>
      <c r="G4033" s="1065"/>
      <c r="H4033" s="1065"/>
      <c r="I4033" s="1065"/>
      <c r="J4033" s="1065"/>
      <c r="K4033" s="1065"/>
      <c r="L4033" s="1066"/>
      <c r="M4033" s="173"/>
      <c r="N4033" s="71"/>
      <c r="O4033" s="203"/>
      <c r="P4033" s="216"/>
      <c r="Q4033" s="419"/>
      <c r="R4033" s="219"/>
    </row>
    <row r="4034" spans="1:25" ht="30" customHeight="1" x14ac:dyDescent="0.35">
      <c r="A4034" s="1077" t="s">
        <v>313</v>
      </c>
      <c r="B4034" s="1042"/>
      <c r="C4034" s="1043"/>
      <c r="D4034" s="1067" t="s">
        <v>4</v>
      </c>
      <c r="E4034" s="1065"/>
      <c r="F4034" s="1065"/>
      <c r="G4034" s="1065"/>
      <c r="H4034" s="1065"/>
      <c r="I4034" s="1065"/>
      <c r="J4034" s="1065"/>
      <c r="K4034" s="1065"/>
      <c r="L4034" s="1066"/>
      <c r="M4034" s="173"/>
      <c r="N4034" s="425"/>
      <c r="O4034" s="203"/>
      <c r="P4034" s="218"/>
      <c r="Q4034" s="68"/>
      <c r="R4034" s="217"/>
    </row>
    <row r="4035" spans="1:25" ht="30" customHeight="1" x14ac:dyDescent="0.35">
      <c r="A4035" s="1077" t="s">
        <v>315</v>
      </c>
      <c r="B4035" s="1042"/>
      <c r="C4035" s="1043"/>
      <c r="D4035" s="1067" t="s">
        <v>1682</v>
      </c>
      <c r="E4035" s="1065"/>
      <c r="F4035" s="1065"/>
      <c r="G4035" s="1065"/>
      <c r="H4035" s="1065"/>
      <c r="I4035" s="1065"/>
      <c r="J4035" s="1065"/>
      <c r="K4035" s="1065"/>
      <c r="L4035" s="1066"/>
      <c r="M4035" s="173"/>
      <c r="N4035" s="422"/>
      <c r="O4035" s="208"/>
      <c r="P4035" s="218"/>
      <c r="Q4035" s="68"/>
      <c r="R4035" s="217"/>
    </row>
    <row r="4036" spans="1:25" ht="60" customHeight="1" x14ac:dyDescent="0.35">
      <c r="A4036" s="1077" t="s">
        <v>316</v>
      </c>
      <c r="B4036" s="1042"/>
      <c r="C4036" s="1043"/>
      <c r="D4036" s="1067" t="s">
        <v>1779</v>
      </c>
      <c r="E4036" s="1065"/>
      <c r="F4036" s="1065"/>
      <c r="G4036" s="1065"/>
      <c r="H4036" s="1065"/>
      <c r="I4036" s="1065"/>
      <c r="J4036" s="1065"/>
      <c r="K4036" s="1065"/>
      <c r="L4036" s="1066"/>
      <c r="M4036" s="173"/>
      <c r="N4036" s="208"/>
      <c r="O4036" s="208"/>
      <c r="P4036" s="263"/>
      <c r="Q4036" s="208"/>
      <c r="R4036" s="208"/>
      <c r="S4036" s="208"/>
      <c r="T4036" s="208"/>
      <c r="U4036" s="208"/>
      <c r="V4036" s="208"/>
      <c r="W4036" s="208"/>
      <c r="X4036" s="208"/>
      <c r="Y4036" s="208"/>
    </row>
    <row r="4037" spans="1:25" ht="105" customHeight="1" thickBot="1" x14ac:dyDescent="0.4">
      <c r="A4037" s="1078" t="s">
        <v>318</v>
      </c>
      <c r="B4037" s="1079"/>
      <c r="C4037" s="1080"/>
      <c r="D4037" s="1068" t="s">
        <v>2263</v>
      </c>
      <c r="E4037" s="1069"/>
      <c r="F4037" s="1069"/>
      <c r="G4037" s="1069"/>
      <c r="H4037" s="1069"/>
      <c r="I4037" s="1069"/>
      <c r="J4037" s="1069"/>
      <c r="K4037" s="1069"/>
      <c r="L4037" s="1070"/>
      <c r="M4037" s="173"/>
      <c r="N4037" s="68"/>
      <c r="O4037" s="203"/>
      <c r="P4037" s="218"/>
      <c r="Q4037" s="68"/>
      <c r="R4037" s="217"/>
      <c r="Y4037" s="208"/>
    </row>
    <row r="4038" spans="1:25" ht="30" customHeight="1" thickBot="1" x14ac:dyDescent="0.4">
      <c r="A4038" s="481"/>
      <c r="B4038" s="482"/>
      <c r="C4038" s="482"/>
      <c r="D4038" s="482"/>
      <c r="E4038" s="482"/>
      <c r="F4038" s="482"/>
      <c r="G4038" s="482"/>
      <c r="H4038" s="482"/>
      <c r="I4038" s="482"/>
      <c r="J4038" s="482"/>
      <c r="K4038" s="482"/>
      <c r="L4038" s="483"/>
      <c r="M4038" s="363"/>
      <c r="N4038" s="419"/>
      <c r="O4038" s="203"/>
      <c r="P4038" s="218"/>
      <c r="Q4038" s="68"/>
      <c r="R4038" s="217"/>
      <c r="S4038" s="208"/>
    </row>
    <row r="4039" spans="1:25" s="208" customFormat="1" ht="30" customHeight="1" x14ac:dyDescent="0.35">
      <c r="A4039" s="465" t="s">
        <v>278</v>
      </c>
      <c r="B4039" s="539">
        <v>8312</v>
      </c>
      <c r="C4039" s="1017" t="s">
        <v>1780</v>
      </c>
      <c r="D4039" s="1018"/>
      <c r="E4039" s="541" t="s">
        <v>280</v>
      </c>
      <c r="F4039" s="542" t="s">
        <v>226</v>
      </c>
      <c r="G4039" s="543" t="s">
        <v>285</v>
      </c>
      <c r="H4039" s="555">
        <v>397</v>
      </c>
      <c r="I4039" s="541" t="s">
        <v>281</v>
      </c>
      <c r="J4039" s="1019" t="s">
        <v>2425</v>
      </c>
      <c r="K4039" s="1019"/>
      <c r="L4039" s="1020"/>
      <c r="M4039" s="173"/>
      <c r="N4039" s="419"/>
      <c r="O4039" s="203"/>
      <c r="P4039" s="218"/>
      <c r="Q4039" s="68"/>
      <c r="R4039" s="217"/>
      <c r="S4039" s="203"/>
      <c r="T4039" s="203"/>
      <c r="U4039" s="203"/>
      <c r="V4039" s="203"/>
      <c r="W4039" s="203"/>
      <c r="X4039" s="203"/>
      <c r="Y4039" s="203"/>
    </row>
    <row r="4040" spans="1:25" s="208" customFormat="1" ht="30" customHeight="1" x14ac:dyDescent="0.35">
      <c r="A4040" s="588" t="s">
        <v>298</v>
      </c>
      <c r="B4040" s="1038" t="s">
        <v>321</v>
      </c>
      <c r="C4040" s="1039"/>
      <c r="D4040" s="1040"/>
      <c r="E4040" s="23" t="s">
        <v>290</v>
      </c>
      <c r="F4040" s="23" t="s">
        <v>322</v>
      </c>
      <c r="G4040" s="1034" t="s">
        <v>323</v>
      </c>
      <c r="H4040" s="1035"/>
      <c r="I4040" s="509" t="s">
        <v>299</v>
      </c>
      <c r="J4040" s="509" t="s">
        <v>405</v>
      </c>
      <c r="K4040" s="595" t="s">
        <v>292</v>
      </c>
      <c r="L4040" s="739"/>
      <c r="M4040" s="173"/>
      <c r="N4040" s="68"/>
      <c r="O4040" s="203"/>
      <c r="P4040" s="218"/>
      <c r="Q4040" s="68"/>
      <c r="R4040" s="217"/>
      <c r="S4040" s="203"/>
      <c r="T4040" s="203"/>
      <c r="U4040" s="203"/>
      <c r="V4040" s="203"/>
      <c r="W4040" s="203"/>
      <c r="X4040" s="203"/>
      <c r="Y4040" s="203"/>
    </row>
    <row r="4041" spans="1:25" ht="30" customHeight="1" x14ac:dyDescent="0.35">
      <c r="A4041" s="241" t="s">
        <v>1087</v>
      </c>
      <c r="B4041" s="1082" t="s">
        <v>1781</v>
      </c>
      <c r="C4041" s="1083"/>
      <c r="D4041" s="1093"/>
      <c r="E4041" s="40">
        <f>+(4.11+8.55)/2</f>
        <v>6.33</v>
      </c>
      <c r="F4041" s="3" t="s">
        <v>5</v>
      </c>
      <c r="G4041" s="496">
        <v>1000</v>
      </c>
      <c r="H4041" s="498" t="s">
        <v>1782</v>
      </c>
      <c r="I4041" s="446">
        <v>1.05</v>
      </c>
      <c r="J4041" s="178">
        <f>+'2021 MILCON Inflation Table'!$F$14</f>
        <v>1.1198495748855462</v>
      </c>
      <c r="K4041" s="591">
        <f>+E4041*G4041*I4041*J4041</f>
        <v>7443.0801994767826</v>
      </c>
      <c r="L4041" s="676" t="s">
        <v>226</v>
      </c>
      <c r="M4041" s="173"/>
      <c r="N4041" s="68"/>
      <c r="O4041" s="203"/>
      <c r="P4041" s="218"/>
      <c r="Q4041" s="68"/>
      <c r="R4041" s="217"/>
    </row>
    <row r="4042" spans="1:25" ht="30" customHeight="1" x14ac:dyDescent="0.35">
      <c r="A4042" s="241"/>
      <c r="B4042" s="506"/>
      <c r="C4042" s="506"/>
      <c r="D4042" s="506"/>
      <c r="E4042" s="453"/>
      <c r="F4042" s="1029" t="s">
        <v>302</v>
      </c>
      <c r="G4042" s="1058" t="s">
        <v>303</v>
      </c>
      <c r="H4042" s="1058"/>
      <c r="I4042" s="1058"/>
      <c r="J4042" s="1058"/>
      <c r="K4042" s="612">
        <v>1.07</v>
      </c>
      <c r="L4042" s="243"/>
      <c r="M4042" s="173"/>
      <c r="N4042" s="68"/>
      <c r="O4042" s="203"/>
      <c r="P4042" s="218"/>
      <c r="Q4042" s="68"/>
      <c r="R4042" s="217"/>
    </row>
    <row r="4043" spans="1:25" ht="30" customHeight="1" x14ac:dyDescent="0.35">
      <c r="A4043" s="241"/>
      <c r="B4043" s="506"/>
      <c r="C4043" s="506"/>
      <c r="D4043" s="506"/>
      <c r="E4043" s="453"/>
      <c r="F4043" s="1030"/>
      <c r="G4043" s="1073" t="s">
        <v>2374</v>
      </c>
      <c r="H4043" s="1073"/>
      <c r="I4043" s="1073"/>
      <c r="J4043" s="1073"/>
      <c r="K4043" s="612">
        <v>1.08</v>
      </c>
      <c r="L4043" s="243"/>
      <c r="M4043" s="173"/>
      <c r="N4043" s="68"/>
      <c r="O4043" s="203"/>
      <c r="P4043" s="218"/>
      <c r="Q4043" s="68"/>
      <c r="R4043" s="217"/>
    </row>
    <row r="4044" spans="1:25" ht="30" customHeight="1" x14ac:dyDescent="0.35">
      <c r="A4044" s="241"/>
      <c r="B4044" s="516"/>
      <c r="C4044" s="570"/>
      <c r="D4044" s="571"/>
      <c r="E4044" s="40"/>
      <c r="F4044" s="3"/>
      <c r="G4044" s="74"/>
      <c r="H4044" s="498"/>
      <c r="I4044" s="446"/>
      <c r="J4044" s="446" t="s">
        <v>2356</v>
      </c>
      <c r="K4044" s="591">
        <f>+K4041*K4042/K4043</f>
        <v>7374.1627902223681</v>
      </c>
      <c r="L4044" s="243" t="s">
        <v>226</v>
      </c>
      <c r="M4044" s="173"/>
      <c r="N4044" s="68"/>
      <c r="O4044" s="171"/>
      <c r="P4044" s="218"/>
      <c r="Q4044" s="68"/>
      <c r="R4044" s="217"/>
    </row>
    <row r="4045" spans="1:25" ht="30" customHeight="1" thickBot="1" x14ac:dyDescent="0.4">
      <c r="A4045" s="241"/>
      <c r="B4045" s="446"/>
      <c r="C4045" s="458"/>
      <c r="D4045" s="458"/>
      <c r="E4045" s="458"/>
      <c r="F4045" s="458"/>
      <c r="G4045" s="592" t="s">
        <v>2358</v>
      </c>
      <c r="H4045" s="458"/>
      <c r="I4045" s="458"/>
      <c r="J4045" s="583">
        <f>VLOOKUP(B4039,'Mil Cost Premiums for PUCs'!$A$4:$R$272,18,FALSE)</f>
        <v>1.1199953840399997</v>
      </c>
      <c r="K4045" s="591">
        <f>+K4044*J4045</f>
        <v>8259.0282862085769</v>
      </c>
      <c r="L4045" s="243" t="s">
        <v>226</v>
      </c>
      <c r="M4045" s="173"/>
      <c r="N4045" s="68"/>
      <c r="O4045" s="171"/>
      <c r="P4045" s="218"/>
      <c r="Q4045" s="68"/>
      <c r="R4045" s="217"/>
    </row>
    <row r="4046" spans="1:25" ht="30" customHeight="1" thickBot="1" x14ac:dyDescent="0.4">
      <c r="A4046" s="481"/>
      <c r="B4046" s="482"/>
      <c r="C4046" s="482"/>
      <c r="D4046" s="482"/>
      <c r="E4046" s="482"/>
      <c r="F4046" s="482"/>
      <c r="G4046" s="482"/>
      <c r="H4046" s="482"/>
      <c r="I4046" s="482"/>
      <c r="J4046" s="482"/>
      <c r="K4046" s="482"/>
      <c r="L4046" s="483"/>
      <c r="M4046" s="173"/>
      <c r="O4046" s="203"/>
      <c r="P4046" s="218"/>
      <c r="Q4046" s="68"/>
      <c r="R4046" s="217"/>
    </row>
    <row r="4047" spans="1:25" ht="30" customHeight="1" x14ac:dyDescent="0.35">
      <c r="A4047" s="465" t="s">
        <v>278</v>
      </c>
      <c r="B4047" s="539">
        <v>8313</v>
      </c>
      <c r="C4047" s="1017" t="s">
        <v>1783</v>
      </c>
      <c r="D4047" s="1018"/>
      <c r="E4047" s="541" t="s">
        <v>280</v>
      </c>
      <c r="F4047" s="542" t="s">
        <v>226</v>
      </c>
      <c r="G4047" s="543" t="s">
        <v>285</v>
      </c>
      <c r="H4047" s="555">
        <v>323</v>
      </c>
      <c r="I4047" s="541" t="s">
        <v>281</v>
      </c>
      <c r="J4047" s="1019" t="s">
        <v>2371</v>
      </c>
      <c r="K4047" s="1019"/>
      <c r="L4047" s="1020"/>
      <c r="M4047" s="173"/>
      <c r="O4047" s="203"/>
      <c r="P4047" s="216"/>
      <c r="Q4047" s="419"/>
      <c r="R4047" s="219"/>
    </row>
    <row r="4048" spans="1:25" ht="30" customHeight="1" x14ac:dyDescent="0.35">
      <c r="A4048" s="588" t="s">
        <v>298</v>
      </c>
      <c r="B4048" s="1038" t="s">
        <v>321</v>
      </c>
      <c r="C4048" s="1039"/>
      <c r="D4048" s="1040"/>
      <c r="E4048" s="23" t="s">
        <v>290</v>
      </c>
      <c r="F4048" s="23" t="s">
        <v>322</v>
      </c>
      <c r="G4048" s="1034" t="s">
        <v>323</v>
      </c>
      <c r="H4048" s="1035"/>
      <c r="I4048" s="509" t="s">
        <v>299</v>
      </c>
      <c r="J4048" s="509"/>
      <c r="K4048" s="595" t="s">
        <v>292</v>
      </c>
      <c r="L4048" s="739"/>
      <c r="M4048" s="173"/>
      <c r="O4048" s="203"/>
      <c r="P4048" s="216"/>
      <c r="Q4048" s="419"/>
      <c r="R4048" s="219"/>
    </row>
    <row r="4049" spans="1:25" ht="30" customHeight="1" x14ac:dyDescent="0.35">
      <c r="A4049" s="241" t="s">
        <v>1784</v>
      </c>
      <c r="B4049" s="1082" t="s">
        <v>2460</v>
      </c>
      <c r="C4049" s="1083"/>
      <c r="D4049" s="1093"/>
      <c r="E4049" s="40">
        <v>15500</v>
      </c>
      <c r="F4049" s="3" t="s">
        <v>10</v>
      </c>
      <c r="G4049" s="179">
        <f>+H4047</f>
        <v>323</v>
      </c>
      <c r="H4049" s="498" t="s">
        <v>1785</v>
      </c>
      <c r="I4049" s="665">
        <v>1.06</v>
      </c>
      <c r="J4049" s="3"/>
      <c r="K4049" s="591">
        <f>+E4049/G4049*I4049</f>
        <v>50.866873065015483</v>
      </c>
      <c r="L4049" s="676" t="s">
        <v>226</v>
      </c>
      <c r="M4049" s="173"/>
      <c r="N4049" s="419"/>
      <c r="O4049" s="203"/>
      <c r="P4049" s="218"/>
      <c r="Q4049" s="68"/>
      <c r="R4049" s="217"/>
    </row>
    <row r="4050" spans="1:25" ht="30" customHeight="1" x14ac:dyDescent="0.35">
      <c r="A4050" s="241"/>
      <c r="B4050" s="506"/>
      <c r="C4050" s="506"/>
      <c r="D4050" s="506"/>
      <c r="E4050" s="453"/>
      <c r="F4050" s="1029" t="s">
        <v>302</v>
      </c>
      <c r="G4050" s="1058" t="s">
        <v>303</v>
      </c>
      <c r="H4050" s="1058"/>
      <c r="I4050" s="1058"/>
      <c r="J4050" s="1058"/>
      <c r="K4050" s="612">
        <v>1.07</v>
      </c>
      <c r="L4050" s="243"/>
      <c r="M4050" s="173"/>
      <c r="N4050" s="68"/>
      <c r="O4050" s="208"/>
    </row>
    <row r="4051" spans="1:25" ht="30" customHeight="1" x14ac:dyDescent="0.35">
      <c r="A4051" s="241"/>
      <c r="B4051" s="506"/>
      <c r="C4051" s="506"/>
      <c r="D4051" s="506"/>
      <c r="E4051" s="453"/>
      <c r="F4051" s="1030"/>
      <c r="G4051" s="1073" t="s">
        <v>2374</v>
      </c>
      <c r="H4051" s="1073"/>
      <c r="I4051" s="1073"/>
      <c r="J4051" s="1073"/>
      <c r="K4051" s="612">
        <v>1.08</v>
      </c>
      <c r="L4051" s="243"/>
      <c r="M4051" s="173"/>
      <c r="N4051" s="68"/>
      <c r="O4051" s="203"/>
      <c r="T4051" s="208"/>
      <c r="U4051" s="208"/>
      <c r="V4051" s="208"/>
      <c r="W4051" s="208"/>
      <c r="X4051" s="208"/>
    </row>
    <row r="4052" spans="1:25" ht="30" customHeight="1" x14ac:dyDescent="0.35">
      <c r="A4052" s="241"/>
      <c r="B4052" s="516"/>
      <c r="C4052" s="570"/>
      <c r="D4052" s="571"/>
      <c r="E4052" s="40"/>
      <c r="F4052" s="3"/>
      <c r="G4052" s="74"/>
      <c r="H4052" s="498"/>
      <c r="I4052" s="446"/>
      <c r="J4052" s="446" t="s">
        <v>2356</v>
      </c>
      <c r="K4052" s="591">
        <f>+K4049*K4050/K4051</f>
        <v>50.395883499598675</v>
      </c>
      <c r="L4052" s="243" t="s">
        <v>226</v>
      </c>
      <c r="M4052" s="173"/>
      <c r="O4052" s="203"/>
      <c r="Y4052" s="208"/>
    </row>
    <row r="4053" spans="1:25" ht="30" customHeight="1" thickBot="1" x14ac:dyDescent="0.4">
      <c r="A4053" s="241"/>
      <c r="B4053" s="446"/>
      <c r="C4053" s="458"/>
      <c r="D4053" s="458"/>
      <c r="E4053" s="458"/>
      <c r="F4053" s="458"/>
      <c r="G4053" s="592" t="s">
        <v>2358</v>
      </c>
      <c r="H4053" s="458"/>
      <c r="I4053" s="458"/>
      <c r="J4053" s="583">
        <f>VLOOKUP(B4047,'Mil Cost Premiums for PUCs'!$A$4:$R$272,18,FALSE)</f>
        <v>1.1199953840399997</v>
      </c>
      <c r="K4053" s="591">
        <f>+K4052*J4053</f>
        <v>56.443156894168098</v>
      </c>
      <c r="L4053" s="243" t="s">
        <v>226</v>
      </c>
      <c r="M4053" s="173"/>
      <c r="N4053" s="419"/>
      <c r="O4053" s="203"/>
      <c r="P4053" s="208"/>
      <c r="Q4053" s="208"/>
      <c r="R4053" s="208"/>
      <c r="S4053" s="208"/>
    </row>
    <row r="4054" spans="1:25" ht="30" customHeight="1" thickBot="1" x14ac:dyDescent="0.4">
      <c r="A4054" s="481"/>
      <c r="B4054" s="482"/>
      <c r="C4054" s="482"/>
      <c r="D4054" s="482"/>
      <c r="E4054" s="482"/>
      <c r="F4054" s="482"/>
      <c r="G4054" s="482"/>
      <c r="H4054" s="482"/>
      <c r="I4054" s="482"/>
      <c r="J4054" s="482"/>
      <c r="K4054" s="482"/>
      <c r="L4054" s="483"/>
      <c r="M4054" s="173"/>
      <c r="N4054" s="419"/>
      <c r="O4054" s="203"/>
    </row>
    <row r="4055" spans="1:25" s="208" customFormat="1" ht="30" customHeight="1" x14ac:dyDescent="0.35">
      <c r="A4055" s="465" t="s">
        <v>278</v>
      </c>
      <c r="B4055" s="539">
        <v>8314</v>
      </c>
      <c r="C4055" s="1017" t="s">
        <v>1786</v>
      </c>
      <c r="D4055" s="1018"/>
      <c r="E4055" s="541" t="s">
        <v>280</v>
      </c>
      <c r="F4055" s="542" t="s">
        <v>5</v>
      </c>
      <c r="G4055" s="543" t="s">
        <v>285</v>
      </c>
      <c r="H4055" s="555">
        <v>10277</v>
      </c>
      <c r="I4055" s="541" t="s">
        <v>281</v>
      </c>
      <c r="J4055" s="1019" t="s">
        <v>2371</v>
      </c>
      <c r="K4055" s="1019"/>
      <c r="L4055" s="1020"/>
      <c r="M4055" s="173"/>
      <c r="N4055" s="419"/>
      <c r="O4055" s="203"/>
      <c r="P4055" s="203"/>
      <c r="Q4055" s="203"/>
      <c r="R4055" s="203"/>
      <c r="S4055" s="203"/>
      <c r="T4055" s="203"/>
      <c r="U4055" s="203"/>
      <c r="V4055" s="203"/>
      <c r="W4055" s="203"/>
      <c r="X4055" s="203"/>
      <c r="Y4055" s="203"/>
    </row>
    <row r="4056" spans="1:25" ht="30" customHeight="1" x14ac:dyDescent="0.35">
      <c r="A4056" s="588" t="s">
        <v>298</v>
      </c>
      <c r="B4056" s="1038" t="s">
        <v>321</v>
      </c>
      <c r="C4056" s="1039"/>
      <c r="D4056" s="1040"/>
      <c r="E4056" s="23" t="s">
        <v>290</v>
      </c>
      <c r="F4056" s="23" t="s">
        <v>322</v>
      </c>
      <c r="G4056" s="1034" t="s">
        <v>323</v>
      </c>
      <c r="H4056" s="1035"/>
      <c r="I4056" s="509" t="s">
        <v>299</v>
      </c>
      <c r="J4056" s="509"/>
      <c r="K4056" s="595" t="s">
        <v>292</v>
      </c>
      <c r="L4056" s="739"/>
      <c r="M4056" s="173"/>
      <c r="N4056" s="68"/>
      <c r="O4056" s="208"/>
    </row>
    <row r="4057" spans="1:25" ht="30" customHeight="1" x14ac:dyDescent="0.35">
      <c r="A4057" s="241" t="s">
        <v>475</v>
      </c>
      <c r="B4057" s="516" t="s">
        <v>1787</v>
      </c>
      <c r="C4057" s="570"/>
      <c r="D4057" s="571"/>
      <c r="E4057" s="40">
        <f>+(16300+20300)/2</f>
        <v>18300</v>
      </c>
      <c r="F4057" s="3" t="s">
        <v>10</v>
      </c>
      <c r="G4057" s="76">
        <v>10000</v>
      </c>
      <c r="H4057" s="498" t="s">
        <v>1192</v>
      </c>
      <c r="I4057" s="446">
        <v>1.04</v>
      </c>
      <c r="J4057" s="3"/>
      <c r="K4057" s="591">
        <f>+E4057/G4057*I4057</f>
        <v>1.9032000000000002</v>
      </c>
      <c r="L4057" s="676" t="s">
        <v>5</v>
      </c>
      <c r="M4057" s="173"/>
      <c r="O4057" s="203"/>
      <c r="T4057" s="208"/>
      <c r="U4057" s="208"/>
      <c r="V4057" s="208"/>
      <c r="W4057" s="208"/>
      <c r="X4057" s="208"/>
    </row>
    <row r="4058" spans="1:25" ht="30" customHeight="1" x14ac:dyDescent="0.35">
      <c r="A4058" s="241" t="s">
        <v>475</v>
      </c>
      <c r="B4058" s="1354" t="s">
        <v>3137</v>
      </c>
      <c r="C4058" s="1355"/>
      <c r="D4058" s="1164"/>
      <c r="E4058" s="40">
        <f>+E4057*1.25</f>
        <v>22875</v>
      </c>
      <c r="F4058" s="3" t="s">
        <v>10</v>
      </c>
      <c r="G4058" s="76">
        <v>10000</v>
      </c>
      <c r="H4058" s="498" t="s">
        <v>1192</v>
      </c>
      <c r="I4058" s="446">
        <v>1.04</v>
      </c>
      <c r="J4058" s="3"/>
      <c r="K4058" s="591">
        <f>+E4058/G4058*I4058</f>
        <v>2.379</v>
      </c>
      <c r="L4058" s="676" t="s">
        <v>5</v>
      </c>
      <c r="M4058" s="173"/>
      <c r="N4058" s="71"/>
      <c r="O4058" s="203"/>
      <c r="Y4058" s="208"/>
    </row>
    <row r="4059" spans="1:25" ht="30" customHeight="1" x14ac:dyDescent="0.35">
      <c r="A4059" s="241" t="s">
        <v>475</v>
      </c>
      <c r="B4059" s="1031" t="s">
        <v>1788</v>
      </c>
      <c r="C4059" s="1032"/>
      <c r="D4059" s="1033"/>
      <c r="E4059" s="40">
        <f>+(5850+13400)/2</f>
        <v>9625</v>
      </c>
      <c r="F4059" s="3" t="s">
        <v>10</v>
      </c>
      <c r="G4059" s="76">
        <v>10000</v>
      </c>
      <c r="H4059" s="498" t="s">
        <v>1192</v>
      </c>
      <c r="I4059" s="446">
        <v>1.04</v>
      </c>
      <c r="J4059" s="3"/>
      <c r="K4059" s="591">
        <f>+E4059/G4059*I4059</f>
        <v>1.0010000000000001</v>
      </c>
      <c r="L4059" s="676" t="s">
        <v>5</v>
      </c>
      <c r="M4059" s="173"/>
      <c r="N4059" s="71"/>
      <c r="O4059" s="203"/>
      <c r="P4059" s="208"/>
      <c r="Q4059" s="208"/>
      <c r="R4059" s="208"/>
      <c r="S4059" s="208"/>
    </row>
    <row r="4060" spans="1:25" ht="30" customHeight="1" x14ac:dyDescent="0.35">
      <c r="A4060" s="717"/>
      <c r="B4060" s="1102"/>
      <c r="C4060" s="1102"/>
      <c r="D4060" s="1102"/>
      <c r="E4060" s="453"/>
      <c r="F4060" s="446"/>
      <c r="G4060" s="446"/>
      <c r="H4060" s="446"/>
      <c r="I4060" s="446"/>
      <c r="J4060" s="446" t="s">
        <v>335</v>
      </c>
      <c r="K4060" s="453">
        <f>SUM(K4057:K4059)</f>
        <v>5.2832000000000008</v>
      </c>
      <c r="L4060" s="243" t="s">
        <v>5</v>
      </c>
      <c r="M4060" s="173"/>
      <c r="O4060" s="203"/>
    </row>
    <row r="4061" spans="1:25" s="208" customFormat="1" ht="30" customHeight="1" x14ac:dyDescent="0.35">
      <c r="A4061" s="241"/>
      <c r="B4061" s="506"/>
      <c r="C4061" s="506"/>
      <c r="D4061" s="506"/>
      <c r="E4061" s="453"/>
      <c r="F4061" s="1029" t="s">
        <v>302</v>
      </c>
      <c r="G4061" s="1058" t="s">
        <v>303</v>
      </c>
      <c r="H4061" s="1058"/>
      <c r="I4061" s="1058"/>
      <c r="J4061" s="1058"/>
      <c r="K4061" s="612">
        <v>1.07</v>
      </c>
      <c r="L4061" s="243"/>
      <c r="M4061" s="173"/>
      <c r="N4061" s="203"/>
      <c r="O4061" s="203"/>
      <c r="P4061" s="203"/>
      <c r="Q4061" s="203"/>
      <c r="R4061" s="203"/>
      <c r="S4061" s="203"/>
      <c r="T4061" s="203"/>
      <c r="U4061" s="203"/>
      <c r="V4061" s="203"/>
      <c r="W4061" s="203"/>
      <c r="X4061" s="203"/>
      <c r="Y4061" s="203"/>
    </row>
    <row r="4062" spans="1:25" ht="30" customHeight="1" x14ac:dyDescent="0.35">
      <c r="A4062" s="241"/>
      <c r="B4062" s="506"/>
      <c r="C4062" s="506"/>
      <c r="D4062" s="506"/>
      <c r="E4062" s="453"/>
      <c r="F4062" s="1030"/>
      <c r="G4062" s="1073" t="s">
        <v>2374</v>
      </c>
      <c r="H4062" s="1073"/>
      <c r="I4062" s="1073"/>
      <c r="J4062" s="1073"/>
      <c r="K4062" s="612">
        <v>1.08</v>
      </c>
      <c r="L4062" s="243"/>
      <c r="M4062" s="173"/>
      <c r="O4062" s="203"/>
    </row>
    <row r="4063" spans="1:25" ht="30" customHeight="1" x14ac:dyDescent="0.35">
      <c r="A4063" s="241"/>
      <c r="B4063" s="446"/>
      <c r="C4063" s="458"/>
      <c r="D4063" s="458"/>
      <c r="E4063" s="458"/>
      <c r="F4063" s="458"/>
      <c r="G4063" s="458"/>
      <c r="H4063" s="458"/>
      <c r="I4063" s="458"/>
      <c r="J4063" s="446" t="s">
        <v>2356</v>
      </c>
      <c r="K4063" s="591">
        <f>+K4060*K4061/K4062</f>
        <v>5.2342814814814824</v>
      </c>
      <c r="L4063" s="243" t="s">
        <v>5</v>
      </c>
      <c r="M4063" s="173"/>
      <c r="O4063" s="203"/>
    </row>
    <row r="4064" spans="1:25" ht="30" customHeight="1" thickBot="1" x14ac:dyDescent="0.4">
      <c r="A4064" s="241"/>
      <c r="B4064" s="446"/>
      <c r="C4064" s="458"/>
      <c r="D4064" s="458"/>
      <c r="E4064" s="458"/>
      <c r="F4064" s="458"/>
      <c r="G4064" s="592" t="s">
        <v>2358</v>
      </c>
      <c r="H4064" s="458"/>
      <c r="I4064" s="458"/>
      <c r="J4064" s="583">
        <f>VLOOKUP(B4055,'Mil Cost Premiums for PUCs'!$A$4:$R$272,18,FALSE)</f>
        <v>1.0905505199999999</v>
      </c>
      <c r="K4064" s="591">
        <f>+K4063*J4064</f>
        <v>5.7082483914560003</v>
      </c>
      <c r="L4064" s="243" t="s">
        <v>5</v>
      </c>
      <c r="M4064" s="173"/>
      <c r="O4064" s="208"/>
      <c r="P4064" s="218"/>
      <c r="Q4064" s="68"/>
      <c r="R4064" s="217"/>
    </row>
    <row r="4065" spans="1:25" ht="30" customHeight="1" thickBot="1" x14ac:dyDescent="0.4">
      <c r="A4065" s="481"/>
      <c r="B4065" s="482"/>
      <c r="C4065" s="482"/>
      <c r="D4065" s="482"/>
      <c r="E4065" s="482"/>
      <c r="F4065" s="482"/>
      <c r="G4065" s="482"/>
      <c r="H4065" s="482"/>
      <c r="I4065" s="482"/>
      <c r="J4065" s="482"/>
      <c r="K4065" s="482"/>
      <c r="L4065" s="483"/>
      <c r="M4065" s="173"/>
      <c r="N4065" s="208"/>
      <c r="O4065" s="203"/>
      <c r="P4065" s="218"/>
      <c r="Q4065" s="68"/>
      <c r="R4065" s="217"/>
      <c r="T4065" s="208"/>
      <c r="U4065" s="208"/>
      <c r="V4065" s="208"/>
      <c r="W4065" s="208"/>
      <c r="X4065" s="208"/>
    </row>
    <row r="4066" spans="1:25" ht="30" customHeight="1" x14ac:dyDescent="0.35">
      <c r="A4066" s="465" t="s">
        <v>278</v>
      </c>
      <c r="B4066" s="539">
        <v>8315</v>
      </c>
      <c r="C4066" s="1017" t="s">
        <v>1789</v>
      </c>
      <c r="D4066" s="1018"/>
      <c r="E4066" s="541" t="s">
        <v>280</v>
      </c>
      <c r="F4066" s="542" t="s">
        <v>5</v>
      </c>
      <c r="G4066" s="543" t="s">
        <v>285</v>
      </c>
      <c r="H4066" s="555">
        <v>8333668</v>
      </c>
      <c r="I4066" s="541" t="s">
        <v>281</v>
      </c>
      <c r="J4066" s="1019" t="s">
        <v>2371</v>
      </c>
      <c r="K4066" s="1019"/>
      <c r="L4066" s="1020"/>
      <c r="M4066" s="173"/>
      <c r="N4066" s="425"/>
      <c r="O4066" s="171"/>
      <c r="P4066" s="218"/>
      <c r="Q4066" s="68"/>
      <c r="R4066" s="217"/>
    </row>
    <row r="4067" spans="1:25" ht="30" customHeight="1" x14ac:dyDescent="0.35">
      <c r="A4067" s="588" t="s">
        <v>298</v>
      </c>
      <c r="B4067" s="1038" t="s">
        <v>321</v>
      </c>
      <c r="C4067" s="1039"/>
      <c r="D4067" s="1040"/>
      <c r="E4067" s="23" t="s">
        <v>290</v>
      </c>
      <c r="F4067" s="23" t="s">
        <v>322</v>
      </c>
      <c r="G4067" s="1034" t="s">
        <v>323</v>
      </c>
      <c r="H4067" s="1035"/>
      <c r="I4067" s="509" t="s">
        <v>299</v>
      </c>
      <c r="J4067" s="509"/>
      <c r="K4067" s="595" t="s">
        <v>292</v>
      </c>
      <c r="L4067" s="739"/>
      <c r="M4067" s="173"/>
      <c r="N4067" s="68"/>
      <c r="O4067" s="203"/>
      <c r="P4067" s="218"/>
      <c r="Q4067" s="68"/>
      <c r="R4067" s="217"/>
      <c r="Y4067" s="208"/>
    </row>
    <row r="4068" spans="1:25" ht="30" customHeight="1" x14ac:dyDescent="0.35">
      <c r="A4068" s="241" t="s">
        <v>1790</v>
      </c>
      <c r="B4068" s="516" t="s">
        <v>1791</v>
      </c>
      <c r="C4068" s="570"/>
      <c r="D4068" s="571"/>
      <c r="E4068" s="40">
        <f>+(1.74+2.37)/2</f>
        <v>2.0550000000000002</v>
      </c>
      <c r="F4068" s="3" t="s">
        <v>208</v>
      </c>
      <c r="G4068" s="77">
        <v>7.48</v>
      </c>
      <c r="H4068" s="498" t="s">
        <v>2014</v>
      </c>
      <c r="I4068" s="665">
        <v>1.06</v>
      </c>
      <c r="J4068" s="3"/>
      <c r="K4068" s="585">
        <f>+E4068/G4068*I4068</f>
        <v>0.29121657754010694</v>
      </c>
      <c r="L4068" s="676" t="s">
        <v>5</v>
      </c>
      <c r="M4068" s="173"/>
      <c r="N4068" s="425"/>
      <c r="O4068" s="171"/>
      <c r="P4068" s="218"/>
      <c r="Q4068" s="68"/>
      <c r="R4068" s="217"/>
      <c r="S4068" s="208"/>
    </row>
    <row r="4069" spans="1:25" ht="30" customHeight="1" x14ac:dyDescent="0.35">
      <c r="A4069" s="241" t="s">
        <v>1790</v>
      </c>
      <c r="B4069" s="1031" t="s">
        <v>3138</v>
      </c>
      <c r="C4069" s="1032"/>
      <c r="D4069" s="1033"/>
      <c r="E4069" s="40">
        <f>+(10500+28700)/2</f>
        <v>19600</v>
      </c>
      <c r="F4069" s="3" t="s">
        <v>10</v>
      </c>
      <c r="G4069" s="76">
        <f>+H4066</f>
        <v>8333668</v>
      </c>
      <c r="H4069" s="498" t="s">
        <v>1192</v>
      </c>
      <c r="I4069" s="665">
        <v>1.06</v>
      </c>
      <c r="J4069" s="3"/>
      <c r="K4069" s="915">
        <f>+E4069/G4069*I4069</f>
        <v>2.4930198803216064E-3</v>
      </c>
      <c r="L4069" s="676" t="s">
        <v>5</v>
      </c>
      <c r="M4069" s="173"/>
      <c r="O4069" s="203"/>
      <c r="P4069" s="218"/>
      <c r="Q4069" s="68"/>
      <c r="R4069" s="217"/>
    </row>
    <row r="4070" spans="1:25" s="208" customFormat="1" ht="30" customHeight="1" x14ac:dyDescent="0.35">
      <c r="A4070" s="717"/>
      <c r="B4070" s="1102"/>
      <c r="C4070" s="1102"/>
      <c r="D4070" s="1102"/>
      <c r="E4070" s="453"/>
      <c r="F4070" s="446"/>
      <c r="G4070" s="446"/>
      <c r="H4070" s="446"/>
      <c r="I4070" s="446"/>
      <c r="J4070" s="446" t="s">
        <v>335</v>
      </c>
      <c r="K4070" s="630">
        <f>SUM(K4068:K4069)</f>
        <v>0.29370959742042857</v>
      </c>
      <c r="L4070" s="243" t="s">
        <v>5</v>
      </c>
      <c r="M4070" s="173"/>
      <c r="N4070" s="203"/>
      <c r="O4070" s="203"/>
      <c r="P4070" s="216"/>
      <c r="Q4070" s="419"/>
      <c r="R4070" s="219"/>
      <c r="S4070" s="203"/>
      <c r="T4070" s="203"/>
      <c r="U4070" s="203"/>
      <c r="V4070" s="203"/>
      <c r="W4070" s="203"/>
      <c r="X4070" s="203"/>
      <c r="Y4070" s="203"/>
    </row>
    <row r="4071" spans="1:25" ht="30" customHeight="1" x14ac:dyDescent="0.35">
      <c r="A4071" s="241"/>
      <c r="B4071" s="506"/>
      <c r="C4071" s="506"/>
      <c r="D4071" s="506"/>
      <c r="E4071" s="453"/>
      <c r="F4071" s="1029" t="s">
        <v>302</v>
      </c>
      <c r="G4071" s="1058" t="s">
        <v>303</v>
      </c>
      <c r="H4071" s="1058"/>
      <c r="I4071" s="1058"/>
      <c r="J4071" s="1058"/>
      <c r="K4071" s="612">
        <v>1.07</v>
      </c>
      <c r="L4071" s="243"/>
      <c r="M4071" s="173"/>
      <c r="O4071" s="203"/>
      <c r="P4071" s="218"/>
      <c r="Q4071" s="68"/>
      <c r="R4071" s="217"/>
    </row>
    <row r="4072" spans="1:25" ht="30" customHeight="1" x14ac:dyDescent="0.35">
      <c r="A4072" s="241"/>
      <c r="B4072" s="506"/>
      <c r="C4072" s="506"/>
      <c r="D4072" s="506"/>
      <c r="E4072" s="453"/>
      <c r="F4072" s="1030"/>
      <c r="G4072" s="1073" t="s">
        <v>2374</v>
      </c>
      <c r="H4072" s="1073"/>
      <c r="I4072" s="1073"/>
      <c r="J4072" s="1073"/>
      <c r="K4072" s="612">
        <v>1.08</v>
      </c>
      <c r="L4072" s="243"/>
      <c r="M4072" s="173"/>
      <c r="N4072" s="68"/>
      <c r="O4072" s="203"/>
      <c r="P4072" s="218"/>
      <c r="Q4072" s="68"/>
      <c r="R4072" s="217"/>
    </row>
    <row r="4073" spans="1:25" ht="30" customHeight="1" x14ac:dyDescent="0.35">
      <c r="A4073" s="241"/>
      <c r="B4073" s="446"/>
      <c r="C4073" s="458"/>
      <c r="D4073" s="458"/>
      <c r="E4073" s="458"/>
      <c r="F4073" s="458"/>
      <c r="G4073" s="458"/>
      <c r="H4073" s="458"/>
      <c r="I4073" s="458"/>
      <c r="J4073" s="446" t="s">
        <v>2356</v>
      </c>
      <c r="K4073" s="591">
        <f>+K4070*K4071/K4072</f>
        <v>0.29099006411098016</v>
      </c>
      <c r="L4073" s="243" t="s">
        <v>5</v>
      </c>
      <c r="M4073" s="173"/>
      <c r="N4073" s="68"/>
      <c r="O4073" s="203"/>
      <c r="P4073" s="218"/>
      <c r="Q4073" s="68"/>
      <c r="R4073" s="217"/>
    </row>
    <row r="4074" spans="1:25" ht="30" customHeight="1" thickBot="1" x14ac:dyDescent="0.4">
      <c r="A4074" s="241"/>
      <c r="B4074" s="446"/>
      <c r="C4074" s="458"/>
      <c r="D4074" s="458"/>
      <c r="E4074" s="458"/>
      <c r="F4074" s="458"/>
      <c r="G4074" s="592" t="s">
        <v>2358</v>
      </c>
      <c r="H4074" s="458"/>
      <c r="I4074" s="458"/>
      <c r="J4074" s="583">
        <f>VLOOKUP(B4066,'Mil Cost Premiums for PUCs'!$A$4:$R$272,18,FALSE)</f>
        <v>1.0905505199999999</v>
      </c>
      <c r="K4074" s="591">
        <f>+K4073*J4074</f>
        <v>0.31733936573106269</v>
      </c>
      <c r="L4074" s="243" t="s">
        <v>5</v>
      </c>
      <c r="M4074" s="173"/>
      <c r="N4074" s="68"/>
      <c r="O4074" s="203"/>
      <c r="P4074" s="218"/>
      <c r="Q4074" s="68"/>
      <c r="R4074" s="217"/>
    </row>
    <row r="4075" spans="1:25" ht="30" customHeight="1" thickBot="1" x14ac:dyDescent="0.4">
      <c r="A4075" s="481"/>
      <c r="B4075" s="482"/>
      <c r="C4075" s="482"/>
      <c r="D4075" s="482"/>
      <c r="E4075" s="482"/>
      <c r="F4075" s="482"/>
      <c r="G4075" s="482"/>
      <c r="H4075" s="482"/>
      <c r="I4075" s="482"/>
      <c r="J4075" s="482"/>
      <c r="K4075" s="482"/>
      <c r="L4075" s="483"/>
      <c r="M4075" s="173"/>
      <c r="N4075" s="419"/>
      <c r="O4075" s="203"/>
      <c r="P4075" s="218"/>
      <c r="Q4075" s="68"/>
      <c r="R4075" s="217"/>
    </row>
    <row r="4076" spans="1:25" ht="30" customHeight="1" x14ac:dyDescent="0.35">
      <c r="A4076" s="465" t="s">
        <v>278</v>
      </c>
      <c r="B4076" s="539">
        <v>8316</v>
      </c>
      <c r="C4076" s="1060" t="s">
        <v>1792</v>
      </c>
      <c r="D4076" s="1061"/>
      <c r="E4076" s="541" t="s">
        <v>280</v>
      </c>
      <c r="F4076" s="542" t="s">
        <v>226</v>
      </c>
      <c r="G4076" s="560" t="s">
        <v>279</v>
      </c>
      <c r="H4076" s="569">
        <v>200</v>
      </c>
      <c r="I4076" s="541" t="s">
        <v>281</v>
      </c>
      <c r="J4076" s="1019" t="s">
        <v>2749</v>
      </c>
      <c r="K4076" s="1019"/>
      <c r="L4076" s="1020"/>
      <c r="M4076" s="173"/>
      <c r="N4076" s="419"/>
      <c r="O4076" s="203"/>
      <c r="P4076" s="218"/>
      <c r="Q4076" s="68"/>
      <c r="R4076" s="217"/>
    </row>
    <row r="4077" spans="1:25" ht="30" customHeight="1" x14ac:dyDescent="0.35">
      <c r="A4077" s="545" t="s">
        <v>288</v>
      </c>
      <c r="B4077" s="1051" t="s">
        <v>282</v>
      </c>
      <c r="C4077" s="1051"/>
      <c r="D4077" s="1051"/>
      <c r="E4077" s="561" t="s">
        <v>290</v>
      </c>
      <c r="F4077" s="23" t="s">
        <v>322</v>
      </c>
      <c r="G4077" s="1094" t="s">
        <v>323</v>
      </c>
      <c r="H4077" s="1095"/>
      <c r="I4077" s="1052" t="s">
        <v>405</v>
      </c>
      <c r="J4077" s="1053"/>
      <c r="K4077" s="595" t="s">
        <v>292</v>
      </c>
      <c r="L4077" s="739"/>
      <c r="M4077" s="173"/>
      <c r="N4077" s="68"/>
      <c r="O4077" s="203"/>
      <c r="P4077" s="218"/>
      <c r="Q4077" s="68"/>
      <c r="R4077" s="217"/>
    </row>
    <row r="4078" spans="1:25" ht="30" customHeight="1" x14ac:dyDescent="0.35">
      <c r="A4078" s="241">
        <v>83150</v>
      </c>
      <c r="B4078" s="1031" t="s">
        <v>3169</v>
      </c>
      <c r="C4078" s="1032"/>
      <c r="D4078" s="1033"/>
      <c r="E4078" s="453">
        <v>354030</v>
      </c>
      <c r="F4078" s="694" t="s">
        <v>10</v>
      </c>
      <c r="G4078" s="641">
        <f>E4078/200</f>
        <v>1770.15</v>
      </c>
      <c r="H4078" s="659" t="s">
        <v>3172</v>
      </c>
      <c r="I4078" s="1091">
        <f>+'2021 MILCON Inflation Table'!$F$20</f>
        <v>0.9432470865927236</v>
      </c>
      <c r="J4078" s="1092"/>
      <c r="K4078" s="463">
        <f>G4078*I4078</f>
        <v>1669.6888303321098</v>
      </c>
      <c r="L4078" s="564" t="s">
        <v>226</v>
      </c>
      <c r="M4078" s="173"/>
      <c r="N4078" s="68"/>
      <c r="O4078" s="203"/>
      <c r="P4078" s="218"/>
      <c r="Q4078" s="68"/>
      <c r="R4078" s="217"/>
    </row>
    <row r="4079" spans="1:25" ht="30" customHeight="1" x14ac:dyDescent="0.35">
      <c r="A4079" s="241">
        <v>83150</v>
      </c>
      <c r="B4079" s="1031" t="s">
        <v>3170</v>
      </c>
      <c r="C4079" s="1032"/>
      <c r="D4079" s="1033"/>
      <c r="E4079" s="453">
        <v>308460</v>
      </c>
      <c r="F4079" s="694" t="s">
        <v>10</v>
      </c>
      <c r="G4079" s="641">
        <f>E4079/144</f>
        <v>2142.0833333333335</v>
      </c>
      <c r="H4079" s="659" t="s">
        <v>3172</v>
      </c>
      <c r="I4079" s="1091">
        <f>+'2021 MILCON Inflation Table'!$F$20</f>
        <v>0.9432470865927236</v>
      </c>
      <c r="J4079" s="1092"/>
      <c r="K4079" s="463">
        <f t="shared" ref="K4079:K4080" si="79">G4079*I4079</f>
        <v>2020.5138634054967</v>
      </c>
      <c r="L4079" s="564" t="s">
        <v>226</v>
      </c>
      <c r="M4079" s="173"/>
      <c r="N4079" s="68"/>
      <c r="O4079" s="203"/>
      <c r="P4079" s="218"/>
      <c r="Q4079" s="68"/>
      <c r="R4079" s="217"/>
    </row>
    <row r="4080" spans="1:25" ht="30" customHeight="1" x14ac:dyDescent="0.35">
      <c r="A4080" s="241">
        <v>83150</v>
      </c>
      <c r="B4080" s="1031" t="s">
        <v>3171</v>
      </c>
      <c r="C4080" s="1032"/>
      <c r="D4080" s="1033"/>
      <c r="E4080" s="453">
        <v>395910</v>
      </c>
      <c r="F4080" s="694" t="s">
        <v>10</v>
      </c>
      <c r="G4080" s="641">
        <f>E4080/288</f>
        <v>1374.6875</v>
      </c>
      <c r="H4080" s="659" t="s">
        <v>3172</v>
      </c>
      <c r="I4080" s="1091">
        <f>+'2021 MILCON Inflation Table'!$F$20</f>
        <v>0.9432470865927236</v>
      </c>
      <c r="J4080" s="1092"/>
      <c r="K4080" s="463">
        <f t="shared" si="79"/>
        <v>1296.6699793504347</v>
      </c>
      <c r="L4080" s="564" t="s">
        <v>226</v>
      </c>
      <c r="M4080" s="173"/>
      <c r="N4080" s="68"/>
      <c r="O4080" s="203"/>
      <c r="P4080" s="218"/>
      <c r="Q4080" s="68"/>
      <c r="R4080" s="217"/>
    </row>
    <row r="4081" spans="1:25" ht="30" customHeight="1" x14ac:dyDescent="0.35">
      <c r="A4081" s="241"/>
      <c r="B4081" s="516"/>
      <c r="C4081" s="570"/>
      <c r="D4081" s="571"/>
      <c r="E4081" s="667"/>
      <c r="F4081" s="724"/>
      <c r="G4081" s="658"/>
      <c r="H4081" s="659"/>
      <c r="I4081" s="783"/>
      <c r="J4081" s="707" t="s">
        <v>304</v>
      </c>
      <c r="K4081" s="463">
        <f>AVERAGE(K4078:K4080)</f>
        <v>1662.2908910293472</v>
      </c>
      <c r="L4081" s="564" t="s">
        <v>226</v>
      </c>
      <c r="M4081" s="173"/>
      <c r="N4081" s="68"/>
      <c r="O4081" s="203"/>
      <c r="P4081" s="218"/>
      <c r="Q4081" s="68"/>
      <c r="R4081" s="217"/>
    </row>
    <row r="4082" spans="1:25" ht="30" customHeight="1" thickBot="1" x14ac:dyDescent="0.4">
      <c r="A4082" s="241"/>
      <c r="B4082" s="1031" t="s">
        <v>3139</v>
      </c>
      <c r="C4082" s="1032"/>
      <c r="D4082" s="1033"/>
      <c r="E4082" s="553"/>
      <c r="F4082" s="706"/>
      <c r="G4082" s="553"/>
      <c r="H4082" s="707"/>
      <c r="I4082" s="458"/>
      <c r="J4082" s="510" t="s">
        <v>2356</v>
      </c>
      <c r="K4082" s="459">
        <f>+K4081</f>
        <v>1662.2908910293472</v>
      </c>
      <c r="L4082" s="564" t="s">
        <v>226</v>
      </c>
      <c r="M4082" s="173"/>
      <c r="N4082" s="68"/>
      <c r="O4082" s="208"/>
      <c r="P4082" s="218"/>
      <c r="Q4082" s="68"/>
      <c r="R4082" s="217"/>
    </row>
    <row r="4083" spans="1:25" ht="30" customHeight="1" thickBot="1" x14ac:dyDescent="0.4">
      <c r="A4083" s="481"/>
      <c r="B4083" s="482"/>
      <c r="C4083" s="482"/>
      <c r="D4083" s="482"/>
      <c r="E4083" s="482"/>
      <c r="F4083" s="482"/>
      <c r="G4083" s="482"/>
      <c r="H4083" s="482"/>
      <c r="I4083" s="482"/>
      <c r="J4083" s="482"/>
      <c r="K4083" s="482"/>
      <c r="L4083" s="483"/>
      <c r="M4083" s="173"/>
      <c r="N4083" s="68"/>
      <c r="O4083" s="203"/>
      <c r="P4083" s="218"/>
      <c r="Q4083" s="68"/>
      <c r="R4083" s="217"/>
      <c r="T4083" s="208"/>
      <c r="U4083" s="208"/>
      <c r="V4083" s="208"/>
      <c r="W4083" s="208"/>
      <c r="X4083" s="208"/>
    </row>
    <row r="4084" spans="1:25" ht="30" customHeight="1" x14ac:dyDescent="0.35">
      <c r="A4084" s="465" t="s">
        <v>278</v>
      </c>
      <c r="B4084" s="539">
        <v>8321</v>
      </c>
      <c r="C4084" s="1096" t="s">
        <v>1793</v>
      </c>
      <c r="D4084" s="1097"/>
      <c r="E4084" s="541" t="s">
        <v>280</v>
      </c>
      <c r="F4084" s="542" t="s">
        <v>6</v>
      </c>
      <c r="G4084" s="553" t="s">
        <v>3136</v>
      </c>
      <c r="H4084" s="555">
        <v>10942</v>
      </c>
      <c r="I4084" s="541" t="s">
        <v>281</v>
      </c>
      <c r="J4084" s="1019" t="s">
        <v>2371</v>
      </c>
      <c r="K4084" s="1019"/>
      <c r="L4084" s="1020"/>
      <c r="M4084" s="173"/>
      <c r="N4084" s="68"/>
      <c r="O4084" s="203"/>
      <c r="P4084" s="218"/>
      <c r="Q4084" s="68"/>
      <c r="R4084" s="217"/>
      <c r="Y4084" s="208"/>
    </row>
    <row r="4085" spans="1:25" ht="30" customHeight="1" x14ac:dyDescent="0.35">
      <c r="A4085" s="588" t="s">
        <v>298</v>
      </c>
      <c r="B4085" s="1038" t="s">
        <v>321</v>
      </c>
      <c r="C4085" s="1039"/>
      <c r="D4085" s="1040"/>
      <c r="E4085" s="23" t="s">
        <v>290</v>
      </c>
      <c r="F4085" s="23" t="s">
        <v>322</v>
      </c>
      <c r="G4085" s="1034" t="s">
        <v>323</v>
      </c>
      <c r="H4085" s="1035"/>
      <c r="I4085" s="509" t="s">
        <v>299</v>
      </c>
      <c r="J4085" s="509"/>
      <c r="K4085" s="595" t="s">
        <v>292</v>
      </c>
      <c r="L4085" s="739"/>
      <c r="M4085" s="173"/>
      <c r="N4085" s="68"/>
      <c r="O4085" s="203"/>
      <c r="P4085" s="218"/>
      <c r="Q4085" s="68"/>
      <c r="R4085" s="217"/>
      <c r="S4085" s="208"/>
    </row>
    <row r="4086" spans="1:25" ht="30" customHeight="1" x14ac:dyDescent="0.35">
      <c r="A4086" s="241" t="s">
        <v>331</v>
      </c>
      <c r="B4086" s="1031" t="s">
        <v>2264</v>
      </c>
      <c r="C4086" s="1032"/>
      <c r="D4086" s="1033"/>
      <c r="E4086" s="40">
        <v>21.25</v>
      </c>
      <c r="F4086" s="3" t="s">
        <v>6</v>
      </c>
      <c r="G4086" s="80"/>
      <c r="H4086" s="498"/>
      <c r="I4086" s="446">
        <v>1.03</v>
      </c>
      <c r="J4086" s="3"/>
      <c r="K4086" s="591">
        <f>+E4086*I4086</f>
        <v>21.887499999999999</v>
      </c>
      <c r="L4086" s="676" t="s">
        <v>6</v>
      </c>
      <c r="M4086" s="173"/>
      <c r="N4086" s="68"/>
      <c r="O4086" s="203"/>
      <c r="P4086" s="218"/>
      <c r="Q4086" s="68"/>
      <c r="R4086" s="217"/>
    </row>
    <row r="4087" spans="1:25" s="208" customFormat="1" ht="30" customHeight="1" x14ac:dyDescent="0.35">
      <c r="A4087" s="241" t="s">
        <v>331</v>
      </c>
      <c r="B4087" s="1031" t="s">
        <v>2269</v>
      </c>
      <c r="C4087" s="1032"/>
      <c r="D4087" s="1033"/>
      <c r="E4087" s="40">
        <v>26.5</v>
      </c>
      <c r="F4087" s="3" t="s">
        <v>6</v>
      </c>
      <c r="G4087" s="80"/>
      <c r="H4087" s="498"/>
      <c r="I4087" s="446">
        <v>1.03</v>
      </c>
      <c r="J4087" s="3"/>
      <c r="K4087" s="591">
        <f>+E4087*I4087</f>
        <v>27.295000000000002</v>
      </c>
      <c r="L4087" s="676" t="s">
        <v>6</v>
      </c>
      <c r="M4087" s="363"/>
      <c r="N4087" s="68"/>
      <c r="O4087" s="203"/>
      <c r="P4087" s="218"/>
      <c r="Q4087" s="68"/>
      <c r="R4087" s="217"/>
      <c r="S4087" s="203"/>
      <c r="T4087" s="203"/>
      <c r="U4087" s="203"/>
      <c r="V4087" s="203"/>
      <c r="W4087" s="203"/>
      <c r="X4087" s="203"/>
      <c r="Y4087" s="203"/>
    </row>
    <row r="4088" spans="1:25" ht="30" customHeight="1" x14ac:dyDescent="0.35">
      <c r="A4088" s="241"/>
      <c r="B4088" s="516"/>
      <c r="C4088" s="570"/>
      <c r="D4088" s="571"/>
      <c r="E4088" s="40"/>
      <c r="F4088" s="3"/>
      <c r="G4088" s="1163" t="s">
        <v>1794</v>
      </c>
      <c r="H4088" s="1164"/>
      <c r="I4088" s="446"/>
      <c r="J4088" s="3"/>
      <c r="K4088" s="591">
        <f>AVERAGE(K4086:K4087)</f>
        <v>24.591250000000002</v>
      </c>
      <c r="L4088" s="676" t="s">
        <v>6</v>
      </c>
      <c r="M4088" s="173"/>
      <c r="N4088" s="71"/>
      <c r="O4088" s="203"/>
      <c r="P4088" s="218"/>
      <c r="Q4088" s="68"/>
      <c r="R4088" s="217"/>
    </row>
    <row r="4089" spans="1:25" ht="30" customHeight="1" x14ac:dyDescent="0.35">
      <c r="A4089" s="241" t="s">
        <v>331</v>
      </c>
      <c r="B4089" s="1031" t="s">
        <v>2265</v>
      </c>
      <c r="C4089" s="1032"/>
      <c r="D4089" s="1033"/>
      <c r="E4089" s="40">
        <v>820</v>
      </c>
      <c r="F4089" s="3" t="s">
        <v>10</v>
      </c>
      <c r="G4089" s="306">
        <f>1/60</f>
        <v>1.6666666666666666E-2</v>
      </c>
      <c r="H4089" s="498" t="s">
        <v>2267</v>
      </c>
      <c r="I4089" s="446">
        <v>1.03</v>
      </c>
      <c r="J4089" s="3"/>
      <c r="K4089" s="591">
        <f>+E4089*G4089*I4089</f>
        <v>14.076666666666666</v>
      </c>
      <c r="L4089" s="676" t="s">
        <v>6</v>
      </c>
      <c r="M4089" s="173"/>
      <c r="N4089" s="71"/>
      <c r="O4089" s="208"/>
      <c r="P4089" s="218"/>
      <c r="Q4089" s="68"/>
      <c r="R4089" s="217"/>
    </row>
    <row r="4090" spans="1:25" ht="30" customHeight="1" x14ac:dyDescent="0.35">
      <c r="A4090" s="241" t="s">
        <v>331</v>
      </c>
      <c r="B4090" s="1031" t="s">
        <v>2266</v>
      </c>
      <c r="C4090" s="1032"/>
      <c r="D4090" s="1033"/>
      <c r="E4090" s="453">
        <v>3050</v>
      </c>
      <c r="F4090" s="3" t="s">
        <v>10</v>
      </c>
      <c r="G4090" s="919">
        <f>1/400</f>
        <v>2.5000000000000001E-3</v>
      </c>
      <c r="H4090" s="498" t="s">
        <v>2268</v>
      </c>
      <c r="I4090" s="446">
        <v>1.03</v>
      </c>
      <c r="J4090" s="3"/>
      <c r="K4090" s="591">
        <f>+E4090*G4090*I4090</f>
        <v>7.8537499999999998</v>
      </c>
      <c r="L4090" s="676" t="s">
        <v>6</v>
      </c>
      <c r="M4090" s="173"/>
      <c r="N4090" s="68"/>
      <c r="O4090" s="203"/>
      <c r="P4090" s="218"/>
      <c r="Q4090" s="68"/>
      <c r="R4090" s="217"/>
      <c r="T4090" s="208"/>
      <c r="U4090" s="208"/>
      <c r="V4090" s="208"/>
      <c r="W4090" s="208"/>
      <c r="X4090" s="208"/>
    </row>
    <row r="4091" spans="1:25" ht="30" customHeight="1" x14ac:dyDescent="0.35">
      <c r="A4091" s="717"/>
      <c r="B4091" s="1102"/>
      <c r="C4091" s="1102"/>
      <c r="D4091" s="1102"/>
      <c r="E4091" s="453"/>
      <c r="F4091" s="446"/>
      <c r="G4091" s="446"/>
      <c r="H4091" s="446"/>
      <c r="I4091" s="446"/>
      <c r="J4091" s="446" t="s">
        <v>335</v>
      </c>
      <c r="K4091" s="453">
        <f>SUM(K4088:K4090)</f>
        <v>46.521666666666668</v>
      </c>
      <c r="L4091" s="243" t="s">
        <v>6</v>
      </c>
      <c r="M4091" s="173"/>
      <c r="N4091" s="68"/>
      <c r="O4091" s="203"/>
      <c r="P4091" s="218"/>
      <c r="Q4091" s="68"/>
      <c r="R4091" s="217"/>
      <c r="Y4091" s="208"/>
    </row>
    <row r="4092" spans="1:25" ht="30" customHeight="1" x14ac:dyDescent="0.35">
      <c r="A4092" s="241"/>
      <c r="B4092" s="506"/>
      <c r="C4092" s="506"/>
      <c r="D4092" s="506"/>
      <c r="E4092" s="453"/>
      <c r="F4092" s="1029" t="s">
        <v>302</v>
      </c>
      <c r="G4092" s="1058" t="s">
        <v>303</v>
      </c>
      <c r="H4092" s="1058"/>
      <c r="I4092" s="1058"/>
      <c r="J4092" s="1058"/>
      <c r="K4092" s="612">
        <v>1.07</v>
      </c>
      <c r="L4092" s="243"/>
      <c r="M4092" s="363"/>
      <c r="N4092" s="68"/>
      <c r="O4092" s="203"/>
      <c r="P4092" s="218"/>
      <c r="Q4092" s="68"/>
      <c r="R4092" s="217"/>
      <c r="S4092" s="208"/>
    </row>
    <row r="4093" spans="1:25" ht="30" customHeight="1" x14ac:dyDescent="0.35">
      <c r="A4093" s="241"/>
      <c r="B4093" s="506"/>
      <c r="C4093" s="506"/>
      <c r="D4093" s="506"/>
      <c r="E4093" s="453"/>
      <c r="F4093" s="1030"/>
      <c r="G4093" s="1073" t="s">
        <v>2374</v>
      </c>
      <c r="H4093" s="1073"/>
      <c r="I4093" s="1073"/>
      <c r="J4093" s="1073"/>
      <c r="K4093" s="612">
        <v>1.08</v>
      </c>
      <c r="L4093" s="243"/>
      <c r="M4093" s="173"/>
      <c r="N4093" s="68"/>
      <c r="O4093" s="171"/>
      <c r="P4093" s="218"/>
      <c r="Q4093" s="68"/>
      <c r="R4093" s="217"/>
    </row>
    <row r="4094" spans="1:25" s="208" customFormat="1" ht="30" customHeight="1" x14ac:dyDescent="0.35">
      <c r="A4094" s="241"/>
      <c r="B4094" s="446"/>
      <c r="C4094" s="458"/>
      <c r="D4094" s="458"/>
      <c r="E4094" s="458"/>
      <c r="F4094" s="458"/>
      <c r="G4094" s="458"/>
      <c r="H4094" s="458"/>
      <c r="I4094" s="458"/>
      <c r="J4094" s="446" t="s">
        <v>2356</v>
      </c>
      <c r="K4094" s="591">
        <f>+K4091*K4092/K4093</f>
        <v>46.09091049382716</v>
      </c>
      <c r="L4094" s="243" t="s">
        <v>6</v>
      </c>
      <c r="M4094" s="173"/>
      <c r="N4094" s="68"/>
      <c r="O4094" s="171"/>
      <c r="P4094" s="218"/>
      <c r="Q4094" s="68"/>
      <c r="R4094" s="217"/>
      <c r="S4094" s="203"/>
      <c r="T4094" s="203"/>
      <c r="U4094" s="203"/>
      <c r="V4094" s="203"/>
      <c r="W4094" s="203"/>
      <c r="X4094" s="203"/>
      <c r="Y4094" s="203"/>
    </row>
    <row r="4095" spans="1:25" ht="30" customHeight="1" x14ac:dyDescent="0.35">
      <c r="A4095" s="582"/>
      <c r="B4095" s="492"/>
      <c r="C4095" s="20"/>
      <c r="D4095" s="20"/>
      <c r="E4095" s="20"/>
      <c r="F4095" s="20"/>
      <c r="G4095" s="592" t="s">
        <v>2358</v>
      </c>
      <c r="H4095" s="20"/>
      <c r="I4095" s="171"/>
      <c r="J4095" s="583">
        <f>VLOOKUP(B4084,'Mil Cost Premiums for PUCs'!$A$4:$R$272,18,FALSE)</f>
        <v>1.0905505199999999</v>
      </c>
      <c r="K4095" s="225">
        <f>+K4094*J4095</f>
        <v>50.264466406316657</v>
      </c>
      <c r="L4095" s="676" t="s">
        <v>6</v>
      </c>
      <c r="M4095" s="173"/>
      <c r="N4095" s="68"/>
      <c r="O4095" s="203"/>
      <c r="P4095" s="218"/>
      <c r="Q4095" s="68"/>
      <c r="R4095" s="217"/>
    </row>
    <row r="4096" spans="1:25" ht="60" customHeight="1" x14ac:dyDescent="0.35">
      <c r="A4096" s="1064" t="s">
        <v>305</v>
      </c>
      <c r="B4096" s="1065"/>
      <c r="C4096" s="1065"/>
      <c r="D4096" s="1065"/>
      <c r="E4096" s="1065"/>
      <c r="F4096" s="1065"/>
      <c r="G4096" s="1065"/>
      <c r="H4096" s="1065"/>
      <c r="I4096" s="1065"/>
      <c r="J4096" s="1065"/>
      <c r="K4096" s="1065"/>
      <c r="L4096" s="1066"/>
      <c r="M4096" s="173"/>
      <c r="N4096" s="68"/>
      <c r="O4096" s="203"/>
      <c r="P4096" s="216"/>
      <c r="Q4096" s="419"/>
      <c r="R4096" s="219"/>
    </row>
    <row r="4097" spans="1:25" ht="30" customHeight="1" x14ac:dyDescent="0.35">
      <c r="A4097" s="1077" t="s">
        <v>306</v>
      </c>
      <c r="B4097" s="1042"/>
      <c r="C4097" s="1043"/>
      <c r="D4097" s="1067" t="s">
        <v>1795</v>
      </c>
      <c r="E4097" s="1065"/>
      <c r="F4097" s="1065"/>
      <c r="G4097" s="1065"/>
      <c r="H4097" s="1065"/>
      <c r="I4097" s="1065"/>
      <c r="J4097" s="1065"/>
      <c r="K4097" s="1065"/>
      <c r="L4097" s="1066"/>
      <c r="M4097" s="173"/>
      <c r="N4097" s="68"/>
      <c r="O4097" s="203"/>
      <c r="P4097" s="216"/>
      <c r="Q4097" s="419"/>
      <c r="R4097" s="219"/>
    </row>
    <row r="4098" spans="1:25" ht="30" customHeight="1" x14ac:dyDescent="0.35">
      <c r="A4098" s="1077" t="s">
        <v>307</v>
      </c>
      <c r="B4098" s="1042"/>
      <c r="C4098" s="1043"/>
      <c r="D4098" s="1067" t="s">
        <v>1796</v>
      </c>
      <c r="E4098" s="1065"/>
      <c r="F4098" s="1065"/>
      <c r="G4098" s="1065"/>
      <c r="H4098" s="1065"/>
      <c r="I4098" s="1065"/>
      <c r="J4098" s="1065"/>
      <c r="K4098" s="1065"/>
      <c r="L4098" s="1066"/>
      <c r="M4098" s="363"/>
      <c r="N4098" s="68"/>
      <c r="O4098" s="203"/>
      <c r="P4098" s="218"/>
      <c r="Q4098" s="68"/>
      <c r="R4098" s="217"/>
    </row>
    <row r="4099" spans="1:25" ht="30" customHeight="1" x14ac:dyDescent="0.35">
      <c r="A4099" s="1077" t="s">
        <v>308</v>
      </c>
      <c r="B4099" s="1042"/>
      <c r="C4099" s="1043"/>
      <c r="D4099" s="1067" t="s">
        <v>3184</v>
      </c>
      <c r="E4099" s="1065"/>
      <c r="F4099" s="1065"/>
      <c r="G4099" s="1065"/>
      <c r="H4099" s="1065"/>
      <c r="I4099" s="1065"/>
      <c r="J4099" s="1065"/>
      <c r="K4099" s="1065"/>
      <c r="L4099" s="1066"/>
      <c r="M4099" s="173"/>
      <c r="N4099" s="68"/>
      <c r="O4099" s="208"/>
      <c r="P4099" s="218"/>
      <c r="Q4099" s="68"/>
      <c r="R4099" s="217"/>
    </row>
    <row r="4100" spans="1:25" ht="30" customHeight="1" x14ac:dyDescent="0.35">
      <c r="A4100" s="1077" t="s">
        <v>309</v>
      </c>
      <c r="B4100" s="1042"/>
      <c r="C4100" s="1043"/>
      <c r="D4100" s="1067" t="s">
        <v>1797</v>
      </c>
      <c r="E4100" s="1065"/>
      <c r="F4100" s="1065"/>
      <c r="G4100" s="1065"/>
      <c r="H4100" s="1065"/>
      <c r="I4100" s="1065"/>
      <c r="J4100" s="1065"/>
      <c r="K4100" s="1065"/>
      <c r="L4100" s="1066"/>
      <c r="M4100" s="173"/>
      <c r="N4100" s="68"/>
      <c r="O4100" s="203"/>
      <c r="P4100" s="218"/>
      <c r="Q4100" s="68"/>
      <c r="R4100" s="217"/>
      <c r="T4100" s="208"/>
      <c r="U4100" s="208"/>
      <c r="V4100" s="208"/>
      <c r="W4100" s="208"/>
      <c r="X4100" s="208"/>
    </row>
    <row r="4101" spans="1:25" ht="30" customHeight="1" x14ac:dyDescent="0.35">
      <c r="A4101" s="1077" t="s">
        <v>311</v>
      </c>
      <c r="B4101" s="1042"/>
      <c r="C4101" s="1043"/>
      <c r="D4101" s="1067" t="s">
        <v>1749</v>
      </c>
      <c r="E4101" s="1065"/>
      <c r="F4101" s="1065"/>
      <c r="G4101" s="1065"/>
      <c r="H4101" s="1065"/>
      <c r="I4101" s="1065"/>
      <c r="J4101" s="1065"/>
      <c r="K4101" s="1065"/>
      <c r="L4101" s="1066"/>
      <c r="M4101" s="173"/>
      <c r="N4101" s="68"/>
      <c r="O4101" s="203"/>
      <c r="P4101" s="218"/>
      <c r="Q4101" s="68"/>
      <c r="R4101" s="217"/>
      <c r="Y4101" s="208"/>
    </row>
    <row r="4102" spans="1:25" ht="30" customHeight="1" x14ac:dyDescent="0.35">
      <c r="A4102" s="1077" t="s">
        <v>313</v>
      </c>
      <c r="B4102" s="1042"/>
      <c r="C4102" s="1043"/>
      <c r="D4102" s="1067" t="s">
        <v>1682</v>
      </c>
      <c r="E4102" s="1065"/>
      <c r="F4102" s="1065"/>
      <c r="G4102" s="1065"/>
      <c r="H4102" s="1065"/>
      <c r="I4102" s="1065"/>
      <c r="J4102" s="1065"/>
      <c r="K4102" s="1065"/>
      <c r="L4102" s="1066"/>
      <c r="M4102" s="173"/>
      <c r="N4102" s="419"/>
      <c r="O4102" s="203"/>
      <c r="P4102" s="218"/>
      <c r="Q4102" s="68"/>
      <c r="R4102" s="217"/>
      <c r="S4102" s="208"/>
    </row>
    <row r="4103" spans="1:25" ht="30" customHeight="1" x14ac:dyDescent="0.35">
      <c r="A4103" s="1077" t="s">
        <v>315</v>
      </c>
      <c r="B4103" s="1042"/>
      <c r="C4103" s="1043"/>
      <c r="D4103" s="1067" t="s">
        <v>1798</v>
      </c>
      <c r="E4103" s="1065"/>
      <c r="F4103" s="1065"/>
      <c r="G4103" s="1065"/>
      <c r="H4103" s="1065"/>
      <c r="I4103" s="1065"/>
      <c r="J4103" s="1065"/>
      <c r="K4103" s="1065"/>
      <c r="L4103" s="1066"/>
      <c r="M4103" s="173"/>
      <c r="N4103" s="419"/>
      <c r="O4103" s="203"/>
      <c r="P4103" s="218"/>
      <c r="Q4103" s="68"/>
      <c r="R4103" s="217"/>
    </row>
    <row r="4104" spans="1:25" s="208" customFormat="1" ht="75" customHeight="1" x14ac:dyDescent="0.35">
      <c r="A4104" s="1077" t="s">
        <v>316</v>
      </c>
      <c r="B4104" s="1042"/>
      <c r="C4104" s="1043"/>
      <c r="D4104" s="1067" t="s">
        <v>373</v>
      </c>
      <c r="E4104" s="1065"/>
      <c r="F4104" s="1065"/>
      <c r="G4104" s="1065"/>
      <c r="H4104" s="1065"/>
      <c r="I4104" s="1065"/>
      <c r="J4104" s="1065"/>
      <c r="K4104" s="1065"/>
      <c r="L4104" s="1066"/>
      <c r="M4104" s="173"/>
      <c r="N4104" s="68"/>
      <c r="O4104" s="171"/>
      <c r="P4104" s="218"/>
      <c r="Q4104" s="68"/>
      <c r="R4104" s="217"/>
      <c r="S4104" s="203"/>
      <c r="T4104" s="203"/>
      <c r="U4104" s="203"/>
      <c r="V4104" s="203"/>
      <c r="W4104" s="203"/>
      <c r="X4104" s="203"/>
      <c r="Y4104" s="203"/>
    </row>
    <row r="4105" spans="1:25" ht="45" customHeight="1" thickBot="1" x14ac:dyDescent="0.4">
      <c r="A4105" s="1078" t="s">
        <v>318</v>
      </c>
      <c r="B4105" s="1079"/>
      <c r="C4105" s="1080"/>
      <c r="D4105" s="1068" t="s">
        <v>2270</v>
      </c>
      <c r="E4105" s="1069"/>
      <c r="F4105" s="1069"/>
      <c r="G4105" s="1069"/>
      <c r="H4105" s="1069"/>
      <c r="I4105" s="1069"/>
      <c r="J4105" s="1069"/>
      <c r="K4105" s="1069"/>
      <c r="L4105" s="1070"/>
      <c r="M4105" s="173"/>
      <c r="N4105" s="68"/>
      <c r="O4105" s="171"/>
      <c r="P4105" s="218"/>
      <c r="Q4105" s="68"/>
      <c r="R4105" s="217"/>
    </row>
    <row r="4106" spans="1:25" ht="30" customHeight="1" thickBot="1" x14ac:dyDescent="0.4">
      <c r="A4106" s="481"/>
      <c r="B4106" s="482"/>
      <c r="C4106" s="482"/>
      <c r="D4106" s="482"/>
      <c r="E4106" s="482"/>
      <c r="F4106" s="482"/>
      <c r="G4106" s="482"/>
      <c r="H4106" s="482"/>
      <c r="I4106" s="482"/>
      <c r="J4106" s="482"/>
      <c r="K4106" s="482"/>
      <c r="L4106" s="483"/>
      <c r="M4106" s="173"/>
      <c r="N4106" s="68"/>
      <c r="O4106" s="203"/>
      <c r="P4106" s="218"/>
      <c r="Q4106" s="68"/>
      <c r="R4106" s="217"/>
    </row>
    <row r="4107" spans="1:25" ht="60" customHeight="1" x14ac:dyDescent="0.35">
      <c r="A4107" s="465" t="s">
        <v>278</v>
      </c>
      <c r="B4107" s="539">
        <v>8331</v>
      </c>
      <c r="C4107" s="1017" t="s">
        <v>3173</v>
      </c>
      <c r="D4107" s="1018"/>
      <c r="E4107" s="541" t="s">
        <v>280</v>
      </c>
      <c r="F4107" s="542" t="s">
        <v>8</v>
      </c>
      <c r="G4107" s="553" t="s">
        <v>279</v>
      </c>
      <c r="H4107" s="555">
        <v>1</v>
      </c>
      <c r="I4107" s="541" t="s">
        <v>281</v>
      </c>
      <c r="J4107" s="1291" t="s">
        <v>3140</v>
      </c>
      <c r="K4107" s="1291"/>
      <c r="L4107" s="1292"/>
      <c r="M4107" s="173"/>
      <c r="N4107" s="68"/>
      <c r="O4107" s="203"/>
      <c r="P4107" s="216"/>
      <c r="Q4107" s="419"/>
      <c r="R4107" s="219"/>
    </row>
    <row r="4108" spans="1:25" ht="30" customHeight="1" x14ac:dyDescent="0.35">
      <c r="A4108" s="588" t="s">
        <v>298</v>
      </c>
      <c r="B4108" s="1038" t="s">
        <v>321</v>
      </c>
      <c r="C4108" s="1039"/>
      <c r="D4108" s="1040"/>
      <c r="E4108" s="23" t="s">
        <v>290</v>
      </c>
      <c r="F4108" s="23" t="s">
        <v>322</v>
      </c>
      <c r="G4108" s="1034" t="s">
        <v>323</v>
      </c>
      <c r="H4108" s="1035"/>
      <c r="I4108" s="509" t="s">
        <v>299</v>
      </c>
      <c r="J4108" s="509" t="s">
        <v>405</v>
      </c>
      <c r="K4108" s="595" t="s">
        <v>292</v>
      </c>
      <c r="L4108" s="739"/>
      <c r="M4108" s="173"/>
      <c r="N4108" s="68"/>
      <c r="O4108" s="203"/>
      <c r="P4108" s="216"/>
      <c r="Q4108" s="419"/>
      <c r="R4108" s="219"/>
    </row>
    <row r="4109" spans="1:25" ht="30" customHeight="1" x14ac:dyDescent="0.35">
      <c r="A4109" s="241" t="s">
        <v>1421</v>
      </c>
      <c r="B4109" s="1082" t="s">
        <v>2487</v>
      </c>
      <c r="C4109" s="1083"/>
      <c r="D4109" s="1093"/>
      <c r="E4109" s="40">
        <v>64.5</v>
      </c>
      <c r="F4109" s="3" t="s">
        <v>8</v>
      </c>
      <c r="G4109" s="80"/>
      <c r="H4109" s="498"/>
      <c r="I4109" s="446">
        <v>1.05</v>
      </c>
      <c r="J4109" s="178">
        <f>+'2021 MILCON Inflation Table'!$F$14</f>
        <v>1.1198495748855462</v>
      </c>
      <c r="K4109" s="591">
        <f>+E4109*I4109*J4109</f>
        <v>75.841812459123616</v>
      </c>
      <c r="L4109" s="676" t="s">
        <v>8</v>
      </c>
      <c r="M4109" s="173"/>
      <c r="N4109" s="68"/>
      <c r="O4109" s="203"/>
      <c r="P4109" s="218"/>
      <c r="Q4109" s="68"/>
      <c r="R4109" s="217"/>
    </row>
    <row r="4110" spans="1:25" ht="30" customHeight="1" x14ac:dyDescent="0.35">
      <c r="A4110" s="760"/>
      <c r="B4110" s="1059"/>
      <c r="C4110" s="1059"/>
      <c r="D4110" s="1059"/>
      <c r="E4110" s="677"/>
      <c r="F4110" s="1029" t="s">
        <v>302</v>
      </c>
      <c r="G4110" s="1058" t="s">
        <v>303</v>
      </c>
      <c r="H4110" s="1058"/>
      <c r="I4110" s="1058"/>
      <c r="J4110" s="1058"/>
      <c r="K4110" s="612">
        <v>1.07</v>
      </c>
      <c r="L4110" s="243"/>
      <c r="M4110" s="173"/>
      <c r="N4110" s="68"/>
      <c r="O4110" s="203"/>
      <c r="P4110" s="218"/>
      <c r="Q4110" s="68"/>
      <c r="R4110" s="217"/>
    </row>
    <row r="4111" spans="1:25" ht="30" customHeight="1" x14ac:dyDescent="0.35">
      <c r="A4111" s="760"/>
      <c r="B4111" s="920" t="s">
        <v>2832</v>
      </c>
      <c r="C4111" s="920"/>
      <c r="D4111" s="920"/>
      <c r="E4111" s="825"/>
      <c r="F4111" s="1030"/>
      <c r="G4111" s="1073" t="s">
        <v>2374</v>
      </c>
      <c r="H4111" s="1073"/>
      <c r="I4111" s="1073"/>
      <c r="J4111" s="1073"/>
      <c r="K4111" s="612">
        <v>1.08</v>
      </c>
      <c r="L4111" s="243"/>
      <c r="M4111" s="173"/>
      <c r="N4111" s="68"/>
      <c r="O4111" s="203"/>
      <c r="P4111" s="218"/>
      <c r="Q4111" s="68"/>
      <c r="R4111" s="217"/>
    </row>
    <row r="4112" spans="1:25" ht="30" customHeight="1" x14ac:dyDescent="0.35">
      <c r="A4112" s="921"/>
      <c r="B4112" s="1059"/>
      <c r="C4112" s="1059"/>
      <c r="D4112" s="1059"/>
      <c r="E4112" s="825"/>
      <c r="F4112" s="3"/>
      <c r="G4112" s="639"/>
      <c r="H4112" s="659"/>
      <c r="I4112" s="446"/>
      <c r="J4112" s="446" t="s">
        <v>2356</v>
      </c>
      <c r="K4112" s="591">
        <f>+K4109*K4110/K4111</f>
        <v>75.139573454872476</v>
      </c>
      <c r="L4112" s="243" t="s">
        <v>8</v>
      </c>
      <c r="M4112" s="173"/>
      <c r="N4112" s="68"/>
      <c r="O4112" s="203"/>
      <c r="P4112" s="218"/>
      <c r="Q4112" s="68"/>
      <c r="R4112" s="217"/>
    </row>
    <row r="4113" spans="1:25" ht="30" customHeight="1" thickBot="1" x14ac:dyDescent="0.4">
      <c r="A4113" s="760"/>
      <c r="B4113" s="1366" t="s">
        <v>2833</v>
      </c>
      <c r="C4113" s="1367"/>
      <c r="D4113" s="1368"/>
      <c r="E4113" s="766"/>
      <c r="F4113" s="458"/>
      <c r="G4113" s="592" t="s">
        <v>2358</v>
      </c>
      <c r="H4113" s="458"/>
      <c r="I4113" s="458"/>
      <c r="J4113" s="583">
        <f>VLOOKUP(B4107,'Mil Cost Premiums for PUCs'!$A$4:$R$272,18,FALSE)</f>
        <v>1.0485669999999998</v>
      </c>
      <c r="K4113" s="591">
        <f>+K4112*J4113</f>
        <v>78.788877118855254</v>
      </c>
      <c r="L4113" s="243" t="s">
        <v>8</v>
      </c>
      <c r="M4113" s="173"/>
      <c r="N4113" s="419"/>
      <c r="O4113" s="203"/>
      <c r="P4113" s="218"/>
      <c r="Q4113" s="68"/>
      <c r="R4113" s="217"/>
    </row>
    <row r="4114" spans="1:25" ht="30" customHeight="1" thickBot="1" x14ac:dyDescent="0.4">
      <c r="A4114" s="481"/>
      <c r="B4114" s="482"/>
      <c r="C4114" s="482"/>
      <c r="D4114" s="482"/>
      <c r="E4114" s="482"/>
      <c r="F4114" s="482"/>
      <c r="G4114" s="482"/>
      <c r="H4114" s="482"/>
      <c r="I4114" s="482"/>
      <c r="J4114" s="482"/>
      <c r="K4114" s="482"/>
      <c r="L4114" s="483"/>
      <c r="M4114" s="173"/>
      <c r="N4114" s="419"/>
      <c r="O4114" s="203"/>
      <c r="P4114" s="218"/>
      <c r="Q4114" s="68"/>
      <c r="R4114" s="217"/>
    </row>
    <row r="4115" spans="1:25" ht="30" customHeight="1" x14ac:dyDescent="0.35">
      <c r="A4115" s="465" t="s">
        <v>278</v>
      </c>
      <c r="B4115" s="539">
        <v>8332</v>
      </c>
      <c r="C4115" s="1017" t="s">
        <v>1799</v>
      </c>
      <c r="D4115" s="1018"/>
      <c r="E4115" s="541" t="s">
        <v>280</v>
      </c>
      <c r="F4115" s="542" t="s">
        <v>234</v>
      </c>
      <c r="G4115" s="543" t="s">
        <v>285</v>
      </c>
      <c r="H4115" s="922">
        <v>10.8</v>
      </c>
      <c r="I4115" s="541" t="s">
        <v>281</v>
      </c>
      <c r="J4115" s="1019" t="s">
        <v>2371</v>
      </c>
      <c r="K4115" s="1019"/>
      <c r="L4115" s="1020"/>
      <c r="M4115" s="173"/>
      <c r="N4115" s="68"/>
      <c r="O4115" s="203"/>
      <c r="P4115" s="218"/>
      <c r="Q4115" s="68"/>
      <c r="R4115" s="217"/>
    </row>
    <row r="4116" spans="1:25" ht="45" customHeight="1" x14ac:dyDescent="0.35">
      <c r="A4116" s="588" t="s">
        <v>298</v>
      </c>
      <c r="B4116" s="1038" t="s">
        <v>321</v>
      </c>
      <c r="C4116" s="1039"/>
      <c r="D4116" s="1040"/>
      <c r="E4116" s="23" t="s">
        <v>290</v>
      </c>
      <c r="F4116" s="23" t="s">
        <v>322</v>
      </c>
      <c r="G4116" s="1034" t="s">
        <v>323</v>
      </c>
      <c r="H4116" s="1035"/>
      <c r="I4116" s="509" t="s">
        <v>299</v>
      </c>
      <c r="J4116" s="509"/>
      <c r="K4116" s="1012" t="s">
        <v>292</v>
      </c>
      <c r="L4116" s="1013"/>
      <c r="M4116" s="173"/>
      <c r="O4116" s="203"/>
      <c r="P4116" s="218"/>
      <c r="Q4116" s="68"/>
      <c r="R4116" s="217"/>
    </row>
    <row r="4117" spans="1:25" ht="30" customHeight="1" x14ac:dyDescent="0.35">
      <c r="A4117" s="241" t="s">
        <v>1800</v>
      </c>
      <c r="B4117" s="1031" t="s">
        <v>2271</v>
      </c>
      <c r="C4117" s="1032"/>
      <c r="D4117" s="1033"/>
      <c r="E4117" s="180">
        <v>260000</v>
      </c>
      <c r="F4117" s="3" t="s">
        <v>234</v>
      </c>
      <c r="G4117" s="496"/>
      <c r="H4117" s="498"/>
      <c r="I4117" s="446">
        <v>1.04</v>
      </c>
      <c r="J4117" s="446"/>
      <c r="K4117" s="41">
        <f>+E4117*I4117</f>
        <v>270400</v>
      </c>
      <c r="L4117" s="676" t="s">
        <v>234</v>
      </c>
      <c r="M4117" s="173"/>
      <c r="P4117" s="218"/>
      <c r="Q4117" s="68"/>
      <c r="R4117" s="217"/>
    </row>
    <row r="4118" spans="1:25" ht="30" customHeight="1" x14ac:dyDescent="0.35">
      <c r="A4118" s="241" t="s">
        <v>1800</v>
      </c>
      <c r="B4118" s="1031" t="s">
        <v>1801</v>
      </c>
      <c r="C4118" s="1032"/>
      <c r="D4118" s="1033"/>
      <c r="E4118" s="40">
        <f>+(14400+21900)/2</f>
        <v>18150</v>
      </c>
      <c r="F4118" s="3" t="s">
        <v>10</v>
      </c>
      <c r="G4118" s="181">
        <f>+H4115</f>
        <v>10.8</v>
      </c>
      <c r="H4118" s="498" t="s">
        <v>1802</v>
      </c>
      <c r="I4118" s="446">
        <v>1.04</v>
      </c>
      <c r="J4118" s="446"/>
      <c r="K4118" s="41">
        <f>+E4118/G4118*I4118</f>
        <v>1747.7777777777776</v>
      </c>
      <c r="L4118" s="676" t="s">
        <v>234</v>
      </c>
      <c r="M4118" s="173"/>
      <c r="P4118" s="218"/>
      <c r="Q4118" s="68"/>
      <c r="R4118" s="217"/>
      <c r="T4118" s="51"/>
      <c r="U4118" s="171"/>
    </row>
    <row r="4119" spans="1:25" ht="30" customHeight="1" x14ac:dyDescent="0.35">
      <c r="A4119" s="241" t="s">
        <v>1745</v>
      </c>
      <c r="B4119" s="1031" t="s">
        <v>1803</v>
      </c>
      <c r="C4119" s="1032"/>
      <c r="D4119" s="1033"/>
      <c r="E4119" s="40">
        <f>+(107+179)/2</f>
        <v>143</v>
      </c>
      <c r="F4119" s="3" t="s">
        <v>333</v>
      </c>
      <c r="G4119" s="78">
        <f>50/H4115</f>
        <v>4.6296296296296298</v>
      </c>
      <c r="H4119" s="498" t="s">
        <v>2272</v>
      </c>
      <c r="I4119" s="446">
        <v>1.04</v>
      </c>
      <c r="J4119" s="446"/>
      <c r="K4119" s="41">
        <f>+E4119*G4119*I4119</f>
        <v>688.51851851851859</v>
      </c>
      <c r="L4119" s="676" t="s">
        <v>234</v>
      </c>
      <c r="M4119" s="173"/>
      <c r="N4119" s="68"/>
      <c r="P4119" s="218"/>
      <c r="Q4119" s="68"/>
      <c r="R4119" s="217"/>
      <c r="T4119" s="51"/>
      <c r="U4119" s="171"/>
    </row>
    <row r="4120" spans="1:25" ht="30" customHeight="1" x14ac:dyDescent="0.35">
      <c r="A4120" s="241" t="s">
        <v>544</v>
      </c>
      <c r="B4120" s="1031" t="s">
        <v>1804</v>
      </c>
      <c r="C4120" s="1032"/>
      <c r="D4120" s="1033"/>
      <c r="E4120" s="40">
        <v>6950</v>
      </c>
      <c r="F4120" s="3" t="s">
        <v>10</v>
      </c>
      <c r="G4120" s="181">
        <f>+H4115</f>
        <v>10.8</v>
      </c>
      <c r="H4120" s="498" t="s">
        <v>1802</v>
      </c>
      <c r="I4120" s="665">
        <v>1.01</v>
      </c>
      <c r="J4120" s="446"/>
      <c r="K4120" s="41">
        <f>+E4120/G4120*I4120</f>
        <v>649.9537037037037</v>
      </c>
      <c r="L4120" s="676" t="s">
        <v>234</v>
      </c>
      <c r="M4120" s="173"/>
      <c r="N4120" s="71"/>
      <c r="P4120" s="171"/>
      <c r="Q4120" s="171"/>
      <c r="R4120" s="171"/>
      <c r="S4120" s="51"/>
      <c r="T4120" s="51"/>
      <c r="U4120" s="171"/>
    </row>
    <row r="4121" spans="1:25" ht="30" customHeight="1" x14ac:dyDescent="0.35">
      <c r="A4121" s="241" t="s">
        <v>544</v>
      </c>
      <c r="B4121" s="1031" t="s">
        <v>1805</v>
      </c>
      <c r="C4121" s="1032"/>
      <c r="D4121" s="1033"/>
      <c r="E4121" s="40">
        <f>+(2420+2875)/2</f>
        <v>2647.5</v>
      </c>
      <c r="F4121" s="3" t="s">
        <v>10</v>
      </c>
      <c r="G4121" s="181">
        <f>+H4115</f>
        <v>10.8</v>
      </c>
      <c r="H4121" s="498" t="s">
        <v>1802</v>
      </c>
      <c r="I4121" s="665">
        <v>1.01</v>
      </c>
      <c r="J4121" s="446"/>
      <c r="K4121" s="41">
        <f>+E4121/G4121*I4121</f>
        <v>247.59027777777777</v>
      </c>
      <c r="L4121" s="676" t="s">
        <v>234</v>
      </c>
      <c r="M4121" s="173"/>
      <c r="N4121" s="68"/>
      <c r="P4121" s="171"/>
      <c r="Q4121" s="171"/>
      <c r="R4121" s="171"/>
      <c r="S4121" s="51"/>
      <c r="T4121" s="208"/>
      <c r="U4121" s="75"/>
      <c r="V4121" s="208"/>
      <c r="W4121" s="208"/>
      <c r="X4121" s="208"/>
    </row>
    <row r="4122" spans="1:25" ht="30" customHeight="1" x14ac:dyDescent="0.35">
      <c r="A4122" s="241" t="s">
        <v>544</v>
      </c>
      <c r="B4122" s="1031" t="s">
        <v>1806</v>
      </c>
      <c r="C4122" s="1032"/>
      <c r="D4122" s="1033"/>
      <c r="E4122" s="40">
        <f>+(6750+7450)/2</f>
        <v>7100</v>
      </c>
      <c r="F4122" s="3" t="s">
        <v>10</v>
      </c>
      <c r="G4122" s="181">
        <f>+H4115</f>
        <v>10.8</v>
      </c>
      <c r="H4122" s="498" t="s">
        <v>1802</v>
      </c>
      <c r="I4122" s="665">
        <v>1.01</v>
      </c>
      <c r="J4122" s="446"/>
      <c r="K4122" s="41">
        <f>+E4122/G4122*I4122</f>
        <v>663.98148148148152</v>
      </c>
      <c r="L4122" s="676" t="s">
        <v>234</v>
      </c>
      <c r="M4122" s="173"/>
      <c r="N4122" s="68"/>
      <c r="P4122" s="171"/>
      <c r="Q4122" s="171"/>
      <c r="R4122" s="171"/>
      <c r="S4122" s="51"/>
      <c r="U4122" s="171"/>
      <c r="Y4122" s="208"/>
    </row>
    <row r="4123" spans="1:25" ht="30" customHeight="1" x14ac:dyDescent="0.35">
      <c r="A4123" s="241" t="s">
        <v>544</v>
      </c>
      <c r="B4123" s="1031" t="s">
        <v>1807</v>
      </c>
      <c r="C4123" s="1032"/>
      <c r="D4123" s="1033"/>
      <c r="E4123" s="40">
        <f>+(2370+2925)/2</f>
        <v>2647.5</v>
      </c>
      <c r="F4123" s="3" t="s">
        <v>10</v>
      </c>
      <c r="G4123" s="181">
        <f>+H4115</f>
        <v>10.8</v>
      </c>
      <c r="H4123" s="498" t="s">
        <v>1802</v>
      </c>
      <c r="I4123" s="665">
        <v>1.01</v>
      </c>
      <c r="J4123" s="446"/>
      <c r="K4123" s="41">
        <f>+E4123/G4123*I4123*2</f>
        <v>495.18055555555554</v>
      </c>
      <c r="L4123" s="676" t="s">
        <v>234</v>
      </c>
      <c r="M4123" s="173"/>
      <c r="N4123" s="68"/>
      <c r="P4123" s="208"/>
      <c r="Q4123" s="208"/>
      <c r="R4123" s="208"/>
      <c r="S4123" s="208"/>
      <c r="U4123" s="171"/>
    </row>
    <row r="4124" spans="1:25" ht="30" customHeight="1" x14ac:dyDescent="0.35">
      <c r="A4124" s="603"/>
      <c r="B4124" s="1102"/>
      <c r="C4124" s="1102"/>
      <c r="D4124" s="1102"/>
      <c r="E4124" s="453"/>
      <c r="F4124" s="446"/>
      <c r="G4124" s="446"/>
      <c r="H4124" s="446"/>
      <c r="I4124" s="446"/>
      <c r="J4124" s="446" t="s">
        <v>335</v>
      </c>
      <c r="K4124" s="679">
        <f>SUM(K4117:K4123)</f>
        <v>274893.00231481477</v>
      </c>
      <c r="L4124" s="676" t="s">
        <v>234</v>
      </c>
      <c r="M4124" s="173"/>
      <c r="N4124" s="68"/>
      <c r="T4124" s="51"/>
    </row>
    <row r="4125" spans="1:25" s="208" customFormat="1" ht="30" customHeight="1" x14ac:dyDescent="0.35">
      <c r="A4125" s="241"/>
      <c r="B4125" s="506"/>
      <c r="C4125" s="506"/>
      <c r="D4125" s="506"/>
      <c r="E4125" s="453"/>
      <c r="F4125" s="1029" t="s">
        <v>302</v>
      </c>
      <c r="G4125" s="1058" t="s">
        <v>303</v>
      </c>
      <c r="H4125" s="1058"/>
      <c r="I4125" s="1058"/>
      <c r="J4125" s="1058"/>
      <c r="K4125" s="612">
        <v>1.07</v>
      </c>
      <c r="L4125" s="243"/>
      <c r="M4125" s="173"/>
      <c r="N4125" s="425"/>
      <c r="O4125" s="205"/>
      <c r="P4125" s="203"/>
      <c r="Q4125" s="203"/>
      <c r="R4125" s="203"/>
      <c r="S4125" s="203"/>
      <c r="T4125" s="51"/>
      <c r="U4125" s="203"/>
      <c r="V4125" s="203"/>
      <c r="W4125" s="203"/>
      <c r="X4125" s="203"/>
      <c r="Y4125" s="203"/>
    </row>
    <row r="4126" spans="1:25" ht="30" customHeight="1" x14ac:dyDescent="0.35">
      <c r="A4126" s="241"/>
      <c r="B4126" s="506"/>
      <c r="C4126" s="506"/>
      <c r="D4126" s="506"/>
      <c r="E4126" s="453"/>
      <c r="F4126" s="1030"/>
      <c r="G4126" s="1073" t="s">
        <v>2374</v>
      </c>
      <c r="H4126" s="1073"/>
      <c r="I4126" s="1073"/>
      <c r="J4126" s="1073"/>
      <c r="K4126" s="612">
        <v>1.08</v>
      </c>
      <c r="L4126" s="243"/>
      <c r="M4126" s="173"/>
      <c r="N4126" s="68"/>
      <c r="P4126" s="171"/>
      <c r="Q4126" s="171"/>
      <c r="R4126" s="171"/>
      <c r="S4126" s="51"/>
      <c r="T4126" s="51"/>
      <c r="U4126" s="171"/>
    </row>
    <row r="4127" spans="1:25" ht="30" customHeight="1" x14ac:dyDescent="0.35">
      <c r="A4127" s="603"/>
      <c r="B4127" s="446"/>
      <c r="C4127" s="458"/>
      <c r="D4127" s="458"/>
      <c r="E4127" s="458"/>
      <c r="F4127" s="458"/>
      <c r="G4127" s="458"/>
      <c r="H4127" s="458"/>
      <c r="I4127" s="458"/>
      <c r="J4127" s="446" t="s">
        <v>2356</v>
      </c>
      <c r="K4127" s="591">
        <f>+K4124*K4125/K4126</f>
        <v>272347.69673782575</v>
      </c>
      <c r="L4127" s="243" t="s">
        <v>234</v>
      </c>
      <c r="M4127" s="173"/>
      <c r="N4127" s="68"/>
      <c r="P4127" s="171"/>
      <c r="Q4127" s="171"/>
      <c r="R4127" s="171"/>
      <c r="S4127" s="51"/>
      <c r="T4127" s="51"/>
      <c r="U4127" s="171"/>
    </row>
    <row r="4128" spans="1:25" ht="30" customHeight="1" thickBot="1" x14ac:dyDescent="0.4">
      <c r="A4128" s="241"/>
      <c r="B4128" s="446"/>
      <c r="C4128" s="458"/>
      <c r="D4128" s="458"/>
      <c r="E4128" s="458"/>
      <c r="F4128" s="458"/>
      <c r="G4128" s="592" t="s">
        <v>2358</v>
      </c>
      <c r="H4128" s="458"/>
      <c r="I4128" s="458"/>
      <c r="J4128" s="583">
        <f>VLOOKUP(B4115,'Mil Cost Premiums for PUCs'!$A$4:$R$272,18,FALSE)</f>
        <v>1.1199953840399997</v>
      </c>
      <c r="K4128" s="591">
        <f>+K4127*J4128</f>
        <v>305028.16320029052</v>
      </c>
      <c r="L4128" s="243" t="s">
        <v>234</v>
      </c>
      <c r="M4128" s="173"/>
      <c r="P4128" s="171"/>
      <c r="Q4128" s="171"/>
      <c r="R4128" s="171"/>
      <c r="S4128" s="51"/>
      <c r="T4128" s="51"/>
      <c r="U4128" s="171"/>
    </row>
    <row r="4129" spans="1:25" ht="30" customHeight="1" thickBot="1" x14ac:dyDescent="0.4">
      <c r="A4129" s="481"/>
      <c r="B4129" s="482"/>
      <c r="C4129" s="482"/>
      <c r="D4129" s="482"/>
      <c r="E4129" s="482"/>
      <c r="F4129" s="482"/>
      <c r="G4129" s="482"/>
      <c r="H4129" s="482"/>
      <c r="I4129" s="482"/>
      <c r="J4129" s="482"/>
      <c r="K4129" s="482"/>
      <c r="L4129" s="483"/>
      <c r="M4129" s="173"/>
      <c r="N4129" s="208"/>
      <c r="P4129" s="171"/>
      <c r="Q4129" s="171"/>
      <c r="R4129" s="171"/>
      <c r="S4129" s="51"/>
      <c r="T4129" s="213"/>
      <c r="U4129" s="75"/>
      <c r="V4129" s="208"/>
      <c r="W4129" s="208"/>
      <c r="X4129" s="208"/>
    </row>
    <row r="4130" spans="1:25" ht="30" customHeight="1" x14ac:dyDescent="0.35">
      <c r="A4130" s="465" t="s">
        <v>278</v>
      </c>
      <c r="B4130" s="539">
        <v>8333</v>
      </c>
      <c r="C4130" s="1017" t="s">
        <v>1808</v>
      </c>
      <c r="D4130" s="1018"/>
      <c r="E4130" s="541" t="s">
        <v>280</v>
      </c>
      <c r="F4130" s="542" t="s">
        <v>34</v>
      </c>
      <c r="G4130" s="543" t="s">
        <v>285</v>
      </c>
      <c r="H4130" s="555">
        <v>22.3</v>
      </c>
      <c r="I4130" s="541" t="s">
        <v>281</v>
      </c>
      <c r="J4130" s="1019" t="s">
        <v>236</v>
      </c>
      <c r="K4130" s="1019"/>
      <c r="L4130" s="1020"/>
      <c r="M4130" s="173"/>
      <c r="P4130" s="171"/>
      <c r="Q4130" s="171"/>
      <c r="R4130" s="171"/>
      <c r="S4130" s="51"/>
      <c r="T4130" s="51"/>
      <c r="U4130" s="171"/>
      <c r="Y4130" s="208"/>
    </row>
    <row r="4131" spans="1:25" ht="30" customHeight="1" x14ac:dyDescent="0.35">
      <c r="A4131" s="545"/>
      <c r="B4131" s="1051" t="s">
        <v>282</v>
      </c>
      <c r="C4131" s="1051"/>
      <c r="D4131" s="1051"/>
      <c r="E4131" s="509" t="s">
        <v>478</v>
      </c>
      <c r="F4131" s="509" t="s">
        <v>2</v>
      </c>
      <c r="G4131" s="646"/>
      <c r="H4131" s="509"/>
      <c r="I4131" s="509" t="s">
        <v>327</v>
      </c>
      <c r="J4131" s="810" t="s">
        <v>405</v>
      </c>
      <c r="K4131" s="1012" t="s">
        <v>292</v>
      </c>
      <c r="L4131" s="1013"/>
      <c r="M4131" s="173"/>
      <c r="P4131" s="75"/>
      <c r="Q4131" s="75"/>
      <c r="R4131" s="75"/>
      <c r="S4131" s="213"/>
      <c r="U4131" s="171"/>
    </row>
    <row r="4132" spans="1:25" ht="30" customHeight="1" x14ac:dyDescent="0.35">
      <c r="A4132" s="546"/>
      <c r="B4132" s="1057" t="s">
        <v>1809</v>
      </c>
      <c r="C4132" s="1057"/>
      <c r="D4132" s="1057"/>
      <c r="E4132" s="696">
        <v>558597.80000000005</v>
      </c>
      <c r="F4132" s="436" t="s">
        <v>34</v>
      </c>
      <c r="G4132" s="458"/>
      <c r="H4132" s="697"/>
      <c r="I4132" s="923">
        <v>1.01</v>
      </c>
      <c r="J4132" s="712">
        <f>+'2021 MILCON Inflation Table'!F10</f>
        <v>1.3093098833874974</v>
      </c>
      <c r="K4132" s="696">
        <f>+E4132/I4132*J4132</f>
        <v>724136.25780050759</v>
      </c>
      <c r="L4132" s="698" t="s">
        <v>34</v>
      </c>
      <c r="M4132" s="173"/>
      <c r="P4132" s="171"/>
      <c r="Q4132" s="171"/>
      <c r="R4132" s="171"/>
      <c r="S4132" s="51"/>
      <c r="T4132" s="51"/>
    </row>
    <row r="4133" spans="1:25" s="208" customFormat="1" ht="30" customHeight="1" x14ac:dyDescent="0.35">
      <c r="A4133" s="241"/>
      <c r="B4133" s="1059"/>
      <c r="C4133" s="1059"/>
      <c r="D4133" s="1059"/>
      <c r="E4133" s="1082" t="s">
        <v>479</v>
      </c>
      <c r="F4133" s="1083"/>
      <c r="G4133" s="1083"/>
      <c r="H4133" s="1093"/>
      <c r="I4133" s="458"/>
      <c r="J4133" s="510" t="s">
        <v>2356</v>
      </c>
      <c r="K4133" s="459">
        <f>+K4132</f>
        <v>724136.25780050759</v>
      </c>
      <c r="L4133" s="243" t="s">
        <v>34</v>
      </c>
      <c r="M4133" s="173"/>
      <c r="N4133" s="203"/>
      <c r="O4133" s="203"/>
      <c r="P4133" s="203"/>
      <c r="Q4133" s="203"/>
      <c r="R4133" s="203"/>
      <c r="S4133" s="203"/>
      <c r="T4133" s="51"/>
      <c r="U4133" s="203"/>
      <c r="V4133" s="203"/>
      <c r="W4133" s="203"/>
      <c r="X4133" s="203"/>
      <c r="Y4133" s="203"/>
    </row>
    <row r="4134" spans="1:25" ht="30" customHeight="1" thickBot="1" x14ac:dyDescent="0.4">
      <c r="A4134" s="1162" t="s">
        <v>3144</v>
      </c>
      <c r="B4134" s="1069"/>
      <c r="C4134" s="1069"/>
      <c r="D4134" s="1069"/>
      <c r="E4134" s="1069"/>
      <c r="F4134" s="1069"/>
      <c r="G4134" s="484"/>
      <c r="H4134" s="484"/>
      <c r="I4134" s="484"/>
      <c r="J4134" s="484"/>
      <c r="K4134" s="484"/>
      <c r="L4134" s="924"/>
      <c r="M4134" s="173"/>
      <c r="O4134" s="203"/>
      <c r="P4134" s="171"/>
      <c r="Q4134" s="171"/>
      <c r="R4134" s="171"/>
      <c r="S4134" s="51"/>
    </row>
    <row r="4135" spans="1:25" ht="30" customHeight="1" thickBot="1" x14ac:dyDescent="0.4">
      <c r="A4135" s="481"/>
      <c r="B4135" s="482"/>
      <c r="C4135" s="482"/>
      <c r="D4135" s="482"/>
      <c r="E4135" s="482"/>
      <c r="F4135" s="482"/>
      <c r="G4135" s="482"/>
      <c r="H4135" s="482"/>
      <c r="I4135" s="482"/>
      <c r="J4135" s="482"/>
      <c r="K4135" s="482"/>
      <c r="L4135" s="483"/>
      <c r="M4135" s="173"/>
      <c r="O4135" s="203"/>
      <c r="P4135" s="171"/>
      <c r="Q4135" s="171"/>
      <c r="R4135" s="171"/>
      <c r="S4135" s="51"/>
    </row>
    <row r="4136" spans="1:25" ht="30" customHeight="1" x14ac:dyDescent="0.35">
      <c r="A4136" s="465" t="s">
        <v>278</v>
      </c>
      <c r="B4136" s="539">
        <v>8334</v>
      </c>
      <c r="C4136" s="1017" t="s">
        <v>1810</v>
      </c>
      <c r="D4136" s="1018"/>
      <c r="E4136" s="541" t="s">
        <v>280</v>
      </c>
      <c r="F4136" s="542" t="s">
        <v>34</v>
      </c>
      <c r="G4136" s="543" t="s">
        <v>285</v>
      </c>
      <c r="H4136" s="555">
        <v>17</v>
      </c>
      <c r="I4136" s="541" t="s">
        <v>281</v>
      </c>
      <c r="J4136" s="1019" t="s">
        <v>236</v>
      </c>
      <c r="K4136" s="1019"/>
      <c r="L4136" s="1020"/>
      <c r="M4136" s="173"/>
      <c r="O4136" s="208"/>
      <c r="P4136" s="218"/>
      <c r="Q4136" s="68"/>
      <c r="R4136" s="217"/>
    </row>
    <row r="4137" spans="1:25" ht="30" customHeight="1" x14ac:dyDescent="0.35">
      <c r="A4137" s="545"/>
      <c r="B4137" s="1051" t="s">
        <v>282</v>
      </c>
      <c r="C4137" s="1051"/>
      <c r="D4137" s="1051"/>
      <c r="E4137" s="509" t="s">
        <v>478</v>
      </c>
      <c r="F4137" s="509" t="s">
        <v>2</v>
      </c>
      <c r="G4137" s="646"/>
      <c r="H4137" s="509"/>
      <c r="I4137" s="509" t="s">
        <v>327</v>
      </c>
      <c r="J4137" s="810" t="s">
        <v>405</v>
      </c>
      <c r="K4137" s="1012" t="s">
        <v>292</v>
      </c>
      <c r="L4137" s="1013"/>
      <c r="M4137" s="173"/>
      <c r="N4137" s="208"/>
      <c r="O4137" s="203"/>
      <c r="P4137" s="218"/>
      <c r="Q4137" s="68"/>
      <c r="R4137" s="217"/>
      <c r="T4137" s="208"/>
      <c r="U4137" s="208"/>
      <c r="V4137" s="208"/>
      <c r="W4137" s="208"/>
      <c r="X4137" s="208"/>
    </row>
    <row r="4138" spans="1:25" ht="30" customHeight="1" thickBot="1" x14ac:dyDescent="0.4">
      <c r="A4138" s="546"/>
      <c r="B4138" s="1057" t="s">
        <v>1809</v>
      </c>
      <c r="C4138" s="1057"/>
      <c r="D4138" s="1057"/>
      <c r="E4138" s="925">
        <v>558597.80000000005</v>
      </c>
      <c r="F4138" s="522" t="s">
        <v>34</v>
      </c>
      <c r="G4138" s="689"/>
      <c r="H4138" s="926"/>
      <c r="I4138" s="923">
        <v>1.01</v>
      </c>
      <c r="J4138" s="712">
        <f>+'2021 MILCON Inflation Table'!F10</f>
        <v>1.3093098833874974</v>
      </c>
      <c r="K4138" s="696">
        <f>+E4138/I4138*J4138</f>
        <v>724136.25780050759</v>
      </c>
      <c r="L4138" s="698" t="s">
        <v>34</v>
      </c>
      <c r="M4138" s="173"/>
      <c r="O4138" s="203"/>
      <c r="P4138" s="218"/>
      <c r="Q4138" s="68"/>
      <c r="R4138" s="217"/>
      <c r="Y4138" s="208"/>
    </row>
    <row r="4139" spans="1:25" ht="30" customHeight="1" thickBot="1" x14ac:dyDescent="0.4">
      <c r="A4139" s="241"/>
      <c r="B4139" s="1059"/>
      <c r="C4139" s="1059"/>
      <c r="D4139" s="1082"/>
      <c r="E4139" s="1369" t="s">
        <v>479</v>
      </c>
      <c r="F4139" s="1370"/>
      <c r="G4139" s="1370"/>
      <c r="H4139" s="1371"/>
      <c r="I4139" s="766"/>
      <c r="J4139" s="510" t="s">
        <v>2356</v>
      </c>
      <c r="K4139" s="774">
        <f>+K4138</f>
        <v>724136.25780050759</v>
      </c>
      <c r="L4139" s="243" t="s">
        <v>34</v>
      </c>
      <c r="M4139" s="173"/>
      <c r="O4139" s="203"/>
      <c r="P4139" s="218"/>
      <c r="Q4139" s="68"/>
      <c r="R4139" s="217"/>
      <c r="S4139" s="208"/>
    </row>
    <row r="4140" spans="1:25" ht="30" customHeight="1" thickBot="1" x14ac:dyDescent="0.4">
      <c r="A4140" s="1372" t="s">
        <v>3143</v>
      </c>
      <c r="B4140" s="1373"/>
      <c r="C4140" s="1373"/>
      <c r="D4140" s="1373"/>
      <c r="E4140" s="1373"/>
      <c r="F4140" s="504"/>
      <c r="G4140" s="504"/>
      <c r="H4140" s="504"/>
      <c r="I4140" s="515"/>
      <c r="J4140" s="515"/>
      <c r="K4140" s="515"/>
      <c r="L4140" s="903"/>
      <c r="M4140" s="173"/>
      <c r="P4140" s="171"/>
      <c r="Q4140" s="171"/>
      <c r="R4140" s="171"/>
      <c r="S4140" s="51"/>
      <c r="T4140" s="51"/>
      <c r="U4140" s="171"/>
      <c r="Y4140" s="208"/>
    </row>
    <row r="4141" spans="1:25" s="208" customFormat="1" ht="30" customHeight="1" thickBot="1" x14ac:dyDescent="0.4">
      <c r="A4141" s="481"/>
      <c r="B4141" s="482"/>
      <c r="C4141" s="482"/>
      <c r="D4141" s="482"/>
      <c r="E4141" s="482"/>
      <c r="F4141" s="482"/>
      <c r="G4141" s="482"/>
      <c r="H4141" s="482"/>
      <c r="I4141" s="482"/>
      <c r="J4141" s="482"/>
      <c r="K4141" s="482"/>
      <c r="L4141" s="483"/>
      <c r="M4141" s="363"/>
      <c r="N4141" s="203"/>
      <c r="O4141" s="203"/>
      <c r="P4141" s="218"/>
      <c r="Q4141" s="68"/>
      <c r="R4141" s="217"/>
      <c r="S4141" s="203"/>
      <c r="T4141" s="203"/>
      <c r="U4141" s="203"/>
      <c r="V4141" s="203"/>
      <c r="W4141" s="203"/>
      <c r="X4141" s="203"/>
      <c r="Y4141" s="203"/>
    </row>
    <row r="4142" spans="1:25" ht="30" customHeight="1" x14ac:dyDescent="0.35">
      <c r="A4142" s="465" t="s">
        <v>278</v>
      </c>
      <c r="B4142" s="539">
        <v>8412</v>
      </c>
      <c r="C4142" s="1231" t="s">
        <v>1811</v>
      </c>
      <c r="D4142" s="1327"/>
      <c r="E4142" s="541" t="s">
        <v>280</v>
      </c>
      <c r="F4142" s="542" t="s">
        <v>226</v>
      </c>
      <c r="G4142" s="543" t="s">
        <v>285</v>
      </c>
      <c r="H4142" s="555">
        <v>1189</v>
      </c>
      <c r="I4142" s="541" t="s">
        <v>281</v>
      </c>
      <c r="J4142" s="1019" t="s">
        <v>2425</v>
      </c>
      <c r="K4142" s="1019"/>
      <c r="L4142" s="1020"/>
      <c r="M4142" s="173"/>
      <c r="O4142" s="203"/>
      <c r="P4142" s="218"/>
      <c r="Q4142" s="68"/>
      <c r="R4142" s="217"/>
    </row>
    <row r="4143" spans="1:25" s="208" customFormat="1" ht="30" customHeight="1" x14ac:dyDescent="0.35">
      <c r="A4143" s="588" t="s">
        <v>298</v>
      </c>
      <c r="B4143" s="1038" t="s">
        <v>321</v>
      </c>
      <c r="C4143" s="1039"/>
      <c r="D4143" s="1040"/>
      <c r="E4143" s="23" t="s">
        <v>290</v>
      </c>
      <c r="F4143" s="23" t="s">
        <v>322</v>
      </c>
      <c r="G4143" s="1034" t="s">
        <v>323</v>
      </c>
      <c r="H4143" s="1035"/>
      <c r="I4143" s="509" t="s">
        <v>299</v>
      </c>
      <c r="J4143" s="509" t="s">
        <v>405</v>
      </c>
      <c r="K4143" s="1012" t="s">
        <v>292</v>
      </c>
      <c r="L4143" s="1013"/>
      <c r="M4143" s="173"/>
      <c r="N4143" s="203"/>
      <c r="O4143" s="171"/>
      <c r="P4143" s="216"/>
      <c r="Q4143" s="419"/>
      <c r="R4143" s="217"/>
      <c r="S4143" s="203"/>
      <c r="T4143" s="203"/>
      <c r="U4143" s="203"/>
      <c r="V4143" s="203"/>
      <c r="W4143" s="203"/>
      <c r="X4143" s="203"/>
      <c r="Y4143" s="203"/>
    </row>
    <row r="4144" spans="1:25" ht="30" customHeight="1" x14ac:dyDescent="0.35">
      <c r="A4144" s="241" t="s">
        <v>1087</v>
      </c>
      <c r="B4144" s="1082" t="s">
        <v>1812</v>
      </c>
      <c r="C4144" s="1083"/>
      <c r="D4144" s="1093"/>
      <c r="E4144" s="40">
        <f>+((4.57+5.44)/2)</f>
        <v>5.0050000000000008</v>
      </c>
      <c r="F4144" s="3" t="s">
        <v>1813</v>
      </c>
      <c r="G4144" s="80">
        <v>1000</v>
      </c>
      <c r="H4144" s="498" t="s">
        <v>1782</v>
      </c>
      <c r="I4144" s="446">
        <v>1.05</v>
      </c>
      <c r="J4144" s="178">
        <f>+'2021 MILCON Inflation Table'!$F$14</f>
        <v>1.1198495748855462</v>
      </c>
      <c r="K4144" s="591">
        <f>+E4144*G4144*I4144*J4144</f>
        <v>5885.0894784172679</v>
      </c>
      <c r="L4144" s="676" t="s">
        <v>226</v>
      </c>
      <c r="M4144" s="173"/>
      <c r="O4144" s="171"/>
      <c r="P4144" s="216"/>
      <c r="Q4144" s="419"/>
      <c r="R4144" s="217"/>
    </row>
    <row r="4145" spans="1:25" ht="30" customHeight="1" x14ac:dyDescent="0.35">
      <c r="A4145" s="241"/>
      <c r="B4145" s="506"/>
      <c r="C4145" s="506"/>
      <c r="D4145" s="506"/>
      <c r="E4145" s="453"/>
      <c r="F4145" s="1029" t="s">
        <v>302</v>
      </c>
      <c r="G4145" s="1058" t="s">
        <v>303</v>
      </c>
      <c r="H4145" s="1058"/>
      <c r="I4145" s="1058"/>
      <c r="J4145" s="1058"/>
      <c r="K4145" s="612">
        <v>1.07</v>
      </c>
      <c r="L4145" s="243"/>
      <c r="M4145" s="173"/>
      <c r="N4145" s="68"/>
      <c r="O4145" s="203"/>
      <c r="P4145" s="216"/>
      <c r="Q4145" s="419"/>
      <c r="R4145" s="217"/>
    </row>
    <row r="4146" spans="1:25" ht="30" customHeight="1" x14ac:dyDescent="0.35">
      <c r="A4146" s="241"/>
      <c r="B4146" s="506"/>
      <c r="C4146" s="506"/>
      <c r="D4146" s="506"/>
      <c r="E4146" s="453"/>
      <c r="F4146" s="1030"/>
      <c r="G4146" s="1073" t="s">
        <v>2374</v>
      </c>
      <c r="H4146" s="1073"/>
      <c r="I4146" s="1073"/>
      <c r="J4146" s="1073"/>
      <c r="K4146" s="612">
        <v>1.08</v>
      </c>
      <c r="L4146" s="243"/>
      <c r="M4146" s="173"/>
      <c r="N4146" s="68"/>
      <c r="O4146" s="203"/>
      <c r="P4146" s="216"/>
      <c r="Q4146" s="419"/>
      <c r="R4146" s="219"/>
    </row>
    <row r="4147" spans="1:25" ht="30" customHeight="1" x14ac:dyDescent="0.35">
      <c r="A4147" s="717"/>
      <c r="B4147" s="1031"/>
      <c r="C4147" s="1032"/>
      <c r="D4147" s="1033"/>
      <c r="E4147" s="453"/>
      <c r="F4147" s="3"/>
      <c r="G4147" s="639"/>
      <c r="H4147" s="659"/>
      <c r="I4147" s="446"/>
      <c r="J4147" s="446" t="s">
        <v>2356</v>
      </c>
      <c r="K4147" s="591">
        <f>+K4144*K4145/K4146</f>
        <v>5830.5979091726631</v>
      </c>
      <c r="L4147" s="243" t="s">
        <v>226</v>
      </c>
      <c r="M4147" s="363"/>
      <c r="N4147" s="68"/>
      <c r="O4147" s="203"/>
      <c r="P4147" s="216"/>
      <c r="Q4147" s="419"/>
      <c r="R4147" s="219"/>
    </row>
    <row r="4148" spans="1:25" ht="30" customHeight="1" x14ac:dyDescent="0.35">
      <c r="A4148" s="717"/>
      <c r="B4148" s="516"/>
      <c r="C4148" s="570"/>
      <c r="D4148" s="571"/>
      <c r="E4148" s="453"/>
      <c r="F4148" s="3"/>
      <c r="G4148" s="592" t="s">
        <v>2358</v>
      </c>
      <c r="H4148" s="659"/>
      <c r="I4148" s="446"/>
      <c r="J4148" s="583">
        <f>VLOOKUP(B4142,'Mil Cost Premiums for PUCs'!$A$4:$R$272,18,FALSE)</f>
        <v>1.1199953840399997</v>
      </c>
      <c r="K4148" s="591">
        <f>+K4147*J4148</f>
        <v>6530.2427444666555</v>
      </c>
      <c r="L4148" s="243" t="s">
        <v>226</v>
      </c>
      <c r="M4148" s="173"/>
      <c r="N4148" s="68"/>
      <c r="P4148" s="216"/>
      <c r="Q4148" s="419"/>
      <c r="R4148" s="217"/>
    </row>
    <row r="4149" spans="1:25" ht="60" customHeight="1" x14ac:dyDescent="0.35">
      <c r="A4149" s="1064" t="s">
        <v>305</v>
      </c>
      <c r="B4149" s="1065"/>
      <c r="C4149" s="1065"/>
      <c r="D4149" s="1065"/>
      <c r="E4149" s="1065"/>
      <c r="F4149" s="1065"/>
      <c r="G4149" s="1065"/>
      <c r="H4149" s="1065"/>
      <c r="I4149" s="1065"/>
      <c r="J4149" s="1065"/>
      <c r="K4149" s="1065"/>
      <c r="L4149" s="1066"/>
      <c r="M4149" s="173"/>
      <c r="N4149" s="68"/>
      <c r="P4149" s="171"/>
      <c r="Q4149" s="171"/>
      <c r="R4149" s="171"/>
      <c r="S4149" s="51"/>
      <c r="U4149" s="171"/>
      <c r="Y4149" s="208"/>
    </row>
    <row r="4150" spans="1:25" ht="30" customHeight="1" x14ac:dyDescent="0.35">
      <c r="A4150" s="1077" t="s">
        <v>306</v>
      </c>
      <c r="B4150" s="1042"/>
      <c r="C4150" s="1043"/>
      <c r="D4150" s="1067" t="s">
        <v>1814</v>
      </c>
      <c r="E4150" s="1065"/>
      <c r="F4150" s="1065"/>
      <c r="G4150" s="1065"/>
      <c r="H4150" s="1065"/>
      <c r="I4150" s="1065"/>
      <c r="J4150" s="1065"/>
      <c r="K4150" s="1065"/>
      <c r="L4150" s="1066"/>
      <c r="M4150" s="173"/>
      <c r="N4150" s="425"/>
      <c r="O4150" s="203"/>
      <c r="P4150" s="171"/>
      <c r="Q4150" s="171"/>
      <c r="R4150" s="171"/>
      <c r="S4150" s="51"/>
    </row>
    <row r="4151" spans="1:25" ht="30" customHeight="1" x14ac:dyDescent="0.35">
      <c r="A4151" s="1077" t="s">
        <v>307</v>
      </c>
      <c r="B4151" s="1042"/>
      <c r="C4151" s="1043"/>
      <c r="D4151" s="1067" t="s">
        <v>1815</v>
      </c>
      <c r="E4151" s="1065"/>
      <c r="F4151" s="1065"/>
      <c r="G4151" s="1065"/>
      <c r="H4151" s="1065"/>
      <c r="I4151" s="1065"/>
      <c r="J4151" s="1065"/>
      <c r="K4151" s="1065"/>
      <c r="L4151" s="1066"/>
      <c r="M4151" s="173"/>
      <c r="N4151" s="68"/>
      <c r="O4151" s="203"/>
      <c r="P4151" s="171"/>
      <c r="Q4151" s="171"/>
      <c r="R4151" s="171"/>
      <c r="S4151" s="51"/>
    </row>
    <row r="4152" spans="1:25" s="208" customFormat="1" ht="30" customHeight="1" x14ac:dyDescent="0.35">
      <c r="A4152" s="1077" t="s">
        <v>308</v>
      </c>
      <c r="B4152" s="1042"/>
      <c r="C4152" s="1043"/>
      <c r="D4152" s="1067" t="s">
        <v>3183</v>
      </c>
      <c r="E4152" s="1065"/>
      <c r="F4152" s="1065"/>
      <c r="G4152" s="1065"/>
      <c r="H4152" s="1065"/>
      <c r="I4152" s="1065"/>
      <c r="J4152" s="1065"/>
      <c r="K4152" s="1065"/>
      <c r="L4152" s="1066"/>
      <c r="M4152" s="173"/>
      <c r="N4152" s="68"/>
      <c r="P4152" s="218"/>
      <c r="Q4152" s="68"/>
      <c r="R4152" s="217"/>
      <c r="S4152" s="203"/>
      <c r="T4152" s="203"/>
      <c r="U4152" s="203"/>
      <c r="V4152" s="203"/>
      <c r="W4152" s="203"/>
      <c r="X4152" s="203"/>
      <c r="Y4152" s="203"/>
    </row>
    <row r="4153" spans="1:25" ht="30" customHeight="1" x14ac:dyDescent="0.35">
      <c r="A4153" s="1077" t="s">
        <v>309</v>
      </c>
      <c r="B4153" s="1042"/>
      <c r="C4153" s="1043"/>
      <c r="D4153" s="1067" t="s">
        <v>1816</v>
      </c>
      <c r="E4153" s="1065"/>
      <c r="F4153" s="1065"/>
      <c r="G4153" s="1065"/>
      <c r="H4153" s="1065"/>
      <c r="I4153" s="1065"/>
      <c r="J4153" s="1065"/>
      <c r="K4153" s="1065"/>
      <c r="L4153" s="1066"/>
      <c r="M4153" s="173"/>
      <c r="N4153" s="68"/>
      <c r="O4153" s="203"/>
      <c r="P4153" s="218"/>
      <c r="Q4153" s="68"/>
      <c r="R4153" s="217"/>
      <c r="T4153" s="208"/>
      <c r="U4153" s="208"/>
      <c r="V4153" s="208"/>
      <c r="W4153" s="208"/>
      <c r="X4153" s="208"/>
    </row>
    <row r="4154" spans="1:25" ht="30" customHeight="1" x14ac:dyDescent="0.35">
      <c r="A4154" s="1077" t="s">
        <v>311</v>
      </c>
      <c r="B4154" s="1042"/>
      <c r="C4154" s="1043"/>
      <c r="D4154" s="1067" t="s">
        <v>1816</v>
      </c>
      <c r="E4154" s="1065"/>
      <c r="F4154" s="1065"/>
      <c r="G4154" s="1065"/>
      <c r="H4154" s="1065"/>
      <c r="I4154" s="1065"/>
      <c r="J4154" s="1065"/>
      <c r="K4154" s="1065"/>
      <c r="L4154" s="1066"/>
      <c r="M4154" s="173"/>
      <c r="N4154" s="68"/>
      <c r="O4154" s="203"/>
      <c r="P4154" s="216"/>
      <c r="Q4154" s="419"/>
      <c r="R4154" s="217"/>
      <c r="Y4154" s="208"/>
    </row>
    <row r="4155" spans="1:25" ht="30" customHeight="1" x14ac:dyDescent="0.35">
      <c r="A4155" s="1077" t="s">
        <v>313</v>
      </c>
      <c r="B4155" s="1042"/>
      <c r="C4155" s="1043"/>
      <c r="D4155" s="1067" t="s">
        <v>1682</v>
      </c>
      <c r="E4155" s="1065"/>
      <c r="F4155" s="1065"/>
      <c r="G4155" s="1065"/>
      <c r="H4155" s="1065"/>
      <c r="I4155" s="1065"/>
      <c r="J4155" s="1065"/>
      <c r="K4155" s="1065"/>
      <c r="L4155" s="1066"/>
      <c r="M4155" s="173"/>
      <c r="O4155" s="203"/>
      <c r="P4155" s="216"/>
      <c r="Q4155" s="419"/>
      <c r="R4155" s="217"/>
      <c r="S4155" s="208"/>
    </row>
    <row r="4156" spans="1:25" ht="30" customHeight="1" x14ac:dyDescent="0.35">
      <c r="A4156" s="1077" t="s">
        <v>315</v>
      </c>
      <c r="B4156" s="1042"/>
      <c r="C4156" s="1043"/>
      <c r="D4156" s="1067" t="s">
        <v>1817</v>
      </c>
      <c r="E4156" s="1065"/>
      <c r="F4156" s="1065"/>
      <c r="G4156" s="1065"/>
      <c r="H4156" s="1065"/>
      <c r="I4156" s="1065"/>
      <c r="J4156" s="1065"/>
      <c r="K4156" s="1065"/>
      <c r="L4156" s="1066"/>
      <c r="M4156" s="173"/>
      <c r="O4156" s="171"/>
      <c r="P4156" s="216"/>
      <c r="Q4156" s="419"/>
      <c r="R4156" s="217"/>
    </row>
    <row r="4157" spans="1:25" s="208" customFormat="1" ht="30" customHeight="1" x14ac:dyDescent="0.35">
      <c r="A4157" s="1077" t="s">
        <v>316</v>
      </c>
      <c r="B4157" s="1042"/>
      <c r="C4157" s="1043"/>
      <c r="D4157" s="1067" t="s">
        <v>317</v>
      </c>
      <c r="E4157" s="1065"/>
      <c r="F4157" s="1065"/>
      <c r="G4157" s="1065"/>
      <c r="H4157" s="1065"/>
      <c r="I4157" s="1065"/>
      <c r="J4157" s="1065"/>
      <c r="K4157" s="1065"/>
      <c r="L4157" s="1066"/>
      <c r="M4157" s="173"/>
      <c r="N4157" s="203"/>
      <c r="O4157" s="171"/>
      <c r="P4157" s="218"/>
      <c r="Q4157" s="68"/>
      <c r="R4157" s="217"/>
      <c r="S4157" s="203"/>
      <c r="T4157" s="203"/>
      <c r="U4157" s="203"/>
      <c r="V4157" s="203"/>
      <c r="W4157" s="203"/>
      <c r="X4157" s="203"/>
      <c r="Y4157" s="203"/>
    </row>
    <row r="4158" spans="1:25" ht="45" customHeight="1" thickBot="1" x14ac:dyDescent="0.4">
      <c r="A4158" s="1078" t="s">
        <v>318</v>
      </c>
      <c r="B4158" s="1079"/>
      <c r="C4158" s="1080"/>
      <c r="D4158" s="1068" t="s">
        <v>2601</v>
      </c>
      <c r="E4158" s="1069"/>
      <c r="F4158" s="1069"/>
      <c r="G4158" s="1069"/>
      <c r="H4158" s="1069"/>
      <c r="I4158" s="1069"/>
      <c r="J4158" s="1069"/>
      <c r="K4158" s="1069"/>
      <c r="L4158" s="1070"/>
      <c r="M4158" s="173"/>
      <c r="O4158" s="203"/>
      <c r="P4158" s="218"/>
      <c r="Q4158" s="68"/>
      <c r="R4158" s="217"/>
    </row>
    <row r="4159" spans="1:25" ht="30" customHeight="1" thickBot="1" x14ac:dyDescent="0.4">
      <c r="A4159" s="481"/>
      <c r="B4159" s="482"/>
      <c r="C4159" s="482"/>
      <c r="D4159" s="482"/>
      <c r="E4159" s="482"/>
      <c r="F4159" s="482"/>
      <c r="G4159" s="482"/>
      <c r="H4159" s="482"/>
      <c r="I4159" s="482"/>
      <c r="J4159" s="482"/>
      <c r="K4159" s="482"/>
      <c r="L4159" s="483"/>
      <c r="M4159" s="363"/>
      <c r="O4159" s="203"/>
      <c r="P4159" s="216"/>
      <c r="Q4159" s="419"/>
      <c r="R4159" s="219"/>
    </row>
    <row r="4160" spans="1:25" ht="60" customHeight="1" x14ac:dyDescent="0.35">
      <c r="A4160" s="465" t="s">
        <v>278</v>
      </c>
      <c r="B4160" s="539">
        <v>8413</v>
      </c>
      <c r="C4160" s="1017" t="s">
        <v>1818</v>
      </c>
      <c r="D4160" s="1018"/>
      <c r="E4160" s="541" t="s">
        <v>280</v>
      </c>
      <c r="F4160" s="542" t="s">
        <v>5</v>
      </c>
      <c r="G4160" s="543" t="s">
        <v>285</v>
      </c>
      <c r="H4160" s="875">
        <v>322053</v>
      </c>
      <c r="I4160" s="541" t="s">
        <v>281</v>
      </c>
      <c r="J4160" s="1019" t="s">
        <v>2749</v>
      </c>
      <c r="K4160" s="1019"/>
      <c r="L4160" s="1020"/>
      <c r="M4160" s="173"/>
      <c r="N4160" s="68"/>
      <c r="O4160" s="203"/>
      <c r="P4160" s="216"/>
      <c r="Q4160" s="419"/>
      <c r="R4160" s="219"/>
    </row>
    <row r="4161" spans="1:25" ht="30" customHeight="1" x14ac:dyDescent="0.35">
      <c r="A4161" s="545" t="s">
        <v>288</v>
      </c>
      <c r="B4161" s="1038" t="s">
        <v>321</v>
      </c>
      <c r="C4161" s="1039"/>
      <c r="D4161" s="1040"/>
      <c r="E4161" s="23" t="s">
        <v>290</v>
      </c>
      <c r="F4161" s="23" t="s">
        <v>322</v>
      </c>
      <c r="G4161" s="1034" t="s">
        <v>323</v>
      </c>
      <c r="H4161" s="1035"/>
      <c r="I4161" s="1052" t="s">
        <v>405</v>
      </c>
      <c r="J4161" s="1053"/>
      <c r="K4161" s="595" t="s">
        <v>292</v>
      </c>
      <c r="L4161" s="739"/>
      <c r="M4161" s="173"/>
      <c r="N4161" s="68"/>
      <c r="O4161" s="203"/>
      <c r="P4161" s="218"/>
      <c r="Q4161" s="68"/>
      <c r="R4161" s="217"/>
    </row>
    <row r="4162" spans="1:25" ht="30" customHeight="1" x14ac:dyDescent="0.35">
      <c r="A4162" s="241">
        <v>84620</v>
      </c>
      <c r="B4162" s="1082" t="s">
        <v>1819</v>
      </c>
      <c r="C4162" s="1083"/>
      <c r="D4162" s="1093"/>
      <c r="E4162" s="40">
        <v>481970</v>
      </c>
      <c r="F4162" s="3" t="s">
        <v>10</v>
      </c>
      <c r="G4162" s="80">
        <v>250000</v>
      </c>
      <c r="H4162" s="498" t="s">
        <v>1192</v>
      </c>
      <c r="I4162" s="1062">
        <f>+'2021 MILCON Inflation Table'!$F$20</f>
        <v>0.9432470865927236</v>
      </c>
      <c r="J4162" s="1063"/>
      <c r="K4162" s="591">
        <f>+E4162/G4162*I4162</f>
        <v>1.81846719330038</v>
      </c>
      <c r="L4162" s="676" t="s">
        <v>5</v>
      </c>
      <c r="M4162" s="173"/>
      <c r="N4162" s="68"/>
      <c r="O4162" s="208"/>
      <c r="P4162" s="218"/>
      <c r="Q4162" s="68"/>
      <c r="R4162" s="217"/>
    </row>
    <row r="4163" spans="1:25" ht="30" customHeight="1" x14ac:dyDescent="0.35">
      <c r="A4163" s="241">
        <v>84620</v>
      </c>
      <c r="B4163" s="1082" t="s">
        <v>1820</v>
      </c>
      <c r="C4163" s="1083"/>
      <c r="D4163" s="1093"/>
      <c r="E4163" s="453">
        <v>677050</v>
      </c>
      <c r="F4163" s="446" t="s">
        <v>10</v>
      </c>
      <c r="G4163" s="927">
        <v>500000</v>
      </c>
      <c r="H4163" s="659" t="s">
        <v>1192</v>
      </c>
      <c r="I4163" s="1062">
        <f>+'2021 MILCON Inflation Table'!$F$20</f>
        <v>0.9432470865927236</v>
      </c>
      <c r="J4163" s="1063"/>
      <c r="K4163" s="591">
        <f>+E4163/G4163*I4163</f>
        <v>1.2772508799552071</v>
      </c>
      <c r="L4163" s="243" t="s">
        <v>5</v>
      </c>
      <c r="M4163" s="173"/>
      <c r="N4163" s="68"/>
      <c r="O4163" s="203"/>
      <c r="P4163" s="218"/>
      <c r="Q4163" s="68"/>
      <c r="R4163" s="217"/>
      <c r="T4163" s="208"/>
      <c r="U4163" s="208"/>
      <c r="V4163" s="208"/>
      <c r="W4163" s="208"/>
      <c r="X4163" s="208"/>
    </row>
    <row r="4164" spans="1:25" ht="30" customHeight="1" x14ac:dyDescent="0.35">
      <c r="A4164" s="717"/>
      <c r="B4164" s="1102"/>
      <c r="C4164" s="1102"/>
      <c r="D4164" s="1102"/>
      <c r="E4164" s="453"/>
      <c r="F4164" s="446"/>
      <c r="G4164" s="446"/>
      <c r="H4164" s="446"/>
      <c r="I4164" s="446"/>
      <c r="J4164" s="446" t="s">
        <v>304</v>
      </c>
      <c r="K4164" s="453">
        <f>AVERAGE(K4162:K4163)</f>
        <v>1.5478590366277936</v>
      </c>
      <c r="L4164" s="243" t="s">
        <v>5</v>
      </c>
      <c r="M4164" s="173"/>
      <c r="N4164" s="68"/>
      <c r="O4164" s="203"/>
      <c r="P4164" s="218"/>
      <c r="Q4164" s="68"/>
      <c r="R4164" s="217"/>
      <c r="Y4164" s="208"/>
    </row>
    <row r="4165" spans="1:25" ht="30" customHeight="1" thickBot="1" x14ac:dyDescent="0.4">
      <c r="A4165" s="241"/>
      <c r="B4165" s="446"/>
      <c r="C4165" s="458"/>
      <c r="D4165" s="458"/>
      <c r="E4165" s="458"/>
      <c r="F4165" s="458"/>
      <c r="G4165" s="458"/>
      <c r="H4165" s="458"/>
      <c r="I4165" s="458"/>
      <c r="J4165" s="510" t="s">
        <v>2356</v>
      </c>
      <c r="K4165" s="591">
        <f>+K4164</f>
        <v>1.5478590366277936</v>
      </c>
      <c r="L4165" s="243" t="s">
        <v>5</v>
      </c>
      <c r="M4165" s="173"/>
      <c r="N4165" s="419"/>
      <c r="O4165" s="203"/>
      <c r="P4165" s="218"/>
      <c r="Q4165" s="68"/>
      <c r="R4165" s="217"/>
      <c r="S4165" s="208"/>
    </row>
    <row r="4166" spans="1:25" ht="30" customHeight="1" thickBot="1" x14ac:dyDescent="0.4">
      <c r="A4166" s="481"/>
      <c r="B4166" s="482"/>
      <c r="C4166" s="482"/>
      <c r="D4166" s="482"/>
      <c r="E4166" s="482"/>
      <c r="F4166" s="482"/>
      <c r="G4166" s="482"/>
      <c r="H4166" s="482"/>
      <c r="I4166" s="482"/>
      <c r="J4166" s="482"/>
      <c r="K4166" s="482"/>
      <c r="L4166" s="483"/>
      <c r="M4166" s="173"/>
      <c r="N4166" s="419"/>
      <c r="O4166" s="203"/>
      <c r="P4166" s="218"/>
      <c r="Q4166" s="68"/>
      <c r="R4166" s="217"/>
    </row>
    <row r="4167" spans="1:25" s="208" customFormat="1" ht="30" customHeight="1" x14ac:dyDescent="0.35">
      <c r="A4167" s="465" t="s">
        <v>278</v>
      </c>
      <c r="B4167" s="539">
        <v>8414</v>
      </c>
      <c r="C4167" s="1017" t="s">
        <v>3174</v>
      </c>
      <c r="D4167" s="1018"/>
      <c r="E4167" s="541" t="s">
        <v>280</v>
      </c>
      <c r="F4167" s="542" t="s">
        <v>226</v>
      </c>
      <c r="G4167" s="543" t="s">
        <v>285</v>
      </c>
      <c r="H4167" s="555">
        <v>510</v>
      </c>
      <c r="I4167" s="541" t="s">
        <v>281</v>
      </c>
      <c r="J4167" s="1019" t="s">
        <v>2371</v>
      </c>
      <c r="K4167" s="1019"/>
      <c r="L4167" s="1020"/>
      <c r="M4167" s="363"/>
      <c r="N4167" s="68"/>
      <c r="O4167" s="171"/>
      <c r="P4167" s="218"/>
      <c r="Q4167" s="68"/>
      <c r="R4167" s="217"/>
      <c r="S4167" s="203"/>
      <c r="T4167" s="203"/>
      <c r="U4167" s="203"/>
      <c r="V4167" s="203"/>
      <c r="W4167" s="203"/>
      <c r="X4167" s="203"/>
      <c r="Y4167" s="203"/>
    </row>
    <row r="4168" spans="1:25" ht="30" customHeight="1" x14ac:dyDescent="0.35">
      <c r="A4168" s="588" t="s">
        <v>298</v>
      </c>
      <c r="B4168" s="1038" t="s">
        <v>321</v>
      </c>
      <c r="C4168" s="1039"/>
      <c r="D4168" s="1040"/>
      <c r="E4168" s="23" t="s">
        <v>290</v>
      </c>
      <c r="F4168" s="23" t="s">
        <v>322</v>
      </c>
      <c r="G4168" s="1034" t="s">
        <v>323</v>
      </c>
      <c r="H4168" s="1035"/>
      <c r="I4168" s="509" t="s">
        <v>299</v>
      </c>
      <c r="J4168" s="509"/>
      <c r="K4168" s="1012" t="s">
        <v>292</v>
      </c>
      <c r="L4168" s="1013"/>
      <c r="M4168" s="173"/>
      <c r="N4168" s="68"/>
      <c r="O4168" s="171"/>
      <c r="P4168" s="218"/>
      <c r="Q4168" s="68"/>
      <c r="R4168" s="217"/>
    </row>
    <row r="4169" spans="1:25" ht="45" customHeight="1" x14ac:dyDescent="0.35">
      <c r="A4169" s="241" t="s">
        <v>475</v>
      </c>
      <c r="B4169" s="1082" t="s">
        <v>2461</v>
      </c>
      <c r="C4169" s="1083"/>
      <c r="D4169" s="1093"/>
      <c r="E4169" s="40">
        <f>200*56</f>
        <v>11200</v>
      </c>
      <c r="F4169" s="3" t="s">
        <v>10</v>
      </c>
      <c r="G4169" s="928">
        <f>+H4167</f>
        <v>510</v>
      </c>
      <c r="H4169" s="182" t="s">
        <v>1785</v>
      </c>
      <c r="I4169" s="446">
        <v>1.04</v>
      </c>
      <c r="J4169" s="3"/>
      <c r="K4169" s="591">
        <f>+E4169/G4169*I4169</f>
        <v>22.83921568627451</v>
      </c>
      <c r="L4169" s="676" t="s">
        <v>226</v>
      </c>
      <c r="M4169" s="173"/>
      <c r="N4169" s="68"/>
      <c r="O4169" s="203"/>
      <c r="P4169" s="218"/>
      <c r="Q4169" s="68"/>
      <c r="R4169" s="217"/>
    </row>
    <row r="4170" spans="1:25" ht="30" customHeight="1" x14ac:dyDescent="0.35">
      <c r="A4170" s="241" t="s">
        <v>1821</v>
      </c>
      <c r="B4170" s="1031" t="s">
        <v>1836</v>
      </c>
      <c r="C4170" s="1032"/>
      <c r="D4170" s="1033"/>
      <c r="E4170" s="453">
        <v>14900</v>
      </c>
      <c r="F4170" s="639" t="s">
        <v>10</v>
      </c>
      <c r="G4170" s="927">
        <f>(864*0.75)</f>
        <v>648</v>
      </c>
      <c r="H4170" s="655" t="s">
        <v>1835</v>
      </c>
      <c r="I4170" s="446">
        <v>1.06</v>
      </c>
      <c r="J4170" s="446"/>
      <c r="K4170" s="591">
        <f>+E4170/G4170*I4170</f>
        <v>24.373456790123456</v>
      </c>
      <c r="L4170" s="243" t="s">
        <v>226</v>
      </c>
      <c r="M4170" s="173"/>
      <c r="N4170" s="68"/>
      <c r="P4170" s="216"/>
      <c r="Q4170" s="419"/>
      <c r="R4170" s="219"/>
    </row>
    <row r="4171" spans="1:25" ht="30" customHeight="1" x14ac:dyDescent="0.35">
      <c r="A4171" s="717"/>
      <c r="B4171" s="516" t="s">
        <v>2273</v>
      </c>
      <c r="C4171" s="570"/>
      <c r="D4171" s="570"/>
      <c r="E4171" s="570"/>
      <c r="F4171" s="571"/>
      <c r="G4171" s="3"/>
      <c r="H4171" s="3"/>
      <c r="I4171" s="446"/>
      <c r="J4171" s="446" t="s">
        <v>335</v>
      </c>
      <c r="K4171" s="453">
        <f>SUM(K4169:K4170)</f>
        <v>47.212672476397969</v>
      </c>
      <c r="L4171" s="243" t="s">
        <v>226</v>
      </c>
      <c r="M4171" s="173"/>
      <c r="N4171" s="68"/>
      <c r="P4171" s="216"/>
      <c r="Q4171" s="419"/>
      <c r="R4171" s="219"/>
      <c r="T4171" s="51"/>
      <c r="U4171" s="171"/>
    </row>
    <row r="4172" spans="1:25" ht="30" customHeight="1" x14ac:dyDescent="0.35">
      <c r="A4172" s="241"/>
      <c r="B4172" s="506"/>
      <c r="C4172" s="506"/>
      <c r="D4172" s="506"/>
      <c r="E4172" s="453"/>
      <c r="F4172" s="1029" t="s">
        <v>302</v>
      </c>
      <c r="G4172" s="1058" t="s">
        <v>303</v>
      </c>
      <c r="H4172" s="1058"/>
      <c r="I4172" s="1058"/>
      <c r="J4172" s="1058"/>
      <c r="K4172" s="612">
        <v>1.07</v>
      </c>
      <c r="L4172" s="243"/>
      <c r="M4172" s="173"/>
      <c r="N4172" s="68"/>
      <c r="P4172" s="218"/>
      <c r="Q4172" s="68"/>
      <c r="R4172" s="217"/>
      <c r="T4172" s="51"/>
      <c r="U4172" s="171"/>
    </row>
    <row r="4173" spans="1:25" ht="30" customHeight="1" x14ac:dyDescent="0.35">
      <c r="A4173" s="241"/>
      <c r="B4173" s="506"/>
      <c r="C4173" s="506"/>
      <c r="D4173" s="506"/>
      <c r="E4173" s="453"/>
      <c r="F4173" s="1030"/>
      <c r="G4173" s="1073" t="s">
        <v>2374</v>
      </c>
      <c r="H4173" s="1073"/>
      <c r="I4173" s="1073"/>
      <c r="J4173" s="1073"/>
      <c r="K4173" s="612">
        <v>1.08</v>
      </c>
      <c r="L4173" s="243"/>
      <c r="M4173" s="173"/>
      <c r="N4173" s="68"/>
      <c r="P4173" s="171"/>
      <c r="Q4173" s="171"/>
      <c r="R4173" s="171"/>
      <c r="S4173" s="51"/>
      <c r="T4173" s="51"/>
      <c r="U4173" s="171"/>
    </row>
    <row r="4174" spans="1:25" ht="30" customHeight="1" x14ac:dyDescent="0.35">
      <c r="A4174" s="241"/>
      <c r="B4174" s="446"/>
      <c r="C4174" s="458"/>
      <c r="D4174" s="458"/>
      <c r="E4174" s="458"/>
      <c r="F4174" s="458"/>
      <c r="G4174" s="458"/>
      <c r="H4174" s="458"/>
      <c r="I4174" s="458"/>
      <c r="J4174" s="446" t="s">
        <v>2356</v>
      </c>
      <c r="K4174" s="591">
        <f>+K4171*K4172/K4173</f>
        <v>46.775518101616512</v>
      </c>
      <c r="L4174" s="243" t="s">
        <v>226</v>
      </c>
      <c r="M4174" s="173"/>
      <c r="N4174" s="68"/>
      <c r="P4174" s="171"/>
      <c r="Q4174" s="171"/>
      <c r="R4174" s="171"/>
      <c r="S4174" s="51"/>
      <c r="T4174" s="213"/>
      <c r="U4174" s="75"/>
      <c r="V4174" s="208"/>
      <c r="W4174" s="208"/>
      <c r="X4174" s="208"/>
    </row>
    <row r="4175" spans="1:25" ht="30" customHeight="1" thickBot="1" x14ac:dyDescent="0.4">
      <c r="A4175" s="241"/>
      <c r="B4175" s="446"/>
      <c r="C4175" s="458"/>
      <c r="D4175" s="458"/>
      <c r="E4175" s="458"/>
      <c r="F4175" s="458"/>
      <c r="G4175" s="592" t="s">
        <v>2358</v>
      </c>
      <c r="H4175" s="458"/>
      <c r="I4175" s="458"/>
      <c r="J4175" s="583">
        <f>VLOOKUP(B4167,'Mil Cost Premiums for PUCs'!$A$4:$R$272,18,FALSE)</f>
        <v>1.0209999999999999</v>
      </c>
      <c r="K4175" s="591">
        <f>+K4174*J4175</f>
        <v>47.757803981750456</v>
      </c>
      <c r="L4175" s="243" t="s">
        <v>226</v>
      </c>
      <c r="M4175" s="173"/>
      <c r="N4175" s="68"/>
      <c r="P4175" s="171"/>
      <c r="Q4175" s="171"/>
      <c r="R4175" s="171"/>
      <c r="S4175" s="51"/>
      <c r="U4175" s="171"/>
      <c r="Y4175" s="208"/>
    </row>
    <row r="4176" spans="1:25" ht="30" customHeight="1" thickBot="1" x14ac:dyDescent="0.4">
      <c r="A4176" s="481"/>
      <c r="B4176" s="482"/>
      <c r="C4176" s="482"/>
      <c r="D4176" s="482"/>
      <c r="E4176" s="482"/>
      <c r="F4176" s="482"/>
      <c r="G4176" s="482"/>
      <c r="H4176" s="482"/>
      <c r="I4176" s="482"/>
      <c r="J4176" s="482"/>
      <c r="K4176" s="482"/>
      <c r="L4176" s="483"/>
      <c r="M4176" s="173"/>
      <c r="N4176" s="419"/>
      <c r="P4176" s="75"/>
      <c r="Q4176" s="75"/>
      <c r="R4176" s="75"/>
      <c r="S4176" s="213"/>
      <c r="T4176" s="51"/>
    </row>
    <row r="4177" spans="1:25" ht="30" customHeight="1" x14ac:dyDescent="0.35">
      <c r="A4177" s="467" t="s">
        <v>278</v>
      </c>
      <c r="B4177" s="502">
        <v>8415</v>
      </c>
      <c r="C4177" s="1049" t="s">
        <v>2831</v>
      </c>
      <c r="D4177" s="1050"/>
      <c r="E4177" s="396" t="s">
        <v>280</v>
      </c>
      <c r="F4177" s="67" t="s">
        <v>226</v>
      </c>
      <c r="G4177" s="397" t="s">
        <v>285</v>
      </c>
      <c r="H4177" s="151">
        <v>429</v>
      </c>
      <c r="I4177" s="396" t="s">
        <v>281</v>
      </c>
      <c r="J4177" s="1152" t="s">
        <v>3155</v>
      </c>
      <c r="K4177" s="1152"/>
      <c r="L4177" s="1153"/>
      <c r="M4177" s="173"/>
      <c r="N4177" s="419"/>
      <c r="O4177" s="203"/>
      <c r="T4177" s="51"/>
    </row>
    <row r="4178" spans="1:25" s="208" customFormat="1" ht="30" customHeight="1" x14ac:dyDescent="0.35">
      <c r="A4178" s="929"/>
      <c r="B4178" s="469"/>
      <c r="C4178" s="1051" t="s">
        <v>282</v>
      </c>
      <c r="D4178" s="1051"/>
      <c r="E4178" s="1051"/>
      <c r="F4178" s="561" t="s">
        <v>290</v>
      </c>
      <c r="G4178" s="470"/>
      <c r="H4178" s="428"/>
      <c r="I4178" s="1052" t="s">
        <v>405</v>
      </c>
      <c r="J4178" s="1053"/>
      <c r="K4178" s="471"/>
      <c r="L4178" s="930"/>
      <c r="M4178" s="173"/>
      <c r="N4178" s="68"/>
      <c r="O4178" s="203"/>
      <c r="P4178" s="171"/>
      <c r="Q4178" s="171"/>
      <c r="R4178" s="171"/>
      <c r="S4178" s="51"/>
      <c r="T4178" s="203"/>
      <c r="U4178" s="203"/>
      <c r="V4178" s="203"/>
      <c r="W4178" s="203"/>
      <c r="X4178" s="203"/>
      <c r="Y4178" s="203"/>
    </row>
    <row r="4179" spans="1:25" ht="30" customHeight="1" thickBot="1" x14ac:dyDescent="0.4">
      <c r="A4179" s="931"/>
      <c r="B4179" s="932"/>
      <c r="C4179" s="1417" t="s">
        <v>2831</v>
      </c>
      <c r="D4179" s="1418"/>
      <c r="E4179" s="933"/>
      <c r="F4179" s="934">
        <v>10230.65</v>
      </c>
      <c r="G4179" s="522"/>
      <c r="H4179" s="935"/>
      <c r="I4179" s="1091">
        <f>+'[1]2021 MILCON Inflation Table'!F16</f>
        <v>1.0201832129291724</v>
      </c>
      <c r="J4179" s="1092"/>
      <c r="K4179" s="936">
        <f>+F4179*I4179</f>
        <v>10437.137387353836</v>
      </c>
      <c r="L4179" s="937" t="s">
        <v>226</v>
      </c>
      <c r="M4179" s="173"/>
      <c r="N4179" s="68"/>
      <c r="P4179" s="171"/>
      <c r="Q4179" s="171"/>
      <c r="R4179" s="171"/>
      <c r="S4179" s="51"/>
    </row>
    <row r="4180" spans="1:25" ht="30" customHeight="1" thickBot="1" x14ac:dyDescent="0.4">
      <c r="A4180" s="481"/>
      <c r="B4180" s="482"/>
      <c r="C4180" s="482"/>
      <c r="D4180" s="482"/>
      <c r="E4180" s="482"/>
      <c r="F4180" s="482"/>
      <c r="G4180" s="482"/>
      <c r="H4180" s="482"/>
      <c r="I4180" s="482"/>
      <c r="J4180" s="482"/>
      <c r="K4180" s="482"/>
      <c r="L4180" s="483"/>
      <c r="M4180" s="173"/>
      <c r="N4180" s="68"/>
      <c r="P4180" s="218"/>
      <c r="Q4180" s="68"/>
      <c r="R4180" s="217"/>
      <c r="T4180" s="51"/>
      <c r="U4180" s="171"/>
    </row>
    <row r="4181" spans="1:25" ht="30" customHeight="1" x14ac:dyDescent="0.35">
      <c r="A4181" s="465" t="s">
        <v>0</v>
      </c>
      <c r="B4181" s="539">
        <v>8421</v>
      </c>
      <c r="C4181" s="1096" t="s">
        <v>1822</v>
      </c>
      <c r="D4181" s="1097"/>
      <c r="E4181" s="541" t="s">
        <v>280</v>
      </c>
      <c r="F4181" s="542" t="s">
        <v>6</v>
      </c>
      <c r="G4181" s="543" t="s">
        <v>285</v>
      </c>
      <c r="H4181" s="555">
        <v>17477</v>
      </c>
      <c r="I4181" s="541" t="s">
        <v>281</v>
      </c>
      <c r="J4181" s="1019" t="s">
        <v>2371</v>
      </c>
      <c r="K4181" s="1019"/>
      <c r="L4181" s="1020"/>
      <c r="M4181" s="173"/>
      <c r="P4181" s="218"/>
      <c r="Q4181" s="68"/>
      <c r="R4181" s="217"/>
      <c r="T4181" s="213"/>
      <c r="U4181" s="75"/>
      <c r="V4181" s="208"/>
      <c r="W4181" s="208"/>
      <c r="X4181" s="208"/>
    </row>
    <row r="4182" spans="1:25" ht="30" customHeight="1" x14ac:dyDescent="0.35">
      <c r="A4182" s="588" t="s">
        <v>298</v>
      </c>
      <c r="B4182" s="1038" t="s">
        <v>321</v>
      </c>
      <c r="C4182" s="1039"/>
      <c r="D4182" s="1040"/>
      <c r="E4182" s="23" t="s">
        <v>290</v>
      </c>
      <c r="F4182" s="23" t="s">
        <v>322</v>
      </c>
      <c r="G4182" s="1034" t="s">
        <v>323</v>
      </c>
      <c r="H4182" s="1035"/>
      <c r="I4182" s="509" t="s">
        <v>299</v>
      </c>
      <c r="J4182" s="509"/>
      <c r="K4182" s="1012" t="s">
        <v>292</v>
      </c>
      <c r="L4182" s="1013"/>
      <c r="M4182" s="173"/>
      <c r="N4182" s="208"/>
      <c r="P4182" s="171"/>
      <c r="Q4182" s="171"/>
      <c r="R4182" s="171"/>
      <c r="S4182" s="51"/>
      <c r="T4182" s="51"/>
      <c r="U4182" s="171"/>
      <c r="Y4182" s="208"/>
    </row>
    <row r="4183" spans="1:25" ht="30" customHeight="1" x14ac:dyDescent="0.35">
      <c r="A4183" s="241" t="s">
        <v>331</v>
      </c>
      <c r="B4183" s="1031" t="s">
        <v>2274</v>
      </c>
      <c r="C4183" s="1032"/>
      <c r="D4183" s="1033"/>
      <c r="E4183" s="40">
        <v>39.5</v>
      </c>
      <c r="F4183" s="3" t="s">
        <v>6</v>
      </c>
      <c r="G4183" s="80"/>
      <c r="H4183" s="498"/>
      <c r="I4183" s="446">
        <v>1.03</v>
      </c>
      <c r="J4183" s="3"/>
      <c r="K4183" s="591">
        <f>+E4183*I4183</f>
        <v>40.685000000000002</v>
      </c>
      <c r="L4183" s="676" t="s">
        <v>6</v>
      </c>
      <c r="M4183" s="173"/>
      <c r="P4183" s="75"/>
      <c r="Q4183" s="75"/>
      <c r="R4183" s="75"/>
      <c r="S4183" s="213"/>
      <c r="U4183" s="171"/>
    </row>
    <row r="4184" spans="1:25" ht="30" customHeight="1" x14ac:dyDescent="0.35">
      <c r="A4184" s="241" t="s">
        <v>331</v>
      </c>
      <c r="B4184" s="1031" t="s">
        <v>2275</v>
      </c>
      <c r="C4184" s="1032"/>
      <c r="D4184" s="1033"/>
      <c r="E4184" s="40">
        <v>27.75</v>
      </c>
      <c r="F4184" s="3" t="s">
        <v>6</v>
      </c>
      <c r="G4184" s="80"/>
      <c r="H4184" s="498"/>
      <c r="I4184" s="446">
        <v>1.03</v>
      </c>
      <c r="J4184" s="3"/>
      <c r="K4184" s="591">
        <f>+E4184*I4184</f>
        <v>28.5825</v>
      </c>
      <c r="L4184" s="676" t="s">
        <v>6</v>
      </c>
      <c r="M4184" s="173"/>
      <c r="P4184" s="171"/>
      <c r="Q4184" s="171"/>
      <c r="R4184" s="171"/>
      <c r="S4184" s="51"/>
      <c r="U4184" s="171"/>
    </row>
    <row r="4185" spans="1:25" s="208" customFormat="1" ht="30" customHeight="1" x14ac:dyDescent="0.35">
      <c r="A4185" s="241" t="s">
        <v>331</v>
      </c>
      <c r="B4185" s="1031" t="s">
        <v>2276</v>
      </c>
      <c r="C4185" s="1032"/>
      <c r="D4185" s="1033"/>
      <c r="E4185" s="40">
        <v>16.5</v>
      </c>
      <c r="F4185" s="3" t="s">
        <v>6</v>
      </c>
      <c r="G4185" s="171"/>
      <c r="H4185" s="171"/>
      <c r="I4185" s="446">
        <v>1.03</v>
      </c>
      <c r="J4185" s="3"/>
      <c r="K4185" s="591">
        <f>+E4185*I4185</f>
        <v>16.995000000000001</v>
      </c>
      <c r="L4185" s="676" t="s">
        <v>6</v>
      </c>
      <c r="M4185" s="173"/>
      <c r="N4185" s="203"/>
      <c r="O4185" s="205"/>
      <c r="P4185" s="203"/>
      <c r="Q4185" s="203"/>
      <c r="R4185" s="203"/>
      <c r="S4185" s="203"/>
      <c r="T4185" s="203"/>
      <c r="U4185" s="203"/>
      <c r="V4185" s="203"/>
      <c r="W4185" s="203"/>
      <c r="X4185" s="203"/>
      <c r="Y4185" s="203"/>
    </row>
    <row r="4186" spans="1:25" ht="30" customHeight="1" x14ac:dyDescent="0.35">
      <c r="A4186" s="241"/>
      <c r="B4186" s="516"/>
      <c r="C4186" s="570"/>
      <c r="D4186" s="571"/>
      <c r="E4186" s="40"/>
      <c r="F4186" s="3"/>
      <c r="G4186" s="1163" t="s">
        <v>2462</v>
      </c>
      <c r="H4186" s="1164"/>
      <c r="I4186" s="446"/>
      <c r="J4186" s="3"/>
      <c r="K4186" s="591">
        <f>AVERAGE(K4183:K4185)</f>
        <v>28.754166666666666</v>
      </c>
      <c r="L4186" s="676" t="s">
        <v>6</v>
      </c>
      <c r="M4186" s="173"/>
    </row>
    <row r="4187" spans="1:25" ht="30" customHeight="1" x14ac:dyDescent="0.35">
      <c r="A4187" s="241"/>
      <c r="B4187" s="506"/>
      <c r="C4187" s="506"/>
      <c r="D4187" s="506"/>
      <c r="E4187" s="453"/>
      <c r="F4187" s="1029" t="s">
        <v>302</v>
      </c>
      <c r="G4187" s="1058" t="s">
        <v>303</v>
      </c>
      <c r="H4187" s="1058"/>
      <c r="I4187" s="1058"/>
      <c r="J4187" s="1058"/>
      <c r="K4187" s="612">
        <v>1.07</v>
      </c>
      <c r="L4187" s="243"/>
      <c r="M4187" s="363"/>
    </row>
    <row r="4188" spans="1:25" ht="30" customHeight="1" x14ac:dyDescent="0.35">
      <c r="A4188" s="241"/>
      <c r="B4188" s="506"/>
      <c r="C4188" s="506"/>
      <c r="D4188" s="506"/>
      <c r="E4188" s="453"/>
      <c r="F4188" s="1030"/>
      <c r="G4188" s="1073" t="s">
        <v>2374</v>
      </c>
      <c r="H4188" s="1073"/>
      <c r="I4188" s="1073"/>
      <c r="J4188" s="1073"/>
      <c r="K4188" s="612">
        <v>1.08</v>
      </c>
      <c r="L4188" s="243"/>
      <c r="M4188" s="364"/>
      <c r="N4188" s="68"/>
      <c r="P4188" s="171"/>
      <c r="Q4188" s="171"/>
      <c r="R4188" s="171"/>
      <c r="S4188" s="51"/>
      <c r="T4188" s="213"/>
      <c r="U4188" s="75"/>
      <c r="V4188" s="208"/>
      <c r="W4188" s="208"/>
      <c r="X4188" s="208"/>
    </row>
    <row r="4189" spans="1:25" ht="30" customHeight="1" x14ac:dyDescent="0.35">
      <c r="A4189" s="241"/>
      <c r="B4189" s="446"/>
      <c r="C4189" s="458"/>
      <c r="D4189" s="458"/>
      <c r="E4189" s="458"/>
      <c r="F4189" s="458"/>
      <c r="G4189" s="458"/>
      <c r="H4189" s="458"/>
      <c r="I4189" s="458"/>
      <c r="J4189" s="446" t="s">
        <v>2356</v>
      </c>
      <c r="K4189" s="591">
        <f>+K4186*K4187/K4188</f>
        <v>28.487924382716049</v>
      </c>
      <c r="L4189" s="243" t="s">
        <v>6</v>
      </c>
      <c r="M4189" s="173"/>
      <c r="U4189" s="171"/>
    </row>
    <row r="4190" spans="1:25" ht="30" customHeight="1" x14ac:dyDescent="0.35">
      <c r="A4190" s="241"/>
      <c r="B4190" s="446"/>
      <c r="C4190" s="458"/>
      <c r="D4190" s="458"/>
      <c r="E4190" s="458"/>
      <c r="F4190" s="458"/>
      <c r="G4190" s="592" t="s">
        <v>2358</v>
      </c>
      <c r="H4190" s="458"/>
      <c r="I4190" s="458"/>
      <c r="J4190" s="583">
        <f>VLOOKUP(B4181,'Mil Cost Premiums for PUCs'!$A$4:$R$272,18,FALSE)</f>
        <v>1.0905505199999999</v>
      </c>
      <c r="K4190" s="591">
        <f>+K4189*J4190</f>
        <v>31.067520749291663</v>
      </c>
      <c r="L4190" s="243" t="s">
        <v>6</v>
      </c>
      <c r="M4190" s="173"/>
      <c r="U4190" s="171"/>
    </row>
    <row r="4191" spans="1:25" ht="60" customHeight="1" x14ac:dyDescent="0.35">
      <c r="A4191" s="1064" t="s">
        <v>305</v>
      </c>
      <c r="B4191" s="1065"/>
      <c r="C4191" s="1065"/>
      <c r="D4191" s="1065"/>
      <c r="E4191" s="1065"/>
      <c r="F4191" s="1065"/>
      <c r="G4191" s="1065"/>
      <c r="H4191" s="1065"/>
      <c r="I4191" s="1065"/>
      <c r="J4191" s="1065"/>
      <c r="K4191" s="1065"/>
      <c r="L4191" s="1066"/>
      <c r="M4191" s="173"/>
      <c r="T4191" s="51"/>
      <c r="U4191" s="171"/>
    </row>
    <row r="4192" spans="1:25" ht="30" customHeight="1" x14ac:dyDescent="0.35">
      <c r="A4192" s="1077" t="s">
        <v>306</v>
      </c>
      <c r="B4192" s="1042"/>
      <c r="C4192" s="1043"/>
      <c r="D4192" s="1067" t="s">
        <v>1823</v>
      </c>
      <c r="E4192" s="1065"/>
      <c r="F4192" s="1065"/>
      <c r="G4192" s="1065"/>
      <c r="H4192" s="1065"/>
      <c r="I4192" s="1065"/>
      <c r="J4192" s="1065"/>
      <c r="K4192" s="1065"/>
      <c r="L4192" s="1066"/>
      <c r="M4192" s="173"/>
      <c r="N4192" s="68"/>
      <c r="T4192" s="51"/>
      <c r="U4192" s="171"/>
    </row>
    <row r="4193" spans="1:25" ht="30" customHeight="1" x14ac:dyDescent="0.35">
      <c r="A4193" s="1077" t="s">
        <v>307</v>
      </c>
      <c r="B4193" s="1042"/>
      <c r="C4193" s="1043"/>
      <c r="D4193" s="1067" t="s">
        <v>1824</v>
      </c>
      <c r="E4193" s="1065"/>
      <c r="F4193" s="1065"/>
      <c r="G4193" s="1065"/>
      <c r="H4193" s="1065"/>
      <c r="I4193" s="1065"/>
      <c r="J4193" s="1065"/>
      <c r="K4193" s="1065"/>
      <c r="L4193" s="1066"/>
      <c r="M4193" s="173"/>
      <c r="N4193" s="68"/>
      <c r="P4193" s="171"/>
      <c r="Q4193" s="171"/>
      <c r="R4193" s="171"/>
      <c r="S4193" s="51"/>
      <c r="U4193" s="171"/>
    </row>
    <row r="4194" spans="1:25" ht="30" customHeight="1" x14ac:dyDescent="0.35">
      <c r="A4194" s="1077" t="s">
        <v>308</v>
      </c>
      <c r="B4194" s="1042"/>
      <c r="C4194" s="1043"/>
      <c r="D4194" s="1067" t="s">
        <v>3197</v>
      </c>
      <c r="E4194" s="1065"/>
      <c r="F4194" s="1065"/>
      <c r="G4194" s="1065"/>
      <c r="H4194" s="1065"/>
      <c r="I4194" s="1065"/>
      <c r="J4194" s="1065"/>
      <c r="K4194" s="1065"/>
      <c r="L4194" s="1066"/>
      <c r="M4194" s="173"/>
      <c r="P4194" s="171"/>
      <c r="Q4194" s="171"/>
      <c r="R4194" s="171"/>
      <c r="S4194" s="51"/>
      <c r="U4194" s="171"/>
    </row>
    <row r="4195" spans="1:25" ht="30" customHeight="1" x14ac:dyDescent="0.35">
      <c r="A4195" s="1077" t="s">
        <v>309</v>
      </c>
      <c r="B4195" s="1042"/>
      <c r="C4195" s="1043"/>
      <c r="D4195" s="1067" t="s">
        <v>1825</v>
      </c>
      <c r="E4195" s="1065"/>
      <c r="F4195" s="1065"/>
      <c r="G4195" s="1065"/>
      <c r="H4195" s="1065"/>
      <c r="I4195" s="1065"/>
      <c r="J4195" s="1065"/>
      <c r="K4195" s="1065"/>
      <c r="L4195" s="1066"/>
      <c r="M4195" s="173"/>
      <c r="U4195" s="171"/>
    </row>
    <row r="4196" spans="1:25" ht="30" customHeight="1" x14ac:dyDescent="0.35">
      <c r="A4196" s="1077" t="s">
        <v>311</v>
      </c>
      <c r="B4196" s="1042"/>
      <c r="C4196" s="1043"/>
      <c r="D4196" s="1067" t="s">
        <v>1749</v>
      </c>
      <c r="E4196" s="1065"/>
      <c r="F4196" s="1065"/>
      <c r="G4196" s="1065"/>
      <c r="H4196" s="1065"/>
      <c r="I4196" s="1065"/>
      <c r="J4196" s="1065"/>
      <c r="K4196" s="1065"/>
      <c r="L4196" s="1066"/>
      <c r="M4196" s="173"/>
      <c r="U4196" s="171"/>
    </row>
    <row r="4197" spans="1:25" ht="30" customHeight="1" x14ac:dyDescent="0.35">
      <c r="A4197" s="1077" t="s">
        <v>313</v>
      </c>
      <c r="B4197" s="1042"/>
      <c r="C4197" s="1043"/>
      <c r="D4197" s="1067" t="s">
        <v>1682</v>
      </c>
      <c r="E4197" s="1065"/>
      <c r="F4197" s="1065"/>
      <c r="G4197" s="1065"/>
      <c r="H4197" s="1065"/>
      <c r="I4197" s="1065"/>
      <c r="J4197" s="1065"/>
      <c r="K4197" s="1065"/>
      <c r="L4197" s="1066"/>
      <c r="M4197" s="173"/>
      <c r="U4197" s="171"/>
    </row>
    <row r="4198" spans="1:25" ht="30" customHeight="1" x14ac:dyDescent="0.35">
      <c r="A4198" s="1077" t="s">
        <v>315</v>
      </c>
      <c r="B4198" s="1042"/>
      <c r="C4198" s="1043"/>
      <c r="D4198" s="1067" t="s">
        <v>1798</v>
      </c>
      <c r="E4198" s="1065"/>
      <c r="F4198" s="1065"/>
      <c r="G4198" s="1065"/>
      <c r="H4198" s="1065"/>
      <c r="I4198" s="1065"/>
      <c r="J4198" s="1065"/>
      <c r="K4198" s="1065"/>
      <c r="L4198" s="1066"/>
      <c r="M4198" s="173"/>
      <c r="U4198" s="171"/>
    </row>
    <row r="4199" spans="1:25" ht="30" customHeight="1" x14ac:dyDescent="0.35">
      <c r="A4199" s="1077" t="s">
        <v>316</v>
      </c>
      <c r="B4199" s="1042"/>
      <c r="C4199" s="1043"/>
      <c r="D4199" s="1067" t="s">
        <v>317</v>
      </c>
      <c r="E4199" s="1065"/>
      <c r="F4199" s="1065"/>
      <c r="G4199" s="1065"/>
      <c r="H4199" s="1065"/>
      <c r="I4199" s="1065"/>
      <c r="J4199" s="1065"/>
      <c r="K4199" s="1065"/>
      <c r="L4199" s="1066"/>
      <c r="M4199" s="173"/>
      <c r="U4199" s="171"/>
    </row>
    <row r="4200" spans="1:25" ht="30" customHeight="1" thickBot="1" x14ac:dyDescent="0.4">
      <c r="A4200" s="1078" t="s">
        <v>318</v>
      </c>
      <c r="B4200" s="1079"/>
      <c r="C4200" s="1080"/>
      <c r="D4200" s="1068" t="s">
        <v>2322</v>
      </c>
      <c r="E4200" s="1069"/>
      <c r="F4200" s="1069"/>
      <c r="G4200" s="1069"/>
      <c r="H4200" s="1069"/>
      <c r="I4200" s="1069"/>
      <c r="J4200" s="1069"/>
      <c r="K4200" s="1069"/>
      <c r="L4200" s="1070"/>
      <c r="M4200" s="173"/>
      <c r="U4200" s="171"/>
    </row>
    <row r="4201" spans="1:25" ht="30" customHeight="1" thickBot="1" x14ac:dyDescent="0.4">
      <c r="A4201" s="481"/>
      <c r="B4201" s="482"/>
      <c r="C4201" s="482"/>
      <c r="D4201" s="482"/>
      <c r="E4201" s="482"/>
      <c r="F4201" s="482"/>
      <c r="G4201" s="482"/>
      <c r="H4201" s="482"/>
      <c r="I4201" s="482"/>
      <c r="J4201" s="482"/>
      <c r="K4201" s="482"/>
      <c r="L4201" s="483"/>
      <c r="M4201" s="173"/>
      <c r="T4201" s="51"/>
    </row>
    <row r="4202" spans="1:25" ht="30" customHeight="1" x14ac:dyDescent="0.35">
      <c r="A4202" s="465" t="s">
        <v>278</v>
      </c>
      <c r="B4202" s="539">
        <v>8422</v>
      </c>
      <c r="C4202" s="1060" t="s">
        <v>1826</v>
      </c>
      <c r="D4202" s="1061"/>
      <c r="E4202" s="541" t="s">
        <v>280</v>
      </c>
      <c r="F4202" s="542" t="s">
        <v>226</v>
      </c>
      <c r="G4202" s="543" t="s">
        <v>285</v>
      </c>
      <c r="H4202" s="569">
        <v>3172</v>
      </c>
      <c r="I4202" s="541" t="s">
        <v>281</v>
      </c>
      <c r="J4202" s="1019" t="s">
        <v>2749</v>
      </c>
      <c r="K4202" s="1019"/>
      <c r="L4202" s="1020"/>
      <c r="M4202" s="173"/>
      <c r="T4202" s="51"/>
    </row>
    <row r="4203" spans="1:25" ht="30" customHeight="1" x14ac:dyDescent="0.35">
      <c r="A4203" s="545" t="s">
        <v>288</v>
      </c>
      <c r="B4203" s="1051" t="s">
        <v>282</v>
      </c>
      <c r="C4203" s="1051"/>
      <c r="D4203" s="1051"/>
      <c r="E4203" s="561" t="s">
        <v>1697</v>
      </c>
      <c r="F4203" s="509" t="s">
        <v>1827</v>
      </c>
      <c r="G4203" s="1094" t="s">
        <v>323</v>
      </c>
      <c r="H4203" s="1095"/>
      <c r="I4203" s="1052" t="s">
        <v>405</v>
      </c>
      <c r="J4203" s="1053"/>
      <c r="K4203" s="595" t="s">
        <v>292</v>
      </c>
      <c r="L4203" s="739"/>
      <c r="M4203" s="173"/>
      <c r="P4203" s="171"/>
      <c r="Q4203" s="171"/>
      <c r="R4203" s="171"/>
      <c r="S4203" s="51"/>
      <c r="T4203" s="51"/>
      <c r="U4203" s="171"/>
    </row>
    <row r="4204" spans="1:25" ht="30" customHeight="1" x14ac:dyDescent="0.35">
      <c r="A4204" s="241">
        <v>84472</v>
      </c>
      <c r="B4204" s="1031" t="s">
        <v>1828</v>
      </c>
      <c r="C4204" s="1032"/>
      <c r="D4204" s="1033"/>
      <c r="E4204" s="453">
        <v>60240</v>
      </c>
      <c r="F4204" s="694">
        <v>1000</v>
      </c>
      <c r="G4204" s="716">
        <v>1440</v>
      </c>
      <c r="H4204" s="659" t="s">
        <v>2277</v>
      </c>
      <c r="I4204" s="1062">
        <f>+'2021 MILCON Inflation Table'!$F$20</f>
        <v>0.9432470865927236</v>
      </c>
      <c r="J4204" s="1063"/>
      <c r="K4204" s="463">
        <f>+E4204/G4204*I4204</f>
        <v>39.459169789128943</v>
      </c>
      <c r="L4204" s="564" t="s">
        <v>226</v>
      </c>
      <c r="M4204" s="173"/>
      <c r="P4204" s="171"/>
      <c r="Q4204" s="171"/>
      <c r="R4204" s="171"/>
      <c r="S4204" s="51"/>
      <c r="T4204" s="51"/>
      <c r="U4204" s="171"/>
    </row>
    <row r="4205" spans="1:25" ht="30" customHeight="1" x14ac:dyDescent="0.35">
      <c r="A4205" s="241">
        <v>84472</v>
      </c>
      <c r="B4205" s="1031" t="s">
        <v>1829</v>
      </c>
      <c r="C4205" s="1032"/>
      <c r="D4205" s="1033"/>
      <c r="E4205" s="453">
        <v>79170</v>
      </c>
      <c r="F4205" s="694">
        <v>2000</v>
      </c>
      <c r="G4205" s="716">
        <f>+G4204*2</f>
        <v>2880</v>
      </c>
      <c r="H4205" s="659" t="s">
        <v>2277</v>
      </c>
      <c r="I4205" s="1062">
        <f>+'2021 MILCON Inflation Table'!$F$20</f>
        <v>0.9432470865927236</v>
      </c>
      <c r="J4205" s="1063"/>
      <c r="K4205" s="463">
        <f>+E4205/G4205*I4205</f>
        <v>25.929469390814557</v>
      </c>
      <c r="L4205" s="564" t="s">
        <v>226</v>
      </c>
      <c r="M4205" s="173"/>
      <c r="P4205" s="171"/>
      <c r="Q4205" s="171"/>
      <c r="R4205" s="171"/>
      <c r="S4205" s="51"/>
      <c r="T4205" s="51"/>
      <c r="U4205" s="171"/>
    </row>
    <row r="4206" spans="1:25" ht="30" customHeight="1" x14ac:dyDescent="0.35">
      <c r="A4206" s="241">
        <v>84472</v>
      </c>
      <c r="B4206" s="1031" t="s">
        <v>1830</v>
      </c>
      <c r="C4206" s="1032"/>
      <c r="D4206" s="1033"/>
      <c r="E4206" s="453">
        <v>38340</v>
      </c>
      <c r="F4206" s="694">
        <v>1000</v>
      </c>
      <c r="G4206" s="716">
        <v>1440</v>
      </c>
      <c r="H4206" s="659" t="s">
        <v>2277</v>
      </c>
      <c r="I4206" s="1062">
        <f>+'2021 MILCON Inflation Table'!$F$20</f>
        <v>0.9432470865927236</v>
      </c>
      <c r="J4206" s="1063"/>
      <c r="K4206" s="463">
        <f>+E4206/G4206*I4206</f>
        <v>25.113953680531267</v>
      </c>
      <c r="L4206" s="564" t="s">
        <v>226</v>
      </c>
      <c r="M4206" s="173"/>
      <c r="P4206" s="171"/>
      <c r="Q4206" s="171"/>
      <c r="R4206" s="171"/>
      <c r="S4206" s="51"/>
      <c r="T4206" s="51"/>
      <c r="U4206" s="171"/>
    </row>
    <row r="4207" spans="1:25" ht="30" customHeight="1" x14ac:dyDescent="0.35">
      <c r="A4207" s="241"/>
      <c r="B4207" s="516"/>
      <c r="C4207" s="570"/>
      <c r="D4207" s="571"/>
      <c r="E4207" s="667"/>
      <c r="F4207" s="724"/>
      <c r="G4207" s="658"/>
      <c r="H4207" s="659"/>
      <c r="I4207" s="783"/>
      <c r="J4207" s="707" t="s">
        <v>304</v>
      </c>
      <c r="K4207" s="463">
        <f>AVERAGE(K4204:K4206)</f>
        <v>30.167530953491589</v>
      </c>
      <c r="L4207" s="564" t="s">
        <v>226</v>
      </c>
      <c r="M4207" s="173"/>
      <c r="P4207" s="171"/>
      <c r="Q4207" s="171"/>
      <c r="R4207" s="171"/>
      <c r="S4207" s="51"/>
      <c r="T4207" s="208"/>
      <c r="U4207" s="75"/>
      <c r="V4207" s="208"/>
      <c r="W4207" s="208"/>
      <c r="X4207" s="208"/>
    </row>
    <row r="4208" spans="1:25" ht="30" customHeight="1" thickBot="1" x14ac:dyDescent="0.4">
      <c r="A4208" s="241"/>
      <c r="B4208" s="1031"/>
      <c r="C4208" s="1032"/>
      <c r="D4208" s="1033"/>
      <c r="E4208" s="553"/>
      <c r="F4208" s="706"/>
      <c r="G4208" s="553"/>
      <c r="H4208" s="707"/>
      <c r="I4208" s="458"/>
      <c r="J4208" s="510" t="s">
        <v>2356</v>
      </c>
      <c r="K4208" s="459">
        <f>+K4207</f>
        <v>30.167530953491589</v>
      </c>
      <c r="L4208" s="564" t="s">
        <v>226</v>
      </c>
      <c r="M4208" s="173"/>
      <c r="P4208" s="171"/>
      <c r="Q4208" s="171"/>
      <c r="R4208" s="171"/>
      <c r="S4208" s="51"/>
      <c r="U4208" s="171"/>
      <c r="Y4208" s="208"/>
    </row>
    <row r="4209" spans="1:25" ht="30" customHeight="1" thickBot="1" x14ac:dyDescent="0.4">
      <c r="A4209" s="481"/>
      <c r="B4209" s="482"/>
      <c r="C4209" s="482"/>
      <c r="D4209" s="482"/>
      <c r="E4209" s="482"/>
      <c r="F4209" s="482"/>
      <c r="G4209" s="482"/>
      <c r="H4209" s="482"/>
      <c r="I4209" s="482"/>
      <c r="J4209" s="482"/>
      <c r="K4209" s="482"/>
      <c r="L4209" s="483"/>
      <c r="M4209" s="173"/>
      <c r="P4209" s="208"/>
      <c r="Q4209" s="208"/>
      <c r="R4209" s="208"/>
      <c r="S4209" s="208"/>
      <c r="T4209" s="51"/>
    </row>
    <row r="4210" spans="1:25" ht="30" customHeight="1" x14ac:dyDescent="0.35">
      <c r="A4210" s="465" t="s">
        <v>278</v>
      </c>
      <c r="B4210" s="539">
        <v>8431</v>
      </c>
      <c r="C4210" s="1060" t="s">
        <v>1831</v>
      </c>
      <c r="D4210" s="1061"/>
      <c r="E4210" s="541" t="s">
        <v>280</v>
      </c>
      <c r="F4210" s="542" t="s">
        <v>7</v>
      </c>
      <c r="G4210" s="543" t="s">
        <v>285</v>
      </c>
      <c r="H4210" s="569">
        <v>969</v>
      </c>
      <c r="I4210" s="541" t="s">
        <v>281</v>
      </c>
      <c r="J4210" s="1019" t="s">
        <v>3153</v>
      </c>
      <c r="K4210" s="1019"/>
      <c r="L4210" s="1020"/>
      <c r="M4210" s="173"/>
      <c r="O4210" s="203"/>
      <c r="T4210" s="51"/>
    </row>
    <row r="4211" spans="1:25" s="208" customFormat="1" ht="33" customHeight="1" x14ac:dyDescent="0.35">
      <c r="A4211" s="545" t="s">
        <v>288</v>
      </c>
      <c r="B4211" s="1051" t="s">
        <v>282</v>
      </c>
      <c r="C4211" s="1051"/>
      <c r="D4211" s="1051"/>
      <c r="E4211" s="561" t="s">
        <v>1697</v>
      </c>
      <c r="F4211" s="509" t="s">
        <v>1827</v>
      </c>
      <c r="G4211" s="1094" t="s">
        <v>323</v>
      </c>
      <c r="H4211" s="1095"/>
      <c r="I4211" s="1052" t="s">
        <v>405</v>
      </c>
      <c r="J4211" s="1053"/>
      <c r="K4211" s="1012" t="s">
        <v>292</v>
      </c>
      <c r="L4211" s="1013"/>
      <c r="M4211" s="173"/>
      <c r="N4211" s="203"/>
      <c r="O4211" s="203"/>
      <c r="P4211" s="171"/>
      <c r="Q4211" s="171"/>
      <c r="R4211" s="171"/>
      <c r="S4211" s="51"/>
      <c r="T4211" s="203"/>
      <c r="U4211" s="203"/>
      <c r="V4211" s="203"/>
      <c r="W4211" s="203"/>
      <c r="X4211" s="203"/>
      <c r="Y4211" s="203"/>
    </row>
    <row r="4212" spans="1:25" ht="30" customHeight="1" x14ac:dyDescent="0.35">
      <c r="A4212" s="241">
        <v>84472</v>
      </c>
      <c r="B4212" s="1082" t="s">
        <v>2464</v>
      </c>
      <c r="C4212" s="1083"/>
      <c r="D4212" s="1093"/>
      <c r="E4212" s="453">
        <v>60820</v>
      </c>
      <c r="F4212" s="694">
        <v>500</v>
      </c>
      <c r="G4212" s="694">
        <v>500</v>
      </c>
      <c r="H4212" s="659" t="s">
        <v>2463</v>
      </c>
      <c r="I4212" s="1091">
        <f>+'2021 MILCON Inflation Table'!$F$20</f>
        <v>0.9432470865927236</v>
      </c>
      <c r="J4212" s="1092"/>
      <c r="K4212" s="463">
        <f>+E4212/F4212*I4212</f>
        <v>114.7365756131389</v>
      </c>
      <c r="L4212" s="564" t="s">
        <v>7</v>
      </c>
      <c r="M4212" s="173"/>
      <c r="O4212" s="203"/>
      <c r="P4212" s="171"/>
      <c r="Q4212" s="171"/>
      <c r="R4212" s="171"/>
      <c r="S4212" s="51"/>
    </row>
    <row r="4213" spans="1:25" ht="30" customHeight="1" x14ac:dyDescent="0.35">
      <c r="A4213" s="241">
        <v>84472</v>
      </c>
      <c r="B4213" s="1082" t="s">
        <v>2465</v>
      </c>
      <c r="C4213" s="1083"/>
      <c r="D4213" s="1093"/>
      <c r="E4213" s="453">
        <v>60240</v>
      </c>
      <c r="F4213" s="694">
        <v>1000</v>
      </c>
      <c r="G4213" s="694">
        <v>1000</v>
      </c>
      <c r="H4213" s="659" t="s">
        <v>2463</v>
      </c>
      <c r="I4213" s="1091">
        <f>+'2021 MILCON Inflation Table'!$F$20</f>
        <v>0.9432470865927236</v>
      </c>
      <c r="J4213" s="1092"/>
      <c r="K4213" s="463">
        <f>+E4213/F4213*I4213</f>
        <v>56.821204496345672</v>
      </c>
      <c r="L4213" s="564" t="s">
        <v>7</v>
      </c>
      <c r="M4213" s="363"/>
      <c r="O4213" s="203"/>
      <c r="P4213" s="218"/>
      <c r="Q4213" s="68"/>
      <c r="R4213" s="217"/>
    </row>
    <row r="4214" spans="1:25" ht="30" customHeight="1" x14ac:dyDescent="0.35">
      <c r="A4214" s="241">
        <v>84472</v>
      </c>
      <c r="B4214" s="1082" t="s">
        <v>2466</v>
      </c>
      <c r="C4214" s="1083"/>
      <c r="D4214" s="1093"/>
      <c r="E4214" s="889">
        <v>79170</v>
      </c>
      <c r="F4214" s="694">
        <v>2000</v>
      </c>
      <c r="G4214" s="694">
        <v>2000</v>
      </c>
      <c r="H4214" s="659" t="s">
        <v>2463</v>
      </c>
      <c r="I4214" s="1091">
        <f>+'2021 MILCON Inflation Table'!$F$20</f>
        <v>0.9432470865927236</v>
      </c>
      <c r="J4214" s="1092"/>
      <c r="K4214" s="463">
        <f>+E4214/F4214*I4214</f>
        <v>37.338435922772966</v>
      </c>
      <c r="L4214" s="564" t="s">
        <v>7</v>
      </c>
      <c r="M4214" s="173"/>
      <c r="O4214" s="203"/>
      <c r="P4214" s="218"/>
      <c r="Q4214" s="68"/>
      <c r="R4214" s="217"/>
    </row>
    <row r="4215" spans="1:25" ht="30" customHeight="1" x14ac:dyDescent="0.35">
      <c r="A4215" s="241">
        <v>84472</v>
      </c>
      <c r="B4215" s="1082" t="s">
        <v>2467</v>
      </c>
      <c r="C4215" s="1083"/>
      <c r="D4215" s="1093"/>
      <c r="E4215" s="591">
        <v>38340</v>
      </c>
      <c r="F4215" s="694">
        <v>1000</v>
      </c>
      <c r="G4215" s="694">
        <v>1000</v>
      </c>
      <c r="H4215" s="659" t="s">
        <v>2463</v>
      </c>
      <c r="I4215" s="1091">
        <f>+'2021 MILCON Inflation Table'!$F$20</f>
        <v>0.9432470865927236</v>
      </c>
      <c r="J4215" s="1092"/>
      <c r="K4215" s="463">
        <f>+E4215/F4215*I4215</f>
        <v>36.164093299965025</v>
      </c>
      <c r="L4215" s="564" t="s">
        <v>7</v>
      </c>
      <c r="M4215" s="173"/>
      <c r="N4215" s="208"/>
      <c r="O4215" s="171"/>
      <c r="P4215" s="218"/>
      <c r="Q4215" s="68"/>
      <c r="R4215" s="217"/>
    </row>
    <row r="4216" spans="1:25" ht="30" customHeight="1" thickBot="1" x14ac:dyDescent="0.4">
      <c r="A4216" s="241"/>
      <c r="B4216" s="1031"/>
      <c r="C4216" s="1032"/>
      <c r="D4216" s="1033"/>
      <c r="E4216" s="553"/>
      <c r="F4216" s="706"/>
      <c r="G4216" s="553"/>
      <c r="H4216" s="707" t="s">
        <v>304</v>
      </c>
      <c r="I4216" s="458"/>
      <c r="J4216" s="510" t="s">
        <v>2356</v>
      </c>
      <c r="K4216" s="459">
        <f>AVERAGE(K4212:K4215)</f>
        <v>61.265077333055636</v>
      </c>
      <c r="L4216" s="564" t="s">
        <v>7</v>
      </c>
      <c r="M4216" s="173"/>
      <c r="O4216" s="171"/>
      <c r="P4216" s="218"/>
      <c r="Q4216" s="68"/>
      <c r="R4216" s="217"/>
    </row>
    <row r="4217" spans="1:25" ht="30" customHeight="1" thickBot="1" x14ac:dyDescent="0.4">
      <c r="A4217" s="481"/>
      <c r="B4217" s="482"/>
      <c r="C4217" s="482"/>
      <c r="D4217" s="482"/>
      <c r="E4217" s="482"/>
      <c r="F4217" s="482"/>
      <c r="G4217" s="482"/>
      <c r="H4217" s="482"/>
      <c r="I4217" s="482"/>
      <c r="J4217" s="482"/>
      <c r="K4217" s="482"/>
      <c r="L4217" s="483"/>
      <c r="M4217" s="173"/>
      <c r="O4217" s="203"/>
      <c r="P4217" s="218"/>
      <c r="Q4217" s="68"/>
      <c r="R4217" s="217"/>
    </row>
    <row r="4218" spans="1:25" ht="30" customHeight="1" x14ac:dyDescent="0.35">
      <c r="A4218" s="465" t="s">
        <v>278</v>
      </c>
      <c r="B4218" s="539">
        <v>8432</v>
      </c>
      <c r="C4218" s="1017" t="s">
        <v>1832</v>
      </c>
      <c r="D4218" s="1018"/>
      <c r="E4218" s="541" t="s">
        <v>280</v>
      </c>
      <c r="F4218" s="542" t="s">
        <v>6</v>
      </c>
      <c r="G4218" s="543" t="s">
        <v>285</v>
      </c>
      <c r="H4218" s="555">
        <v>6292</v>
      </c>
      <c r="I4218" s="541" t="s">
        <v>281</v>
      </c>
      <c r="J4218" s="1019" t="s">
        <v>2749</v>
      </c>
      <c r="K4218" s="1019"/>
      <c r="L4218" s="1020"/>
      <c r="M4218" s="173"/>
      <c r="O4218" s="203"/>
      <c r="P4218" s="216"/>
      <c r="Q4218" s="419"/>
      <c r="R4218" s="219"/>
    </row>
    <row r="4219" spans="1:25" ht="30" customHeight="1" x14ac:dyDescent="0.35">
      <c r="A4219" s="588" t="s">
        <v>298</v>
      </c>
      <c r="B4219" s="1038" t="s">
        <v>321</v>
      </c>
      <c r="C4219" s="1039"/>
      <c r="D4219" s="1040"/>
      <c r="E4219" s="23" t="s">
        <v>290</v>
      </c>
      <c r="F4219" s="23" t="s">
        <v>322</v>
      </c>
      <c r="G4219" s="1034" t="s">
        <v>323</v>
      </c>
      <c r="H4219" s="1035"/>
      <c r="I4219" s="509" t="s">
        <v>299</v>
      </c>
      <c r="J4219" s="509"/>
      <c r="K4219" s="1012" t="s">
        <v>292</v>
      </c>
      <c r="L4219" s="1013"/>
      <c r="M4219" s="173"/>
      <c r="O4219" s="203"/>
      <c r="P4219" s="216"/>
      <c r="Q4219" s="419"/>
      <c r="R4219" s="219"/>
    </row>
    <row r="4220" spans="1:25" ht="30" customHeight="1" x14ac:dyDescent="0.35">
      <c r="A4220" s="241" t="s">
        <v>331</v>
      </c>
      <c r="B4220" s="1082" t="s">
        <v>2468</v>
      </c>
      <c r="C4220" s="1083"/>
      <c r="D4220" s="1093"/>
      <c r="E4220" s="40">
        <v>27.75</v>
      </c>
      <c r="F4220" s="3" t="s">
        <v>6</v>
      </c>
      <c r="G4220" s="80"/>
      <c r="H4220" s="498"/>
      <c r="I4220" s="446">
        <v>1.03</v>
      </c>
      <c r="J4220" s="3"/>
      <c r="K4220" s="591">
        <f>+E4220*I4220</f>
        <v>28.5825</v>
      </c>
      <c r="L4220" s="676" t="s">
        <v>6</v>
      </c>
      <c r="M4220" s="173"/>
      <c r="P4220" s="208"/>
      <c r="Q4220" s="208"/>
      <c r="R4220" s="208"/>
      <c r="S4220" s="208"/>
      <c r="T4220" s="51"/>
    </row>
    <row r="4221" spans="1:25" ht="30" customHeight="1" x14ac:dyDescent="0.35">
      <c r="A4221" s="241" t="s">
        <v>331</v>
      </c>
      <c r="B4221" s="1082" t="s">
        <v>2469</v>
      </c>
      <c r="C4221" s="1083"/>
      <c r="D4221" s="1093"/>
      <c r="E4221" s="40">
        <v>44.5</v>
      </c>
      <c r="F4221" s="3" t="s">
        <v>6</v>
      </c>
      <c r="G4221" s="80"/>
      <c r="H4221" s="498"/>
      <c r="I4221" s="446">
        <v>1.03</v>
      </c>
      <c r="J4221" s="3"/>
      <c r="K4221" s="591">
        <f>+E4221*I4221</f>
        <v>45.835000000000001</v>
      </c>
      <c r="L4221" s="676" t="s">
        <v>6</v>
      </c>
      <c r="M4221" s="363"/>
      <c r="O4221" s="203"/>
      <c r="P4221" s="216"/>
      <c r="Q4221" s="419"/>
      <c r="R4221" s="219"/>
    </row>
    <row r="4222" spans="1:25" ht="30" customHeight="1" x14ac:dyDescent="0.35">
      <c r="A4222" s="241"/>
      <c r="B4222" s="485"/>
      <c r="C4222" s="610"/>
      <c r="D4222" s="608"/>
      <c r="E4222" s="40"/>
      <c r="F4222" s="3"/>
      <c r="G4222" s="80"/>
      <c r="H4222" s="498"/>
      <c r="I4222" s="446"/>
      <c r="J4222" s="3" t="s">
        <v>304</v>
      </c>
      <c r="K4222" s="591">
        <f>AVERAGE(K4220:K4221)</f>
        <v>37.208750000000002</v>
      </c>
      <c r="L4222" s="676" t="s">
        <v>6</v>
      </c>
      <c r="M4222" s="173"/>
      <c r="P4222" s="208"/>
      <c r="Q4222" s="208"/>
      <c r="R4222" s="208"/>
      <c r="S4222" s="208"/>
      <c r="T4222" s="51"/>
    </row>
    <row r="4223" spans="1:25" ht="30" customHeight="1" x14ac:dyDescent="0.35">
      <c r="A4223" s="241" t="s">
        <v>331</v>
      </c>
      <c r="B4223" s="1031" t="s">
        <v>2278</v>
      </c>
      <c r="C4223" s="1032"/>
      <c r="D4223" s="1033"/>
      <c r="E4223" s="40">
        <v>11.4</v>
      </c>
      <c r="F4223" s="3" t="s">
        <v>6</v>
      </c>
      <c r="G4223" s="81"/>
      <c r="H4223" s="498"/>
      <c r="I4223" s="446">
        <v>1.03</v>
      </c>
      <c r="J4223" s="3"/>
      <c r="K4223" s="591">
        <f>+E4223*I4223</f>
        <v>11.742000000000001</v>
      </c>
      <c r="L4223" s="676" t="s">
        <v>6</v>
      </c>
      <c r="M4223" s="173"/>
      <c r="O4223" s="203"/>
      <c r="P4223" s="216"/>
      <c r="Q4223" s="419"/>
      <c r="R4223" s="219"/>
    </row>
    <row r="4224" spans="1:25" ht="30" customHeight="1" x14ac:dyDescent="0.35">
      <c r="A4224" s="717"/>
      <c r="B4224" s="1102" t="s">
        <v>1833</v>
      </c>
      <c r="C4224" s="1102"/>
      <c r="D4224" s="1102"/>
      <c r="E4224" s="453"/>
      <c r="F4224" s="446"/>
      <c r="G4224" s="446"/>
      <c r="H4224" s="446"/>
      <c r="I4224" s="446"/>
      <c r="J4224" s="446" t="s">
        <v>335</v>
      </c>
      <c r="K4224" s="453">
        <f>+K4223+K4222</f>
        <v>48.950749999999999</v>
      </c>
      <c r="L4224" s="243" t="s">
        <v>6</v>
      </c>
      <c r="M4224" s="173"/>
      <c r="N4224" s="68"/>
      <c r="O4224" s="203"/>
      <c r="P4224" s="218"/>
      <c r="Q4224" s="68"/>
      <c r="R4224" s="217"/>
    </row>
    <row r="4225" spans="1:25" ht="30" customHeight="1" x14ac:dyDescent="0.35">
      <c r="A4225" s="241"/>
      <c r="B4225" s="506"/>
      <c r="C4225" s="506"/>
      <c r="D4225" s="506"/>
      <c r="E4225" s="453"/>
      <c r="F4225" s="1029" t="s">
        <v>302</v>
      </c>
      <c r="G4225" s="1058" t="s">
        <v>303</v>
      </c>
      <c r="H4225" s="1058"/>
      <c r="I4225" s="1058"/>
      <c r="J4225" s="1058"/>
      <c r="K4225" s="612">
        <v>1.07</v>
      </c>
      <c r="L4225" s="243"/>
      <c r="M4225" s="173"/>
      <c r="N4225" s="68"/>
      <c r="O4225" s="203"/>
      <c r="P4225" s="218"/>
      <c r="Q4225" s="68"/>
      <c r="R4225" s="217"/>
    </row>
    <row r="4226" spans="1:25" ht="30" customHeight="1" x14ac:dyDescent="0.35">
      <c r="A4226" s="241"/>
      <c r="B4226" s="506"/>
      <c r="C4226" s="506"/>
      <c r="D4226" s="506"/>
      <c r="E4226" s="453"/>
      <c r="F4226" s="1030"/>
      <c r="G4226" s="1073" t="s">
        <v>2374</v>
      </c>
      <c r="H4226" s="1073"/>
      <c r="I4226" s="1073"/>
      <c r="J4226" s="1073"/>
      <c r="K4226" s="612">
        <v>1.08</v>
      </c>
      <c r="L4226" s="243"/>
      <c r="M4226" s="173"/>
      <c r="N4226" s="68"/>
      <c r="O4226" s="203"/>
      <c r="P4226" s="218"/>
      <c r="Q4226" s="68"/>
      <c r="R4226" s="217"/>
    </row>
    <row r="4227" spans="1:25" ht="30" customHeight="1" x14ac:dyDescent="0.35">
      <c r="A4227" s="241"/>
      <c r="B4227" s="446"/>
      <c r="C4227" s="458"/>
      <c r="D4227" s="458"/>
      <c r="E4227" s="458"/>
      <c r="F4227" s="458"/>
      <c r="G4227" s="458"/>
      <c r="H4227" s="458"/>
      <c r="I4227" s="458"/>
      <c r="J4227" s="446" t="s">
        <v>2356</v>
      </c>
      <c r="K4227" s="591">
        <f>+K4224*K4225/K4226</f>
        <v>48.49750231481481</v>
      </c>
      <c r="L4227" s="243" t="s">
        <v>6</v>
      </c>
      <c r="M4227" s="173"/>
      <c r="N4227" s="419"/>
      <c r="O4227" s="203"/>
      <c r="P4227" s="218"/>
      <c r="Q4227" s="68"/>
      <c r="R4227" s="217"/>
    </row>
    <row r="4228" spans="1:25" ht="30" customHeight="1" thickBot="1" x14ac:dyDescent="0.4">
      <c r="A4228" s="241"/>
      <c r="B4228" s="446"/>
      <c r="C4228" s="458"/>
      <c r="D4228" s="458"/>
      <c r="E4228" s="458"/>
      <c r="F4228" s="458"/>
      <c r="G4228" s="592" t="s">
        <v>2358</v>
      </c>
      <c r="H4228" s="458"/>
      <c r="I4228" s="458"/>
      <c r="J4228" s="583">
        <f>VLOOKUP(B4218,'Mil Cost Premiums for PUCs'!$A$4:$R$272,18,FALSE)</f>
        <v>1.0905505199999999</v>
      </c>
      <c r="K4228" s="591">
        <f>+K4227*J4228</f>
        <v>52.888976368122485</v>
      </c>
      <c r="L4228" s="243" t="s">
        <v>6</v>
      </c>
      <c r="M4228" s="363"/>
      <c r="N4228" s="419"/>
      <c r="O4228" s="203"/>
      <c r="P4228" s="218"/>
      <c r="Q4228" s="68"/>
      <c r="R4228" s="217"/>
    </row>
    <row r="4229" spans="1:25" ht="30" customHeight="1" thickBot="1" x14ac:dyDescent="0.4">
      <c r="A4229" s="481"/>
      <c r="B4229" s="482"/>
      <c r="C4229" s="482"/>
      <c r="D4229" s="482"/>
      <c r="E4229" s="482"/>
      <c r="F4229" s="482"/>
      <c r="G4229" s="482"/>
      <c r="H4229" s="482"/>
      <c r="I4229" s="482"/>
      <c r="J4229" s="482"/>
      <c r="K4229" s="482"/>
      <c r="L4229" s="483"/>
      <c r="M4229" s="173"/>
      <c r="N4229" s="68"/>
      <c r="O4229" s="203"/>
      <c r="P4229" s="218"/>
      <c r="Q4229" s="68"/>
      <c r="R4229" s="217"/>
    </row>
    <row r="4230" spans="1:25" ht="30" customHeight="1" x14ac:dyDescent="0.35">
      <c r="A4230" s="467" t="s">
        <v>278</v>
      </c>
      <c r="B4230" s="502">
        <v>8433</v>
      </c>
      <c r="C4230" s="1049" t="s">
        <v>2830</v>
      </c>
      <c r="D4230" s="1050"/>
      <c r="E4230" s="396" t="s">
        <v>280</v>
      </c>
      <c r="F4230" s="308" t="s">
        <v>244</v>
      </c>
      <c r="G4230" s="397" t="s">
        <v>285</v>
      </c>
      <c r="H4230" s="151">
        <v>14275</v>
      </c>
      <c r="I4230" s="396" t="s">
        <v>281</v>
      </c>
      <c r="J4230" s="1152" t="s">
        <v>2902</v>
      </c>
      <c r="K4230" s="1152"/>
      <c r="L4230" s="1153"/>
      <c r="M4230" s="173"/>
      <c r="N4230" s="68"/>
      <c r="O4230" s="203"/>
      <c r="P4230" s="218"/>
      <c r="Q4230" s="68"/>
      <c r="R4230" s="217"/>
    </row>
    <row r="4231" spans="1:25" ht="30" customHeight="1" x14ac:dyDescent="0.35">
      <c r="A4231" s="545"/>
      <c r="B4231" s="1021" t="s">
        <v>2921</v>
      </c>
      <c r="C4231" s="1021"/>
      <c r="D4231" s="1021"/>
      <c r="E4231" s="509" t="s">
        <v>290</v>
      </c>
      <c r="F4231" s="509" t="s">
        <v>322</v>
      </c>
      <c r="G4231" s="1034" t="s">
        <v>323</v>
      </c>
      <c r="H4231" s="1035"/>
      <c r="I4231" s="810" t="s">
        <v>327</v>
      </c>
      <c r="J4231" s="509" t="s">
        <v>419</v>
      </c>
      <c r="K4231" s="1022" t="s">
        <v>2356</v>
      </c>
      <c r="L4231" s="1023"/>
      <c r="M4231" s="173"/>
      <c r="N4231" s="68"/>
      <c r="O4231" s="203"/>
      <c r="P4231" s="218"/>
      <c r="Q4231" s="68"/>
      <c r="R4231" s="217"/>
    </row>
    <row r="4232" spans="1:25" ht="30" customHeight="1" thickBot="1" x14ac:dyDescent="0.4">
      <c r="A4232" s="929"/>
      <c r="B4232" s="264"/>
      <c r="C4232" s="938"/>
      <c r="D4232" s="280" t="s">
        <v>4</v>
      </c>
      <c r="E4232" s="280"/>
      <c r="F4232" s="136"/>
      <c r="G4232" s="34"/>
      <c r="H4232" s="428"/>
      <c r="I4232" s="280"/>
      <c r="J4232" s="939"/>
      <c r="K4232" s="522" t="s">
        <v>4</v>
      </c>
      <c r="L4232" s="940" t="str">
        <f>+F4230</f>
        <v>MG</v>
      </c>
      <c r="M4232" s="173"/>
      <c r="N4232" s="68"/>
      <c r="O4232" s="203"/>
      <c r="P4232" s="218"/>
      <c r="Q4232" s="68"/>
      <c r="R4232" s="217"/>
    </row>
    <row r="4233" spans="1:25" ht="30" customHeight="1" thickBot="1" x14ac:dyDescent="0.4">
      <c r="A4233" s="481"/>
      <c r="B4233" s="482"/>
      <c r="C4233" s="482"/>
      <c r="D4233" s="482"/>
      <c r="E4233" s="482"/>
      <c r="F4233" s="482"/>
      <c r="G4233" s="482"/>
      <c r="H4233" s="482"/>
      <c r="I4233" s="482"/>
      <c r="J4233" s="482"/>
      <c r="K4233" s="482"/>
      <c r="L4233" s="483"/>
      <c r="M4233" s="173"/>
      <c r="N4233" s="68"/>
      <c r="O4233" s="203"/>
      <c r="P4233" s="218"/>
      <c r="Q4233" s="68"/>
      <c r="R4233" s="217"/>
    </row>
    <row r="4234" spans="1:25" ht="30" customHeight="1" x14ac:dyDescent="0.35">
      <c r="A4234" s="465" t="s">
        <v>278</v>
      </c>
      <c r="B4234" s="539">
        <v>8434</v>
      </c>
      <c r="C4234" s="1060" t="s">
        <v>1834</v>
      </c>
      <c r="D4234" s="1061"/>
      <c r="E4234" s="541" t="s">
        <v>280</v>
      </c>
      <c r="F4234" s="542" t="s">
        <v>226</v>
      </c>
      <c r="G4234" s="543" t="s">
        <v>285</v>
      </c>
      <c r="H4234" s="569">
        <v>3548</v>
      </c>
      <c r="I4234" s="541" t="s">
        <v>281</v>
      </c>
      <c r="J4234" s="1019" t="s">
        <v>3198</v>
      </c>
      <c r="K4234" s="1019"/>
      <c r="L4234" s="1020"/>
      <c r="M4234" s="173"/>
      <c r="N4234" s="68"/>
      <c r="O4234" s="208"/>
      <c r="P4234" s="218"/>
      <c r="Q4234" s="68"/>
      <c r="R4234" s="217"/>
    </row>
    <row r="4235" spans="1:25" ht="30" customHeight="1" x14ac:dyDescent="0.35">
      <c r="A4235" s="1004"/>
      <c r="B4235" s="539"/>
      <c r="C4235" s="540"/>
      <c r="D4235" s="780"/>
      <c r="E4235" s="1005"/>
      <c r="F4235" s="542"/>
      <c r="G4235" s="705"/>
      <c r="H4235" s="1006"/>
      <c r="I4235" s="710"/>
      <c r="J4235" s="518"/>
      <c r="K4235" s="1012" t="s">
        <v>2356</v>
      </c>
      <c r="L4235" s="1013"/>
      <c r="M4235" s="173"/>
      <c r="N4235" s="68"/>
      <c r="O4235" s="208"/>
      <c r="P4235" s="218"/>
      <c r="Q4235" s="68"/>
      <c r="R4235" s="217"/>
    </row>
    <row r="4236" spans="1:25" ht="30" customHeight="1" thickBot="1" x14ac:dyDescent="0.4">
      <c r="A4236" s="1004"/>
      <c r="B4236" s="539"/>
      <c r="C4236" s="540"/>
      <c r="D4236" s="780"/>
      <c r="E4236" s="1005"/>
      <c r="F4236" s="542"/>
      <c r="G4236" s="705"/>
      <c r="H4236" s="1006"/>
      <c r="I4236" s="710"/>
      <c r="J4236" s="550"/>
      <c r="K4236" s="551">
        <f>K4208</f>
        <v>30.167530953491589</v>
      </c>
      <c r="L4236" s="552" t="str">
        <f>+F4234</f>
        <v>KG</v>
      </c>
      <c r="M4236" s="173"/>
      <c r="N4236" s="68"/>
      <c r="O4236" s="208"/>
      <c r="P4236" s="218"/>
      <c r="Q4236" s="68"/>
      <c r="R4236" s="217"/>
    </row>
    <row r="4237" spans="1:25" ht="30" customHeight="1" thickBot="1" x14ac:dyDescent="0.4">
      <c r="A4237" s="481"/>
      <c r="B4237" s="482"/>
      <c r="C4237" s="482"/>
      <c r="D4237" s="482"/>
      <c r="E4237" s="482"/>
      <c r="F4237" s="482"/>
      <c r="G4237" s="482"/>
      <c r="H4237" s="482"/>
      <c r="I4237" s="482"/>
      <c r="J4237" s="482"/>
      <c r="K4237" s="482"/>
      <c r="L4237" s="483"/>
      <c r="M4237" s="173"/>
      <c r="N4237" s="68"/>
      <c r="O4237" s="208"/>
      <c r="P4237" s="218"/>
      <c r="Q4237" s="68"/>
      <c r="R4237" s="217"/>
    </row>
    <row r="4238" spans="1:25" ht="30" customHeight="1" x14ac:dyDescent="0.35">
      <c r="A4238" s="465" t="s">
        <v>278</v>
      </c>
      <c r="B4238" s="539">
        <v>8435</v>
      </c>
      <c r="C4238" s="1060" t="s">
        <v>2829</v>
      </c>
      <c r="D4238" s="1061"/>
      <c r="E4238" s="541" t="s">
        <v>280</v>
      </c>
      <c r="F4238" s="542" t="s">
        <v>5</v>
      </c>
      <c r="G4238" s="543" t="s">
        <v>285</v>
      </c>
      <c r="H4238" s="569">
        <v>158377</v>
      </c>
      <c r="I4238" s="541" t="s">
        <v>281</v>
      </c>
      <c r="J4238" s="1019" t="s">
        <v>3162</v>
      </c>
      <c r="K4238" s="1019"/>
      <c r="L4238" s="1020"/>
      <c r="M4238" s="1009"/>
      <c r="N4238" s="1010"/>
      <c r="O4238" s="1010"/>
      <c r="P4238" s="218"/>
      <c r="Q4238" s="68"/>
      <c r="R4238" s="217"/>
      <c r="T4238" s="208"/>
      <c r="U4238" s="208"/>
      <c r="V4238" s="208"/>
      <c r="W4238" s="208"/>
      <c r="X4238" s="208"/>
    </row>
    <row r="4239" spans="1:25" ht="30" customHeight="1" x14ac:dyDescent="0.35">
      <c r="A4239" s="545"/>
      <c r="B4239" s="1021"/>
      <c r="C4239" s="1021"/>
      <c r="D4239" s="1021"/>
      <c r="E4239" s="509" t="s">
        <v>290</v>
      </c>
      <c r="F4239" s="509" t="s">
        <v>322</v>
      </c>
      <c r="G4239" s="1034" t="s">
        <v>323</v>
      </c>
      <c r="H4239" s="1035"/>
      <c r="I4239" s="810" t="s">
        <v>327</v>
      </c>
      <c r="J4239" s="509" t="s">
        <v>419</v>
      </c>
      <c r="K4239" s="1022" t="s">
        <v>2356</v>
      </c>
      <c r="L4239" s="1023"/>
      <c r="M4239" s="1008"/>
      <c r="N4239" s="1011"/>
      <c r="O4239" s="1011"/>
      <c r="P4239" s="218"/>
      <c r="Q4239" s="68"/>
      <c r="R4239" s="217"/>
      <c r="Y4239" s="208"/>
    </row>
    <row r="4240" spans="1:25" ht="30" customHeight="1" thickBot="1" x14ac:dyDescent="0.4">
      <c r="A4240" s="929"/>
      <c r="B4240" s="264"/>
      <c r="C4240" s="938"/>
      <c r="D4240" s="280"/>
      <c r="E4240" s="280"/>
      <c r="F4240" s="136"/>
      <c r="G4240" s="34"/>
      <c r="H4240" s="428"/>
      <c r="I4240" s="280"/>
      <c r="J4240" s="939"/>
      <c r="K4240" s="941">
        <f>+K4165</f>
        <v>1.5478590366277936</v>
      </c>
      <c r="L4240" s="940" t="str">
        <f>+F4238</f>
        <v>GA</v>
      </c>
      <c r="M4240" s="1007"/>
      <c r="N4240" s="414"/>
      <c r="O4240" s="72"/>
      <c r="P4240" s="218"/>
      <c r="Q4240" s="68"/>
      <c r="R4240" s="217"/>
      <c r="S4240" s="208"/>
    </row>
    <row r="4241" spans="1:25" ht="30" customHeight="1" thickBot="1" x14ac:dyDescent="0.4">
      <c r="A4241" s="481"/>
      <c r="B4241" s="482"/>
      <c r="C4241" s="482"/>
      <c r="D4241" s="482"/>
      <c r="E4241" s="482"/>
      <c r="F4241" s="482"/>
      <c r="G4241" s="482"/>
      <c r="H4241" s="482"/>
      <c r="I4241" s="482"/>
      <c r="J4241" s="482"/>
      <c r="K4241" s="482"/>
      <c r="L4241" s="483"/>
      <c r="M4241" s="173"/>
      <c r="N4241" s="68"/>
      <c r="O4241" s="203"/>
      <c r="P4241" s="218"/>
      <c r="Q4241" s="68"/>
      <c r="R4241" s="217"/>
    </row>
    <row r="4242" spans="1:25" s="208" customFormat="1" ht="30" customHeight="1" x14ac:dyDescent="0.35">
      <c r="A4242" s="465" t="s">
        <v>278</v>
      </c>
      <c r="B4242" s="539">
        <v>8442</v>
      </c>
      <c r="C4242" s="1017" t="s">
        <v>1837</v>
      </c>
      <c r="D4242" s="1018"/>
      <c r="E4242" s="541" t="s">
        <v>280</v>
      </c>
      <c r="F4242" s="542" t="s">
        <v>5</v>
      </c>
      <c r="G4242" s="543" t="s">
        <v>285</v>
      </c>
      <c r="H4242" s="875">
        <v>141470</v>
      </c>
      <c r="I4242" s="541" t="s">
        <v>281</v>
      </c>
      <c r="J4242" s="1019" t="s">
        <v>2371</v>
      </c>
      <c r="K4242" s="1019"/>
      <c r="L4242" s="1020"/>
      <c r="M4242" s="173"/>
      <c r="N4242" s="68"/>
      <c r="O4242" s="203"/>
      <c r="P4242" s="218"/>
      <c r="Q4242" s="68"/>
      <c r="R4242" s="217"/>
      <c r="S4242" s="203"/>
      <c r="T4242" s="203"/>
      <c r="U4242" s="203"/>
      <c r="V4242" s="203"/>
      <c r="W4242" s="203"/>
      <c r="X4242" s="203"/>
      <c r="Y4242" s="203"/>
    </row>
    <row r="4243" spans="1:25" ht="30" customHeight="1" x14ac:dyDescent="0.35">
      <c r="A4243" s="588" t="s">
        <v>298</v>
      </c>
      <c r="B4243" s="1038" t="s">
        <v>321</v>
      </c>
      <c r="C4243" s="1039"/>
      <c r="D4243" s="1040"/>
      <c r="E4243" s="23" t="s">
        <v>290</v>
      </c>
      <c r="F4243" s="23" t="s">
        <v>322</v>
      </c>
      <c r="G4243" s="1034" t="s">
        <v>323</v>
      </c>
      <c r="H4243" s="1035"/>
      <c r="I4243" s="509" t="s">
        <v>299</v>
      </c>
      <c r="J4243" s="509"/>
      <c r="K4243" s="1012" t="s">
        <v>292</v>
      </c>
      <c r="L4243" s="1013"/>
      <c r="M4243" s="173"/>
      <c r="N4243" s="68"/>
      <c r="O4243" s="171"/>
      <c r="P4243" s="218"/>
      <c r="Q4243" s="68"/>
      <c r="R4243" s="217"/>
    </row>
    <row r="4244" spans="1:25" ht="30" customHeight="1" x14ac:dyDescent="0.35">
      <c r="A4244" s="241" t="s">
        <v>1838</v>
      </c>
      <c r="B4244" s="1082" t="s">
        <v>2471</v>
      </c>
      <c r="C4244" s="1083"/>
      <c r="D4244" s="1093"/>
      <c r="E4244" s="40">
        <v>775000</v>
      </c>
      <c r="F4244" s="3" t="s">
        <v>10</v>
      </c>
      <c r="G4244" s="80">
        <v>750000</v>
      </c>
      <c r="H4244" s="498" t="s">
        <v>1192</v>
      </c>
      <c r="I4244" s="665">
        <v>1.02</v>
      </c>
      <c r="J4244" s="3"/>
      <c r="K4244" s="591">
        <f>+E4244/G4244*I4244</f>
        <v>1.054</v>
      </c>
      <c r="L4244" s="676" t="s">
        <v>5</v>
      </c>
      <c r="M4244" s="173"/>
      <c r="N4244" s="68"/>
      <c r="O4244" s="203"/>
      <c r="P4244" s="218"/>
      <c r="Q4244" s="68"/>
      <c r="R4244" s="217"/>
    </row>
    <row r="4245" spans="1:25" ht="30" customHeight="1" x14ac:dyDescent="0.35">
      <c r="A4245" s="241" t="s">
        <v>1838</v>
      </c>
      <c r="B4245" s="1031" t="s">
        <v>2470</v>
      </c>
      <c r="C4245" s="1032"/>
      <c r="D4245" s="1033"/>
      <c r="E4245" s="40">
        <v>897000</v>
      </c>
      <c r="F4245" s="3" t="s">
        <v>10</v>
      </c>
      <c r="G4245" s="80">
        <v>1000000</v>
      </c>
      <c r="H4245" s="498" t="s">
        <v>1192</v>
      </c>
      <c r="I4245" s="665">
        <v>1.02</v>
      </c>
      <c r="J4245" s="3"/>
      <c r="K4245" s="591">
        <f>+E4245/G4245*I4245</f>
        <v>0.91494000000000009</v>
      </c>
      <c r="L4245" s="676" t="s">
        <v>5</v>
      </c>
      <c r="M4245" s="173"/>
      <c r="N4245" s="68"/>
      <c r="O4245" s="203"/>
      <c r="P4245" s="216"/>
      <c r="Q4245" s="419"/>
      <c r="R4245" s="219"/>
    </row>
    <row r="4246" spans="1:25" ht="30" customHeight="1" x14ac:dyDescent="0.35">
      <c r="A4246" s="241" t="s">
        <v>1838</v>
      </c>
      <c r="B4246" s="1031" t="s">
        <v>1839</v>
      </c>
      <c r="C4246" s="1032"/>
      <c r="D4246" s="1033"/>
      <c r="E4246" s="40">
        <v>3235000</v>
      </c>
      <c r="F4246" s="3" t="s">
        <v>10</v>
      </c>
      <c r="G4246" s="80">
        <v>1000000</v>
      </c>
      <c r="H4246" s="498" t="s">
        <v>1192</v>
      </c>
      <c r="I4246" s="665">
        <v>1.02</v>
      </c>
      <c r="J4246" s="3"/>
      <c r="K4246" s="591">
        <f>+E4246/G4246*I4246</f>
        <v>3.2997000000000001</v>
      </c>
      <c r="L4246" s="676" t="s">
        <v>5</v>
      </c>
      <c r="M4246" s="173"/>
      <c r="N4246" s="68"/>
      <c r="O4246" s="203"/>
      <c r="P4246" s="216"/>
      <c r="Q4246" s="419"/>
      <c r="R4246" s="219"/>
    </row>
    <row r="4247" spans="1:25" ht="30" customHeight="1" x14ac:dyDescent="0.35">
      <c r="A4247" s="717"/>
      <c r="B4247" s="1102"/>
      <c r="C4247" s="1102"/>
      <c r="D4247" s="1102"/>
      <c r="E4247" s="453"/>
      <c r="F4247" s="446"/>
      <c r="G4247" s="446"/>
      <c r="H4247" s="446"/>
      <c r="I4247" s="446"/>
      <c r="J4247" s="446" t="s">
        <v>304</v>
      </c>
      <c r="K4247" s="453">
        <f>AVERAGE(K4244:K4246)</f>
        <v>1.7562133333333334</v>
      </c>
      <c r="L4247" s="243" t="s">
        <v>5</v>
      </c>
      <c r="M4247" s="408"/>
      <c r="N4247" s="68"/>
      <c r="O4247" s="203"/>
      <c r="P4247" s="218"/>
      <c r="Q4247" s="68"/>
      <c r="R4247" s="217"/>
    </row>
    <row r="4248" spans="1:25" ht="30" customHeight="1" x14ac:dyDescent="0.35">
      <c r="A4248" s="241"/>
      <c r="B4248" s="506"/>
      <c r="C4248" s="506"/>
      <c r="D4248" s="506"/>
      <c r="E4248" s="453"/>
      <c r="F4248" s="1029" t="s">
        <v>302</v>
      </c>
      <c r="G4248" s="1058" t="s">
        <v>303</v>
      </c>
      <c r="H4248" s="1058"/>
      <c r="I4248" s="1058"/>
      <c r="J4248" s="1058"/>
      <c r="K4248" s="612">
        <v>1.07</v>
      </c>
      <c r="L4248" s="243"/>
      <c r="M4248" s="173"/>
      <c r="N4248" s="68"/>
      <c r="O4248" s="203"/>
      <c r="P4248" s="218"/>
      <c r="Q4248" s="68"/>
      <c r="R4248" s="217"/>
    </row>
    <row r="4249" spans="1:25" ht="30" customHeight="1" x14ac:dyDescent="0.35">
      <c r="A4249" s="241"/>
      <c r="B4249" s="506"/>
      <c r="C4249" s="506"/>
      <c r="D4249" s="506"/>
      <c r="E4249" s="453"/>
      <c r="F4249" s="1030"/>
      <c r="G4249" s="1073" t="s">
        <v>2374</v>
      </c>
      <c r="H4249" s="1073"/>
      <c r="I4249" s="1073"/>
      <c r="J4249" s="1073"/>
      <c r="K4249" s="612">
        <v>1.08</v>
      </c>
      <c r="L4249" s="243"/>
      <c r="M4249" s="173"/>
      <c r="N4249" s="68"/>
      <c r="O4249" s="203"/>
      <c r="P4249" s="218"/>
      <c r="Q4249" s="68"/>
      <c r="R4249" s="217"/>
    </row>
    <row r="4250" spans="1:25" ht="30" customHeight="1" x14ac:dyDescent="0.35">
      <c r="A4250" s="241"/>
      <c r="B4250" s="446"/>
      <c r="C4250" s="458"/>
      <c r="D4250" s="458"/>
      <c r="E4250" s="458"/>
      <c r="F4250" s="458"/>
      <c r="G4250" s="458"/>
      <c r="H4250" s="458"/>
      <c r="I4250" s="458"/>
      <c r="J4250" s="446" t="s">
        <v>2356</v>
      </c>
      <c r="K4250" s="591">
        <f>+K4247*K4248/K4249</f>
        <v>1.739952098765432</v>
      </c>
      <c r="L4250" s="243" t="s">
        <v>5</v>
      </c>
      <c r="M4250" s="173"/>
      <c r="N4250" s="68"/>
      <c r="O4250" s="203"/>
      <c r="P4250" s="216"/>
      <c r="Q4250" s="419"/>
      <c r="R4250" s="219"/>
    </row>
    <row r="4251" spans="1:25" ht="30" customHeight="1" thickBot="1" x14ac:dyDescent="0.4">
      <c r="A4251" s="241"/>
      <c r="B4251" s="446"/>
      <c r="C4251" s="458"/>
      <c r="D4251" s="458"/>
      <c r="E4251" s="458"/>
      <c r="F4251" s="458"/>
      <c r="G4251" s="592" t="s">
        <v>2358</v>
      </c>
      <c r="H4251" s="458"/>
      <c r="I4251" s="458"/>
      <c r="J4251" s="583">
        <f>VLOOKUP(B4242,'Mil Cost Premiums for PUCs'!$A$4:$R$272,18,FALSE)</f>
        <v>1.0905505199999999</v>
      </c>
      <c r="K4251" s="591">
        <f>+K4250*J4251</f>
        <v>1.8975056660837331</v>
      </c>
      <c r="L4251" s="243" t="s">
        <v>5</v>
      </c>
      <c r="N4251" s="68"/>
      <c r="O4251" s="171"/>
      <c r="P4251" s="216"/>
      <c r="Q4251" s="419"/>
      <c r="R4251" s="219"/>
    </row>
    <row r="4252" spans="1:25" ht="30" customHeight="1" thickBot="1" x14ac:dyDescent="0.4">
      <c r="A4252" s="489"/>
      <c r="B4252" s="490"/>
      <c r="C4252" s="490"/>
      <c r="D4252" s="490"/>
      <c r="E4252" s="490"/>
      <c r="F4252" s="490"/>
      <c r="G4252" s="490"/>
      <c r="H4252" s="490"/>
      <c r="I4252" s="490"/>
      <c r="J4252" s="490"/>
      <c r="K4252" s="490"/>
      <c r="L4252" s="491"/>
      <c r="M4252" s="431"/>
      <c r="N4252" s="68"/>
      <c r="O4252" s="203"/>
      <c r="P4252" s="218"/>
      <c r="Q4252" s="68"/>
      <c r="R4252" s="217"/>
    </row>
    <row r="4253" spans="1:25" ht="30" customHeight="1" x14ac:dyDescent="0.35">
      <c r="A4253" s="465" t="s">
        <v>278</v>
      </c>
      <c r="B4253" s="539">
        <v>8443</v>
      </c>
      <c r="C4253" s="1017" t="s">
        <v>2828</v>
      </c>
      <c r="D4253" s="1018"/>
      <c r="E4253" s="541" t="s">
        <v>280</v>
      </c>
      <c r="F4253" s="542" t="s">
        <v>244</v>
      </c>
      <c r="G4253" s="543" t="s">
        <v>285</v>
      </c>
      <c r="H4253" s="875">
        <v>245048</v>
      </c>
      <c r="I4253" s="541" t="s">
        <v>281</v>
      </c>
      <c r="J4253" s="1152" t="s">
        <v>2902</v>
      </c>
      <c r="K4253" s="1152"/>
      <c r="L4253" s="1153"/>
      <c r="N4253" s="68"/>
      <c r="O4253" s="203"/>
      <c r="P4253" s="218"/>
      <c r="Q4253" s="68"/>
      <c r="R4253" s="217"/>
    </row>
    <row r="4254" spans="1:25" ht="30" customHeight="1" x14ac:dyDescent="0.35">
      <c r="A4254" s="545"/>
      <c r="B4254" s="1021" t="s">
        <v>2921</v>
      </c>
      <c r="C4254" s="1021"/>
      <c r="D4254" s="1021"/>
      <c r="E4254" s="509" t="s">
        <v>290</v>
      </c>
      <c r="F4254" s="509" t="s">
        <v>322</v>
      </c>
      <c r="G4254" s="1034" t="s">
        <v>323</v>
      </c>
      <c r="H4254" s="1035"/>
      <c r="I4254" s="810" t="s">
        <v>327</v>
      </c>
      <c r="J4254" s="509" t="s">
        <v>419</v>
      </c>
      <c r="K4254" s="1022" t="s">
        <v>2356</v>
      </c>
      <c r="L4254" s="1023"/>
      <c r="N4254" s="68"/>
      <c r="O4254" s="203"/>
      <c r="P4254" s="218"/>
      <c r="Q4254" s="68"/>
      <c r="R4254" s="217"/>
    </row>
    <row r="4255" spans="1:25" ht="30" customHeight="1" thickBot="1" x14ac:dyDescent="0.4">
      <c r="A4255" s="929"/>
      <c r="B4255" s="264"/>
      <c r="C4255" s="938"/>
      <c r="D4255" s="280" t="s">
        <v>4</v>
      </c>
      <c r="E4255" s="280"/>
      <c r="F4255" s="136"/>
      <c r="G4255" s="34"/>
      <c r="H4255" s="428"/>
      <c r="I4255" s="280"/>
      <c r="J4255" s="939"/>
      <c r="K4255" s="522" t="s">
        <v>4</v>
      </c>
      <c r="L4255" s="940" t="s">
        <v>244</v>
      </c>
      <c r="N4255" s="68"/>
      <c r="O4255" s="203"/>
      <c r="P4255" s="218"/>
      <c r="Q4255" s="68"/>
      <c r="R4255" s="217"/>
    </row>
    <row r="4256" spans="1:25" ht="30" customHeight="1" thickBot="1" x14ac:dyDescent="0.4">
      <c r="A4256" s="489"/>
      <c r="B4256" s="490"/>
      <c r="C4256" s="490"/>
      <c r="D4256" s="490"/>
      <c r="E4256" s="490"/>
      <c r="F4256" s="490"/>
      <c r="G4256" s="490"/>
      <c r="H4256" s="490"/>
      <c r="I4256" s="490"/>
      <c r="J4256" s="490"/>
      <c r="K4256" s="490"/>
      <c r="L4256" s="491"/>
      <c r="N4256" s="68"/>
      <c r="O4256" s="203"/>
      <c r="P4256" s="218"/>
      <c r="Q4256" s="68"/>
      <c r="R4256" s="217"/>
    </row>
    <row r="4257" spans="1:25" ht="30" customHeight="1" x14ac:dyDescent="0.35">
      <c r="A4257" s="465" t="s">
        <v>278</v>
      </c>
      <c r="B4257" s="539">
        <v>8451</v>
      </c>
      <c r="C4257" s="1017" t="s">
        <v>2827</v>
      </c>
      <c r="D4257" s="1018"/>
      <c r="E4257" s="541" t="s">
        <v>280</v>
      </c>
      <c r="F4257" s="542" t="s">
        <v>6</v>
      </c>
      <c r="G4257" s="543" t="s">
        <v>285</v>
      </c>
      <c r="H4257" s="555">
        <v>1</v>
      </c>
      <c r="I4257" s="541" t="s">
        <v>281</v>
      </c>
      <c r="J4257" s="1019" t="s">
        <v>3154</v>
      </c>
      <c r="K4257" s="1019"/>
      <c r="L4257" s="1020"/>
      <c r="N4257" s="68"/>
      <c r="O4257" s="203"/>
      <c r="P4257" s="218"/>
      <c r="Q4257" s="68"/>
      <c r="R4257" s="217"/>
    </row>
    <row r="4258" spans="1:25" ht="30" customHeight="1" x14ac:dyDescent="0.35">
      <c r="A4258" s="545"/>
      <c r="B4258" s="1021"/>
      <c r="C4258" s="1021"/>
      <c r="D4258" s="1021"/>
      <c r="E4258" s="509"/>
      <c r="F4258" s="509"/>
      <c r="G4258" s="1034"/>
      <c r="H4258" s="1035"/>
      <c r="I4258" s="509"/>
      <c r="J4258" s="509"/>
      <c r="K4258" s="1012" t="s">
        <v>2356</v>
      </c>
      <c r="L4258" s="1013"/>
      <c r="N4258" s="68"/>
      <c r="O4258" s="203"/>
      <c r="P4258" s="218"/>
      <c r="Q4258" s="68"/>
      <c r="R4258" s="217"/>
    </row>
    <row r="4259" spans="1:25" ht="30" customHeight="1" thickBot="1" x14ac:dyDescent="0.4">
      <c r="A4259" s="546"/>
      <c r="B4259" s="1014"/>
      <c r="C4259" s="1014"/>
      <c r="D4259" s="1014"/>
      <c r="E4259" s="547"/>
      <c r="F4259" s="548"/>
      <c r="G4259" s="1015"/>
      <c r="H4259" s="1016"/>
      <c r="I4259" s="549"/>
      <c r="J4259" s="550"/>
      <c r="K4259" s="551">
        <f>+K4190</f>
        <v>31.067520749291663</v>
      </c>
      <c r="L4259" s="552" t="str">
        <f>+F4257</f>
        <v>LF</v>
      </c>
      <c r="N4259" s="419"/>
      <c r="O4259" s="203"/>
      <c r="P4259" s="218"/>
      <c r="Q4259" s="68"/>
      <c r="R4259" s="217"/>
    </row>
    <row r="4260" spans="1:25" ht="30" customHeight="1" thickBot="1" x14ac:dyDescent="0.4">
      <c r="A4260" s="489"/>
      <c r="B4260" s="490"/>
      <c r="C4260" s="490"/>
      <c r="D4260" s="490"/>
      <c r="E4260" s="490"/>
      <c r="F4260" s="490"/>
      <c r="G4260" s="490"/>
      <c r="H4260" s="490"/>
      <c r="I4260" s="490"/>
      <c r="J4260" s="490"/>
      <c r="K4260" s="490"/>
      <c r="L4260" s="491"/>
      <c r="M4260" s="173"/>
      <c r="N4260" s="419"/>
      <c r="O4260" s="203"/>
      <c r="P4260" s="218"/>
      <c r="Q4260" s="68"/>
      <c r="R4260" s="217"/>
    </row>
    <row r="4261" spans="1:25" ht="30" customHeight="1" x14ac:dyDescent="0.35">
      <c r="A4261" s="465" t="s">
        <v>278</v>
      </c>
      <c r="B4261" s="539">
        <v>8452</v>
      </c>
      <c r="C4261" s="1060" t="s">
        <v>1840</v>
      </c>
      <c r="D4261" s="1061"/>
      <c r="E4261" s="541" t="s">
        <v>280</v>
      </c>
      <c r="F4261" s="542" t="s">
        <v>226</v>
      </c>
      <c r="G4261" s="543" t="s">
        <v>285</v>
      </c>
      <c r="H4261" s="569">
        <v>2769</v>
      </c>
      <c r="I4261" s="541" t="s">
        <v>281</v>
      </c>
      <c r="J4261" s="1019" t="s">
        <v>3198</v>
      </c>
      <c r="K4261" s="1019"/>
      <c r="L4261" s="1020"/>
      <c r="N4261" s="68"/>
      <c r="O4261" s="203"/>
      <c r="P4261" s="218"/>
      <c r="Q4261" s="68"/>
      <c r="R4261" s="217"/>
    </row>
    <row r="4262" spans="1:25" ht="30" customHeight="1" x14ac:dyDescent="0.35">
      <c r="A4262" s="1004"/>
      <c r="B4262" s="539"/>
      <c r="C4262" s="540"/>
      <c r="D4262" s="780"/>
      <c r="E4262" s="1005"/>
      <c r="F4262" s="542"/>
      <c r="G4262" s="705"/>
      <c r="H4262" s="1006"/>
      <c r="I4262" s="710"/>
      <c r="J4262" s="518"/>
      <c r="K4262" s="1012" t="s">
        <v>2356</v>
      </c>
      <c r="L4262" s="1013"/>
      <c r="N4262" s="68"/>
      <c r="O4262" s="203"/>
      <c r="P4262" s="218"/>
      <c r="Q4262" s="68"/>
      <c r="R4262" s="217"/>
    </row>
    <row r="4263" spans="1:25" ht="30" customHeight="1" thickBot="1" x14ac:dyDescent="0.4">
      <c r="A4263" s="1004"/>
      <c r="B4263" s="539"/>
      <c r="C4263" s="540"/>
      <c r="D4263" s="780"/>
      <c r="E4263" s="1005"/>
      <c r="F4263" s="542"/>
      <c r="G4263" s="705"/>
      <c r="H4263" s="1006"/>
      <c r="I4263" s="710"/>
      <c r="J4263" s="550"/>
      <c r="K4263" s="551">
        <f>K4208</f>
        <v>30.167530953491589</v>
      </c>
      <c r="L4263" s="552" t="str">
        <f>+F4261</f>
        <v>KG</v>
      </c>
      <c r="M4263" s="51"/>
      <c r="N4263" s="68"/>
      <c r="O4263" s="203"/>
      <c r="P4263" s="218"/>
      <c r="Q4263" s="68"/>
      <c r="R4263" s="217"/>
    </row>
    <row r="4264" spans="1:25" ht="30" customHeight="1" thickBot="1" x14ac:dyDescent="0.4">
      <c r="A4264" s="481"/>
      <c r="B4264" s="482"/>
      <c r="C4264" s="482"/>
      <c r="D4264" s="482"/>
      <c r="E4264" s="482"/>
      <c r="F4264" s="482"/>
      <c r="G4264" s="482"/>
      <c r="H4264" s="482"/>
      <c r="I4264" s="482"/>
      <c r="J4264" s="482"/>
      <c r="K4264" s="482"/>
      <c r="L4264" s="483"/>
      <c r="M4264" s="51"/>
      <c r="N4264" s="68"/>
      <c r="O4264" s="203"/>
      <c r="P4264" s="218"/>
      <c r="Q4264" s="68"/>
      <c r="R4264" s="217"/>
      <c r="T4264" s="208"/>
      <c r="U4264" s="208"/>
      <c r="V4264" s="208"/>
      <c r="W4264" s="208"/>
      <c r="X4264" s="208"/>
    </row>
    <row r="4265" spans="1:25" ht="30" customHeight="1" x14ac:dyDescent="0.35">
      <c r="A4265" s="465" t="s">
        <v>278</v>
      </c>
      <c r="B4265" s="539">
        <v>8511</v>
      </c>
      <c r="C4265" s="1060" t="s">
        <v>1841</v>
      </c>
      <c r="D4265" s="1061"/>
      <c r="E4265" s="541" t="s">
        <v>280</v>
      </c>
      <c r="F4265" s="542" t="s">
        <v>3</v>
      </c>
      <c r="G4265" s="543" t="s">
        <v>285</v>
      </c>
      <c r="H4265" s="569">
        <v>28007</v>
      </c>
      <c r="I4265" s="541" t="s">
        <v>281</v>
      </c>
      <c r="J4265" s="1019" t="s">
        <v>2749</v>
      </c>
      <c r="K4265" s="1019"/>
      <c r="L4265" s="1020"/>
      <c r="N4265" s="68"/>
      <c r="O4265" s="203"/>
      <c r="P4265" s="218"/>
      <c r="Q4265" s="68"/>
      <c r="R4265" s="217"/>
      <c r="Y4265" s="208"/>
    </row>
    <row r="4266" spans="1:25" ht="30" customHeight="1" x14ac:dyDescent="0.35">
      <c r="A4266" s="545" t="s">
        <v>288</v>
      </c>
      <c r="B4266" s="1051" t="s">
        <v>282</v>
      </c>
      <c r="C4266" s="1051"/>
      <c r="D4266" s="1051"/>
      <c r="E4266" s="561" t="s">
        <v>290</v>
      </c>
      <c r="F4266" s="509" t="s">
        <v>2</v>
      </c>
      <c r="G4266" s="1094" t="s">
        <v>323</v>
      </c>
      <c r="H4266" s="1095"/>
      <c r="I4266" s="1052" t="s">
        <v>405</v>
      </c>
      <c r="J4266" s="1053"/>
      <c r="K4266" s="1012" t="s">
        <v>292</v>
      </c>
      <c r="L4266" s="1013"/>
      <c r="N4266" s="68"/>
      <c r="O4266" s="208"/>
      <c r="P4266" s="218"/>
      <c r="Q4266" s="68"/>
      <c r="R4266" s="217"/>
    </row>
    <row r="4267" spans="1:25" ht="30" customHeight="1" x14ac:dyDescent="0.35">
      <c r="A4267" s="942"/>
      <c r="B4267" s="1116" t="s">
        <v>1842</v>
      </c>
      <c r="C4267" s="1042"/>
      <c r="D4267" s="1043"/>
      <c r="E4267" s="943"/>
      <c r="F4267" s="511"/>
      <c r="G4267" s="943"/>
      <c r="H4267" s="944"/>
      <c r="I4267" s="945"/>
      <c r="J4267" s="695"/>
      <c r="K4267" s="594"/>
      <c r="L4267" s="946"/>
      <c r="N4267" s="68"/>
      <c r="O4267" s="203"/>
      <c r="P4267" s="218"/>
      <c r="Q4267" s="68"/>
      <c r="R4267" s="217"/>
    </row>
    <row r="4268" spans="1:25" ht="30" customHeight="1" x14ac:dyDescent="0.35">
      <c r="A4268" s="241">
        <v>93210</v>
      </c>
      <c r="B4268" s="1122" t="s">
        <v>1394</v>
      </c>
      <c r="C4268" s="1364"/>
      <c r="D4268" s="1365"/>
      <c r="E4268" s="453">
        <v>2.9</v>
      </c>
      <c r="F4268" s="694" t="s">
        <v>1843</v>
      </c>
      <c r="G4268" s="947">
        <v>0.33300000000000002</v>
      </c>
      <c r="H4268" s="659" t="s">
        <v>1844</v>
      </c>
      <c r="I4268" s="1091">
        <f>+'2021 MILCON Inflation Table'!$F$20</f>
        <v>0.9432470865927236</v>
      </c>
      <c r="J4268" s="1092"/>
      <c r="K4268" s="463">
        <f>+E4268*G4268*I4268</f>
        <v>0.91089371152259324</v>
      </c>
      <c r="L4268" s="564" t="s">
        <v>3</v>
      </c>
      <c r="N4268" s="68"/>
      <c r="O4268" s="203"/>
      <c r="P4268" s="218"/>
      <c r="Q4268" s="68"/>
      <c r="R4268" s="217"/>
    </row>
    <row r="4269" spans="1:25" ht="30" customHeight="1" x14ac:dyDescent="0.35">
      <c r="A4269" s="241">
        <v>93410</v>
      </c>
      <c r="B4269" s="1082" t="s">
        <v>1845</v>
      </c>
      <c r="C4269" s="1083"/>
      <c r="D4269" s="1093"/>
      <c r="E4269" s="453">
        <v>4.9000000000000004</v>
      </c>
      <c r="F4269" s="694" t="s">
        <v>1846</v>
      </c>
      <c r="G4269" s="947">
        <v>0.5</v>
      </c>
      <c r="H4269" s="659" t="s">
        <v>1847</v>
      </c>
      <c r="I4269" s="1091">
        <f>+'2021 MILCON Inflation Table'!$F$20</f>
        <v>0.9432470865927236</v>
      </c>
      <c r="J4269" s="1092"/>
      <c r="K4269" s="463">
        <f>+E4269*G4269*I4269</f>
        <v>2.310955362152173</v>
      </c>
      <c r="L4269" s="564" t="s">
        <v>3</v>
      </c>
      <c r="M4269" s="173"/>
      <c r="N4269" s="68"/>
      <c r="O4269" s="203"/>
      <c r="P4269" s="218"/>
      <c r="Q4269" s="68"/>
      <c r="R4269" s="217"/>
    </row>
    <row r="4270" spans="1:25" ht="30" customHeight="1" x14ac:dyDescent="0.35">
      <c r="A4270" s="241">
        <v>85110</v>
      </c>
      <c r="B4270" s="1122" t="s">
        <v>1848</v>
      </c>
      <c r="C4270" s="1364"/>
      <c r="D4270" s="1365"/>
      <c r="E4270" s="453">
        <v>10.1</v>
      </c>
      <c r="F4270" s="694" t="s">
        <v>3</v>
      </c>
      <c r="G4270" s="892"/>
      <c r="H4270" s="659"/>
      <c r="I4270" s="1091">
        <f>+'2021 MILCON Inflation Table'!$F$20</f>
        <v>0.9432470865927236</v>
      </c>
      <c r="J4270" s="1092"/>
      <c r="K4270" s="463">
        <f>+E4270*I4270</f>
        <v>9.5267955745865081</v>
      </c>
      <c r="L4270" s="564" t="s">
        <v>3</v>
      </c>
      <c r="N4270" s="68"/>
      <c r="O4270" s="203"/>
      <c r="P4270" s="218"/>
      <c r="Q4270" s="68"/>
      <c r="R4270" s="217"/>
    </row>
    <row r="4271" spans="1:25" ht="30" customHeight="1" x14ac:dyDescent="0.35">
      <c r="A4271" s="241">
        <v>85110</v>
      </c>
      <c r="B4271" s="1082" t="s">
        <v>1849</v>
      </c>
      <c r="C4271" s="1083"/>
      <c r="D4271" s="1093"/>
      <c r="E4271" s="453">
        <v>2.1</v>
      </c>
      <c r="F4271" s="694" t="s">
        <v>3</v>
      </c>
      <c r="G4271" s="724"/>
      <c r="H4271" s="659"/>
      <c r="I4271" s="1091">
        <f>+'2021 MILCON Inflation Table'!$F$20</f>
        <v>0.9432470865927236</v>
      </c>
      <c r="J4271" s="1092"/>
      <c r="K4271" s="463">
        <f>+E4271*I4271</f>
        <v>1.9808188818447197</v>
      </c>
      <c r="L4271" s="564" t="s">
        <v>3</v>
      </c>
      <c r="N4271" s="68"/>
      <c r="O4271" s="203"/>
      <c r="P4271" s="218"/>
      <c r="Q4271" s="68"/>
      <c r="R4271" s="217"/>
    </row>
    <row r="4272" spans="1:25" ht="30" customHeight="1" x14ac:dyDescent="0.35">
      <c r="A4272" s="241">
        <v>85110</v>
      </c>
      <c r="B4272" s="1082" t="s">
        <v>1850</v>
      </c>
      <c r="C4272" s="1083"/>
      <c r="D4272" s="1093"/>
      <c r="E4272" s="453">
        <v>19.2</v>
      </c>
      <c r="F4272" s="694" t="s">
        <v>3</v>
      </c>
      <c r="G4272" s="724"/>
      <c r="H4272" s="659"/>
      <c r="I4272" s="1091">
        <f>+'2021 MILCON Inflation Table'!$F$20</f>
        <v>0.9432470865927236</v>
      </c>
      <c r="J4272" s="1092"/>
      <c r="K4272" s="463">
        <f>+E4272*I4272</f>
        <v>18.110344062580293</v>
      </c>
      <c r="L4272" s="564" t="s">
        <v>3</v>
      </c>
      <c r="N4272" s="68"/>
      <c r="O4272" s="203"/>
      <c r="P4272" s="216"/>
      <c r="Q4272" s="419"/>
      <c r="R4272" s="219"/>
    </row>
    <row r="4273" spans="1:25" ht="30" customHeight="1" x14ac:dyDescent="0.35">
      <c r="A4273" s="241"/>
      <c r="B4273" s="485"/>
      <c r="C4273" s="610"/>
      <c r="D4273" s="608"/>
      <c r="E4273" s="667"/>
      <c r="F4273" s="724"/>
      <c r="G4273" s="724"/>
      <c r="H4273" s="659"/>
      <c r="I4273" s="783"/>
      <c r="J4273" s="784" t="s">
        <v>1842</v>
      </c>
      <c r="K4273" s="463">
        <f>SUM(K4268:K4272)</f>
        <v>32.839807592686284</v>
      </c>
      <c r="L4273" s="564" t="s">
        <v>3</v>
      </c>
      <c r="N4273" s="68"/>
      <c r="O4273" s="203"/>
      <c r="P4273" s="216"/>
      <c r="Q4273" s="419"/>
      <c r="R4273" s="219"/>
    </row>
    <row r="4274" spans="1:25" ht="30" customHeight="1" x14ac:dyDescent="0.35">
      <c r="A4274" s="241"/>
      <c r="B4274" s="1116" t="s">
        <v>1851</v>
      </c>
      <c r="C4274" s="1042"/>
      <c r="D4274" s="1043"/>
      <c r="E4274" s="667"/>
      <c r="F4274" s="724"/>
      <c r="G4274" s="724"/>
      <c r="H4274" s="659"/>
      <c r="I4274" s="783"/>
      <c r="J4274" s="784"/>
      <c r="K4274" s="463"/>
      <c r="L4274" s="564"/>
      <c r="M4274" s="368"/>
      <c r="N4274" s="68"/>
      <c r="O4274" s="203"/>
      <c r="P4274" s="218"/>
      <c r="Q4274" s="68"/>
      <c r="R4274" s="217"/>
    </row>
    <row r="4275" spans="1:25" ht="30" customHeight="1" x14ac:dyDescent="0.35">
      <c r="A4275" s="241">
        <v>93210</v>
      </c>
      <c r="B4275" s="1122" t="s">
        <v>1394</v>
      </c>
      <c r="C4275" s="1364"/>
      <c r="D4275" s="1365"/>
      <c r="E4275" s="453">
        <v>2.9</v>
      </c>
      <c r="F4275" s="694" t="s">
        <v>1843</v>
      </c>
      <c r="G4275" s="947">
        <v>0.33300000000000002</v>
      </c>
      <c r="H4275" s="659" t="s">
        <v>1844</v>
      </c>
      <c r="I4275" s="1091">
        <f>+'2021 MILCON Inflation Table'!$F$20</f>
        <v>0.9432470865927236</v>
      </c>
      <c r="J4275" s="1092"/>
      <c r="K4275" s="463">
        <f>+E4275*G4275*I4275</f>
        <v>0.91089371152259324</v>
      </c>
      <c r="L4275" s="564" t="s">
        <v>3</v>
      </c>
      <c r="N4275" s="68"/>
      <c r="O4275" s="203"/>
      <c r="P4275" s="218"/>
      <c r="Q4275" s="68"/>
      <c r="R4275" s="217"/>
    </row>
    <row r="4276" spans="1:25" ht="30" customHeight="1" x14ac:dyDescent="0.35">
      <c r="A4276" s="241">
        <v>93410</v>
      </c>
      <c r="B4276" s="1082" t="s">
        <v>1852</v>
      </c>
      <c r="C4276" s="1083"/>
      <c r="D4276" s="1093"/>
      <c r="E4276" s="453">
        <v>4.9000000000000004</v>
      </c>
      <c r="F4276" s="694" t="s">
        <v>1846</v>
      </c>
      <c r="G4276" s="947">
        <v>0.33300000000000002</v>
      </c>
      <c r="H4276" s="659" t="s">
        <v>1847</v>
      </c>
      <c r="I4276" s="1091">
        <f>+'2021 MILCON Inflation Table'!$F$20</f>
        <v>0.9432470865927236</v>
      </c>
      <c r="J4276" s="1092"/>
      <c r="K4276" s="463">
        <f>+E4276*G4276*I4276</f>
        <v>1.5390962711933474</v>
      </c>
      <c r="L4276" s="564" t="s">
        <v>3</v>
      </c>
      <c r="N4276" s="68"/>
      <c r="O4276" s="203"/>
      <c r="P4276" s="218"/>
      <c r="Q4276" s="68"/>
      <c r="R4276" s="217"/>
      <c r="T4276" s="208"/>
      <c r="U4276" s="208"/>
      <c r="V4276" s="208"/>
      <c r="W4276" s="208"/>
      <c r="X4276" s="208"/>
    </row>
    <row r="4277" spans="1:25" ht="30" customHeight="1" x14ac:dyDescent="0.35">
      <c r="A4277" s="241">
        <v>85110</v>
      </c>
      <c r="B4277" s="1122" t="s">
        <v>1853</v>
      </c>
      <c r="C4277" s="1364"/>
      <c r="D4277" s="1365"/>
      <c r="E4277" s="453">
        <v>7.2</v>
      </c>
      <c r="F4277" s="694" t="s">
        <v>3</v>
      </c>
      <c r="G4277" s="892"/>
      <c r="H4277" s="659"/>
      <c r="I4277" s="1091">
        <f>+'2021 MILCON Inflation Table'!$F$20</f>
        <v>0.9432470865927236</v>
      </c>
      <c r="J4277" s="1092"/>
      <c r="K4277" s="463">
        <f>+E4277*I4277</f>
        <v>6.7913790234676101</v>
      </c>
      <c r="L4277" s="564" t="s">
        <v>3</v>
      </c>
      <c r="M4277" s="51"/>
      <c r="N4277" s="68"/>
      <c r="O4277" s="203"/>
      <c r="P4277" s="218"/>
      <c r="Q4277" s="68"/>
      <c r="R4277" s="217"/>
      <c r="Y4277" s="208"/>
    </row>
    <row r="4278" spans="1:25" ht="30" customHeight="1" x14ac:dyDescent="0.35">
      <c r="A4278" s="241">
        <v>85110</v>
      </c>
      <c r="B4278" s="1116" t="s">
        <v>1854</v>
      </c>
      <c r="C4278" s="1042"/>
      <c r="D4278" s="1043"/>
      <c r="E4278" s="453">
        <v>49.8</v>
      </c>
      <c r="F4278" s="694" t="s">
        <v>3</v>
      </c>
      <c r="G4278" s="724"/>
      <c r="H4278" s="659"/>
      <c r="I4278" s="1091">
        <f>+'2021 MILCON Inflation Table'!$F$20</f>
        <v>0.9432470865927236</v>
      </c>
      <c r="J4278" s="1092"/>
      <c r="K4278" s="463">
        <f>+E4278*I4278</f>
        <v>46.973704912317636</v>
      </c>
      <c r="L4278" s="564" t="s">
        <v>3</v>
      </c>
      <c r="M4278" s="429"/>
      <c r="N4278" s="68"/>
      <c r="O4278" s="208"/>
      <c r="P4278" s="218"/>
      <c r="Q4278" s="68"/>
      <c r="R4278" s="217"/>
      <c r="S4278" s="208"/>
    </row>
    <row r="4279" spans="1:25" ht="30" customHeight="1" x14ac:dyDescent="0.35">
      <c r="A4279" s="948"/>
      <c r="B4279" s="515"/>
      <c r="C4279" s="515"/>
      <c r="D4279" s="949"/>
      <c r="E4279" s="667"/>
      <c r="F4279" s="724"/>
      <c r="G4279" s="724"/>
      <c r="H4279" s="659"/>
      <c r="I4279" s="783"/>
      <c r="J4279" s="784" t="s">
        <v>1851</v>
      </c>
      <c r="K4279" s="463">
        <f>SUM(K4275:K4278)</f>
        <v>56.21507391850119</v>
      </c>
      <c r="L4279" s="564" t="s">
        <v>3</v>
      </c>
      <c r="N4279" s="68"/>
      <c r="O4279" s="203"/>
      <c r="P4279" s="218"/>
      <c r="Q4279" s="68"/>
      <c r="R4279" s="217"/>
    </row>
    <row r="4280" spans="1:25" s="208" customFormat="1" ht="30" customHeight="1" x14ac:dyDescent="0.35">
      <c r="A4280" s="950"/>
      <c r="B4280" s="165"/>
      <c r="C4280" s="165"/>
      <c r="D4280" s="166"/>
      <c r="E4280" s="667"/>
      <c r="F4280" s="724"/>
      <c r="G4280" s="724"/>
      <c r="H4280" s="659"/>
      <c r="I4280" s="783"/>
      <c r="J4280" s="951" t="s">
        <v>353</v>
      </c>
      <c r="K4280" s="463">
        <f>+K4273*0.812+K4279*0.188</f>
        <v>37.234357661939491</v>
      </c>
      <c r="L4280" s="564" t="s">
        <v>3</v>
      </c>
      <c r="M4280" s="57"/>
      <c r="N4280" s="68"/>
      <c r="O4280" s="203"/>
      <c r="P4280" s="218"/>
      <c r="Q4280" s="68"/>
      <c r="R4280" s="217"/>
      <c r="S4280" s="203"/>
      <c r="T4280" s="203"/>
      <c r="U4280" s="203"/>
      <c r="V4280" s="203"/>
      <c r="W4280" s="203"/>
      <c r="X4280" s="203"/>
      <c r="Y4280" s="203"/>
    </row>
    <row r="4281" spans="1:25" ht="30" customHeight="1" x14ac:dyDescent="0.35">
      <c r="A4281" s="241">
        <v>85110</v>
      </c>
      <c r="B4281" s="1082" t="s">
        <v>1855</v>
      </c>
      <c r="C4281" s="1083"/>
      <c r="D4281" s="1093"/>
      <c r="E4281" s="453">
        <v>32.1</v>
      </c>
      <c r="F4281" s="694" t="s">
        <v>6</v>
      </c>
      <c r="G4281" s="952">
        <v>2.67</v>
      </c>
      <c r="H4281" s="659" t="s">
        <v>1856</v>
      </c>
      <c r="I4281" s="1091">
        <f>+'2021 MILCON Inflation Table'!$F$20</f>
        <v>0.9432470865927236</v>
      </c>
      <c r="J4281" s="1092"/>
      <c r="K4281" s="463">
        <f>+E4281/G4281*I4281</f>
        <v>11.340161602856341</v>
      </c>
      <c r="L4281" s="564" t="s">
        <v>3</v>
      </c>
      <c r="N4281" s="419"/>
      <c r="O4281" s="203"/>
      <c r="P4281" s="218"/>
      <c r="Q4281" s="68"/>
      <c r="R4281" s="217"/>
    </row>
    <row r="4282" spans="1:25" ht="30" customHeight="1" x14ac:dyDescent="0.35">
      <c r="A4282" s="241">
        <v>85110</v>
      </c>
      <c r="B4282" s="1059" t="s">
        <v>1857</v>
      </c>
      <c r="C4282" s="1059"/>
      <c r="D4282" s="1059"/>
      <c r="E4282" s="453">
        <v>0.4</v>
      </c>
      <c r="F4282" s="694" t="s">
        <v>6</v>
      </c>
      <c r="G4282" s="952">
        <v>2.67</v>
      </c>
      <c r="H4282" s="659" t="s">
        <v>1856</v>
      </c>
      <c r="I4282" s="1091">
        <f>+'2021 MILCON Inflation Table'!$F$20</f>
        <v>0.9432470865927236</v>
      </c>
      <c r="J4282" s="1092"/>
      <c r="K4282" s="463">
        <f>+E4282/G4282*I4282</f>
        <v>0.1413104249577114</v>
      </c>
      <c r="L4282" s="564" t="s">
        <v>3</v>
      </c>
      <c r="N4282" s="419"/>
      <c r="O4282" s="203"/>
      <c r="P4282" s="218"/>
      <c r="Q4282" s="68"/>
      <c r="R4282" s="217"/>
    </row>
    <row r="4283" spans="1:25" ht="30" customHeight="1" thickBot="1" x14ac:dyDescent="0.4">
      <c r="A4283" s="1181" t="s">
        <v>2826</v>
      </c>
      <c r="B4283" s="1182"/>
      <c r="C4283" s="1182"/>
      <c r="D4283" s="1182"/>
      <c r="E4283" s="687"/>
      <c r="F4283" s="953"/>
      <c r="G4283" s="430"/>
      <c r="H4283" s="954" t="s">
        <v>335</v>
      </c>
      <c r="I4283" s="689"/>
      <c r="J4283" s="684" t="s">
        <v>2356</v>
      </c>
      <c r="K4283" s="690">
        <f>+K4280+K4281+K4282</f>
        <v>48.715829689753541</v>
      </c>
      <c r="L4283" s="620" t="s">
        <v>3</v>
      </c>
      <c r="N4283" s="68"/>
      <c r="O4283" s="171"/>
      <c r="P4283" s="216"/>
      <c r="Q4283" s="419"/>
      <c r="R4283" s="219"/>
    </row>
    <row r="4284" spans="1:25" ht="30" customHeight="1" thickBot="1" x14ac:dyDescent="0.4">
      <c r="A4284" s="489"/>
      <c r="B4284" s="490"/>
      <c r="C4284" s="490"/>
      <c r="D4284" s="490"/>
      <c r="E4284" s="490"/>
      <c r="F4284" s="490"/>
      <c r="G4284" s="490"/>
      <c r="H4284" s="490"/>
      <c r="I4284" s="490"/>
      <c r="J4284" s="490"/>
      <c r="K4284" s="490"/>
      <c r="L4284" s="491"/>
      <c r="M4284" s="269"/>
      <c r="N4284" s="68"/>
      <c r="O4284" s="171"/>
      <c r="P4284" s="216"/>
      <c r="Q4284" s="419"/>
      <c r="R4284" s="219"/>
    </row>
    <row r="4285" spans="1:25" ht="30" customHeight="1" x14ac:dyDescent="0.35">
      <c r="A4285" s="465" t="s">
        <v>278</v>
      </c>
      <c r="B4285" s="539">
        <v>8512</v>
      </c>
      <c r="C4285" s="1060" t="s">
        <v>1858</v>
      </c>
      <c r="D4285" s="1061"/>
      <c r="E4285" s="541" t="s">
        <v>280</v>
      </c>
      <c r="F4285" s="542" t="s">
        <v>3</v>
      </c>
      <c r="G4285" s="543" t="s">
        <v>285</v>
      </c>
      <c r="H4285" s="569">
        <v>69057</v>
      </c>
      <c r="I4285" s="541" t="s">
        <v>281</v>
      </c>
      <c r="J4285" s="1019" t="s">
        <v>2749</v>
      </c>
      <c r="K4285" s="1019"/>
      <c r="L4285" s="1020"/>
      <c r="M4285" s="367"/>
      <c r="N4285" s="68"/>
      <c r="O4285" s="203"/>
      <c r="P4285" s="218"/>
      <c r="Q4285" s="68"/>
      <c r="R4285" s="217"/>
    </row>
    <row r="4286" spans="1:25" ht="30" customHeight="1" x14ac:dyDescent="0.35">
      <c r="A4286" s="545" t="s">
        <v>288</v>
      </c>
      <c r="B4286" s="1051" t="s">
        <v>282</v>
      </c>
      <c r="C4286" s="1051"/>
      <c r="D4286" s="1051"/>
      <c r="E4286" s="561" t="s">
        <v>290</v>
      </c>
      <c r="F4286" s="509" t="s">
        <v>2</v>
      </c>
      <c r="G4286" s="1094" t="s">
        <v>323</v>
      </c>
      <c r="H4286" s="1095"/>
      <c r="I4286" s="1052" t="s">
        <v>405</v>
      </c>
      <c r="J4286" s="1053"/>
      <c r="K4286" s="1012" t="s">
        <v>292</v>
      </c>
      <c r="L4286" s="1013"/>
      <c r="N4286" s="68"/>
      <c r="O4286" s="203"/>
      <c r="P4286" s="218"/>
      <c r="Q4286" s="68"/>
      <c r="R4286" s="217"/>
    </row>
    <row r="4287" spans="1:25" ht="30" customHeight="1" x14ac:dyDescent="0.35">
      <c r="A4287" s="241">
        <v>93210</v>
      </c>
      <c r="B4287" s="1122" t="s">
        <v>1394</v>
      </c>
      <c r="C4287" s="1364"/>
      <c r="D4287" s="1365"/>
      <c r="E4287" s="453">
        <v>2.9</v>
      </c>
      <c r="F4287" s="694" t="s">
        <v>1843</v>
      </c>
      <c r="G4287" s="947">
        <v>0.33300000000000002</v>
      </c>
      <c r="H4287" s="659" t="s">
        <v>1844</v>
      </c>
      <c r="I4287" s="1091">
        <f>+'2021 MILCON Inflation Table'!$F$20</f>
        <v>0.9432470865927236</v>
      </c>
      <c r="J4287" s="1092"/>
      <c r="K4287" s="463">
        <f>+E4287*G4287*I4287</f>
        <v>0.91089371152259324</v>
      </c>
      <c r="L4287" s="564" t="s">
        <v>3</v>
      </c>
      <c r="N4287" s="68"/>
      <c r="O4287" s="203"/>
      <c r="P4287" s="218"/>
      <c r="Q4287" s="68"/>
      <c r="R4287" s="217"/>
    </row>
    <row r="4288" spans="1:25" ht="30" customHeight="1" x14ac:dyDescent="0.35">
      <c r="A4288" s="241">
        <v>93210</v>
      </c>
      <c r="B4288" s="1122" t="s">
        <v>1859</v>
      </c>
      <c r="C4288" s="1364"/>
      <c r="D4288" s="1365"/>
      <c r="E4288" s="453">
        <v>2.4</v>
      </c>
      <c r="F4288" s="694" t="s">
        <v>3</v>
      </c>
      <c r="G4288" s="694"/>
      <c r="H4288" s="659"/>
      <c r="I4288" s="1091">
        <f>+'2021 MILCON Inflation Table'!$F$20</f>
        <v>0.9432470865927236</v>
      </c>
      <c r="J4288" s="1092"/>
      <c r="K4288" s="463">
        <f>+E4288*I4288</f>
        <v>2.2637930078225366</v>
      </c>
      <c r="L4288" s="564" t="s">
        <v>3</v>
      </c>
      <c r="N4288" s="68"/>
      <c r="O4288" s="203"/>
      <c r="P4288" s="218"/>
      <c r="Q4288" s="68"/>
      <c r="R4288" s="217"/>
    </row>
    <row r="4289" spans="1:25" ht="30" customHeight="1" x14ac:dyDescent="0.35">
      <c r="A4289" s="241">
        <v>85110</v>
      </c>
      <c r="B4289" s="1122" t="s">
        <v>1848</v>
      </c>
      <c r="C4289" s="1364"/>
      <c r="D4289" s="1365"/>
      <c r="E4289" s="453">
        <v>10.1</v>
      </c>
      <c r="F4289" s="694" t="s">
        <v>3</v>
      </c>
      <c r="G4289" s="694"/>
      <c r="H4289" s="659"/>
      <c r="I4289" s="1091">
        <f>+'2021 MILCON Inflation Table'!$F$20</f>
        <v>0.9432470865927236</v>
      </c>
      <c r="J4289" s="1092"/>
      <c r="K4289" s="463">
        <f>+E4289*I4289</f>
        <v>9.5267955745865081</v>
      </c>
      <c r="L4289" s="564" t="s">
        <v>3</v>
      </c>
      <c r="N4289" s="68"/>
      <c r="O4289" s="203"/>
      <c r="P4289" s="218"/>
      <c r="Q4289" s="68"/>
      <c r="R4289" s="217"/>
    </row>
    <row r="4290" spans="1:25" ht="30" customHeight="1" thickBot="1" x14ac:dyDescent="0.4">
      <c r="A4290" s="241"/>
      <c r="B4290" s="1082" t="s">
        <v>1860</v>
      </c>
      <c r="C4290" s="1083"/>
      <c r="D4290" s="1093"/>
      <c r="E4290" s="553"/>
      <c r="F4290" s="706"/>
      <c r="G4290" s="553"/>
      <c r="H4290" s="707" t="s">
        <v>335</v>
      </c>
      <c r="I4290" s="458"/>
      <c r="J4290" s="510" t="s">
        <v>2356</v>
      </c>
      <c r="K4290" s="459">
        <f>SUM(K4287:K4289)</f>
        <v>12.701482293931637</v>
      </c>
      <c r="L4290" s="564" t="s">
        <v>3</v>
      </c>
      <c r="N4290" s="68"/>
      <c r="O4290" s="203"/>
      <c r="P4290" s="218"/>
      <c r="Q4290" s="68"/>
      <c r="R4290" s="217"/>
    </row>
    <row r="4291" spans="1:25" ht="30" customHeight="1" thickBot="1" x14ac:dyDescent="0.4">
      <c r="A4291" s="489"/>
      <c r="B4291" s="490"/>
      <c r="C4291" s="490"/>
      <c r="D4291" s="490"/>
      <c r="E4291" s="490"/>
      <c r="F4291" s="490"/>
      <c r="G4291" s="490"/>
      <c r="H4291" s="490"/>
      <c r="I4291" s="490"/>
      <c r="J4291" s="490"/>
      <c r="K4291" s="490"/>
      <c r="L4291" s="491"/>
      <c r="N4291" s="68"/>
      <c r="O4291" s="203"/>
      <c r="P4291" s="218"/>
      <c r="Q4291" s="68"/>
      <c r="R4291" s="217"/>
    </row>
    <row r="4292" spans="1:25" ht="30" customHeight="1" x14ac:dyDescent="0.35">
      <c r="A4292" s="465" t="s">
        <v>278</v>
      </c>
      <c r="B4292" s="539">
        <v>8513</v>
      </c>
      <c r="C4292" s="1017" t="s">
        <v>1861</v>
      </c>
      <c r="D4292" s="1018"/>
      <c r="E4292" s="541" t="s">
        <v>280</v>
      </c>
      <c r="F4292" s="542" t="s">
        <v>3</v>
      </c>
      <c r="G4292" s="543" t="s">
        <v>285</v>
      </c>
      <c r="H4292" s="555">
        <v>351</v>
      </c>
      <c r="I4292" s="541" t="s">
        <v>281</v>
      </c>
      <c r="J4292" s="1019" t="s">
        <v>2371</v>
      </c>
      <c r="K4292" s="1019"/>
      <c r="L4292" s="1020"/>
      <c r="N4292" s="419"/>
      <c r="O4292" s="203"/>
      <c r="P4292" s="218"/>
      <c r="Q4292" s="68"/>
      <c r="R4292" s="217"/>
    </row>
    <row r="4293" spans="1:25" ht="30" customHeight="1" x14ac:dyDescent="0.35">
      <c r="A4293" s="593" t="s">
        <v>298</v>
      </c>
      <c r="B4293" s="1231" t="s">
        <v>321</v>
      </c>
      <c r="C4293" s="1419"/>
      <c r="D4293" s="1327"/>
      <c r="E4293" s="196" t="s">
        <v>290</v>
      </c>
      <c r="F4293" s="196" t="s">
        <v>322</v>
      </c>
      <c r="G4293" s="1420" t="s">
        <v>323</v>
      </c>
      <c r="H4293" s="1421"/>
      <c r="I4293" s="511" t="s">
        <v>299</v>
      </c>
      <c r="J4293" s="511"/>
      <c r="K4293" s="1229" t="s">
        <v>292</v>
      </c>
      <c r="L4293" s="1397"/>
      <c r="M4293" s="173"/>
      <c r="N4293" s="419"/>
      <c r="O4293" s="203"/>
      <c r="P4293" s="218"/>
      <c r="Q4293" s="68"/>
      <c r="R4293" s="217"/>
    </row>
    <row r="4294" spans="1:25" ht="30" customHeight="1" x14ac:dyDescent="0.35">
      <c r="A4294" s="562" t="s">
        <v>442</v>
      </c>
      <c r="B4294" s="1116" t="s">
        <v>2280</v>
      </c>
      <c r="C4294" s="1042"/>
      <c r="D4294" s="1043"/>
      <c r="E4294" s="186">
        <f>(74+253)/2</f>
        <v>163.5</v>
      </c>
      <c r="F4294" s="185" t="s">
        <v>8</v>
      </c>
      <c r="G4294" s="307">
        <v>9</v>
      </c>
      <c r="H4294" s="308" t="s">
        <v>482</v>
      </c>
      <c r="I4294" s="434">
        <v>1.02</v>
      </c>
      <c r="J4294" s="185"/>
      <c r="K4294" s="441">
        <f>+E4294*G4294*I4294</f>
        <v>1500.93</v>
      </c>
      <c r="L4294" s="955" t="s">
        <v>3</v>
      </c>
      <c r="N4294" s="68"/>
      <c r="O4294" s="203"/>
      <c r="P4294" s="218"/>
      <c r="Q4294" s="68"/>
      <c r="R4294" s="217"/>
    </row>
    <row r="4295" spans="1:25" ht="30" customHeight="1" x14ac:dyDescent="0.35">
      <c r="A4295" s="241"/>
      <c r="B4295" s="506"/>
      <c r="C4295" s="506"/>
      <c r="D4295" s="506"/>
      <c r="E4295" s="453"/>
      <c r="F4295" s="1029" t="s">
        <v>302</v>
      </c>
      <c r="G4295" s="1058" t="s">
        <v>303</v>
      </c>
      <c r="H4295" s="1058"/>
      <c r="I4295" s="1058"/>
      <c r="J4295" s="1058"/>
      <c r="K4295" s="612">
        <v>1.07</v>
      </c>
      <c r="L4295" s="243"/>
      <c r="N4295" s="68"/>
      <c r="O4295" s="203"/>
      <c r="P4295" s="218"/>
      <c r="Q4295" s="68"/>
      <c r="R4295" s="217"/>
    </row>
    <row r="4296" spans="1:25" ht="30" customHeight="1" x14ac:dyDescent="0.35">
      <c r="A4296" s="241"/>
      <c r="B4296" s="506"/>
      <c r="C4296" s="506"/>
      <c r="D4296" s="506"/>
      <c r="E4296" s="453"/>
      <c r="F4296" s="1030"/>
      <c r="G4296" s="1073" t="s">
        <v>2374</v>
      </c>
      <c r="H4296" s="1073"/>
      <c r="I4296" s="1073"/>
      <c r="J4296" s="1073"/>
      <c r="K4296" s="612">
        <v>1.08</v>
      </c>
      <c r="L4296" s="243"/>
      <c r="N4296" s="68"/>
      <c r="O4296" s="203"/>
      <c r="P4296" s="218"/>
      <c r="Q4296" s="68"/>
      <c r="R4296" s="217"/>
    </row>
    <row r="4297" spans="1:25" ht="30" customHeight="1" x14ac:dyDescent="0.35">
      <c r="A4297" s="241"/>
      <c r="B4297" s="446"/>
      <c r="C4297" s="458"/>
      <c r="D4297" s="458"/>
      <c r="E4297" s="458"/>
      <c r="F4297" s="458"/>
      <c r="G4297" s="458"/>
      <c r="H4297" s="458"/>
      <c r="I4297" s="458"/>
      <c r="J4297" s="446" t="s">
        <v>2356</v>
      </c>
      <c r="K4297" s="591">
        <f>+K4294*K4295/K4296</f>
        <v>1487.0325</v>
      </c>
      <c r="L4297" s="243" t="s">
        <v>3</v>
      </c>
      <c r="N4297" s="68"/>
      <c r="O4297" s="203"/>
      <c r="P4297" s="218"/>
      <c r="Q4297" s="68"/>
      <c r="R4297" s="217"/>
      <c r="T4297" s="208"/>
      <c r="U4297" s="208"/>
      <c r="V4297" s="208"/>
      <c r="W4297" s="208"/>
      <c r="X4297" s="208"/>
    </row>
    <row r="4298" spans="1:25" ht="30" customHeight="1" x14ac:dyDescent="0.35">
      <c r="A4298" s="241"/>
      <c r="B4298" s="446"/>
      <c r="C4298" s="458"/>
      <c r="D4298" s="458"/>
      <c r="E4298" s="458"/>
      <c r="F4298" s="458"/>
      <c r="G4298" s="171"/>
      <c r="H4298" s="458"/>
      <c r="I4298" s="568" t="s">
        <v>2359</v>
      </c>
      <c r="J4298" s="583">
        <f>VLOOKUP(B4292,'Mil Cost Premiums for PUCs'!$A$4:$R$272,18,FALSE)</f>
        <v>1.1199953840399997</v>
      </c>
      <c r="K4298" s="591">
        <f>+K4297*J4298</f>
        <v>1665.4695359174609</v>
      </c>
      <c r="L4298" s="243" t="s">
        <v>3</v>
      </c>
      <c r="M4298" s="51"/>
      <c r="N4298" s="68"/>
      <c r="O4298" s="203"/>
      <c r="P4298" s="218"/>
      <c r="Q4298" s="68"/>
      <c r="R4298" s="217"/>
      <c r="Y4298" s="208"/>
    </row>
    <row r="4299" spans="1:25" ht="60" customHeight="1" x14ac:dyDescent="0.35">
      <c r="A4299" s="1064" t="s">
        <v>305</v>
      </c>
      <c r="B4299" s="1065"/>
      <c r="C4299" s="1065"/>
      <c r="D4299" s="1065"/>
      <c r="E4299" s="1065"/>
      <c r="F4299" s="1065"/>
      <c r="G4299" s="1065"/>
      <c r="H4299" s="1065"/>
      <c r="I4299" s="1065"/>
      <c r="J4299" s="1065"/>
      <c r="K4299" s="1065"/>
      <c r="L4299" s="1066"/>
      <c r="M4299" s="51"/>
      <c r="N4299" s="68"/>
      <c r="O4299" s="208"/>
      <c r="P4299" s="218"/>
      <c r="Q4299" s="68"/>
      <c r="R4299" s="217"/>
      <c r="S4299" s="208"/>
    </row>
    <row r="4300" spans="1:25" ht="30" customHeight="1" x14ac:dyDescent="0.35">
      <c r="A4300" s="1077" t="s">
        <v>306</v>
      </c>
      <c r="B4300" s="1042"/>
      <c r="C4300" s="1043"/>
      <c r="D4300" s="1067" t="s">
        <v>1862</v>
      </c>
      <c r="E4300" s="1065"/>
      <c r="F4300" s="1065"/>
      <c r="G4300" s="1065"/>
      <c r="H4300" s="1065"/>
      <c r="I4300" s="1065"/>
      <c r="J4300" s="1065"/>
      <c r="K4300" s="1065"/>
      <c r="L4300" s="1066"/>
      <c r="N4300" s="68"/>
      <c r="O4300" s="203"/>
      <c r="P4300" s="218"/>
      <c r="Q4300" s="68"/>
      <c r="R4300" s="217"/>
    </row>
    <row r="4301" spans="1:25" s="208" customFormat="1" ht="30" customHeight="1" x14ac:dyDescent="0.35">
      <c r="A4301" s="1077" t="s">
        <v>307</v>
      </c>
      <c r="B4301" s="1042"/>
      <c r="C4301" s="1043"/>
      <c r="D4301" s="1067" t="s">
        <v>1863</v>
      </c>
      <c r="E4301" s="1065"/>
      <c r="F4301" s="1065"/>
      <c r="G4301" s="1065"/>
      <c r="H4301" s="1065"/>
      <c r="I4301" s="1065"/>
      <c r="J4301" s="1065"/>
      <c r="K4301" s="1065"/>
      <c r="L4301" s="1066"/>
      <c r="M4301" s="57"/>
      <c r="N4301" s="68"/>
      <c r="O4301" s="171"/>
      <c r="P4301" s="216"/>
      <c r="Q4301" s="419"/>
      <c r="R4301" s="219"/>
      <c r="S4301" s="203"/>
      <c r="T4301" s="203"/>
      <c r="U4301" s="203"/>
      <c r="V4301" s="203"/>
      <c r="W4301" s="203"/>
      <c r="X4301" s="203"/>
      <c r="Y4301" s="203"/>
    </row>
    <row r="4302" spans="1:25" ht="30" customHeight="1" x14ac:dyDescent="0.35">
      <c r="A4302" s="1077" t="s">
        <v>308</v>
      </c>
      <c r="B4302" s="1042"/>
      <c r="C4302" s="1043"/>
      <c r="D4302" s="1067" t="s">
        <v>3199</v>
      </c>
      <c r="E4302" s="1065"/>
      <c r="F4302" s="1065"/>
      <c r="G4302" s="1065"/>
      <c r="H4302" s="1065"/>
      <c r="I4302" s="1065"/>
      <c r="J4302" s="1065"/>
      <c r="K4302" s="1065"/>
      <c r="L4302" s="1066"/>
      <c r="N4302" s="68"/>
      <c r="O4302" s="171"/>
      <c r="P4302" s="216"/>
      <c r="Q4302" s="419"/>
      <c r="R4302" s="219"/>
    </row>
    <row r="4303" spans="1:25" ht="30" customHeight="1" x14ac:dyDescent="0.35">
      <c r="A4303" s="1077" t="s">
        <v>309</v>
      </c>
      <c r="B4303" s="1042"/>
      <c r="C4303" s="1043"/>
      <c r="D4303" s="1067" t="s">
        <v>1864</v>
      </c>
      <c r="E4303" s="1065"/>
      <c r="F4303" s="1065"/>
      <c r="G4303" s="1065"/>
      <c r="H4303" s="1065"/>
      <c r="I4303" s="1065"/>
      <c r="J4303" s="1065"/>
      <c r="K4303" s="1065"/>
      <c r="L4303" s="1066"/>
      <c r="N4303" s="68"/>
      <c r="O4303" s="203"/>
      <c r="P4303" s="218"/>
      <c r="Q4303" s="68"/>
      <c r="R4303" s="217"/>
    </row>
    <row r="4304" spans="1:25" ht="30" customHeight="1" x14ac:dyDescent="0.35">
      <c r="A4304" s="1077" t="s">
        <v>311</v>
      </c>
      <c r="B4304" s="1042"/>
      <c r="C4304" s="1043"/>
      <c r="D4304" s="1067" t="s">
        <v>1865</v>
      </c>
      <c r="E4304" s="1065"/>
      <c r="F4304" s="1065"/>
      <c r="G4304" s="1065"/>
      <c r="H4304" s="1065"/>
      <c r="I4304" s="1065"/>
      <c r="J4304" s="1065"/>
      <c r="K4304" s="1065"/>
      <c r="L4304" s="1066"/>
      <c r="M4304" s="173"/>
      <c r="N4304" s="68"/>
      <c r="O4304" s="203"/>
      <c r="P4304" s="218"/>
      <c r="Q4304" s="68"/>
      <c r="R4304" s="217"/>
    </row>
    <row r="4305" spans="1:25" ht="30" customHeight="1" x14ac:dyDescent="0.35">
      <c r="A4305" s="1077" t="s">
        <v>313</v>
      </c>
      <c r="B4305" s="1042"/>
      <c r="C4305" s="1043"/>
      <c r="D4305" s="1067" t="s">
        <v>1682</v>
      </c>
      <c r="E4305" s="1065"/>
      <c r="F4305" s="1065"/>
      <c r="G4305" s="1065"/>
      <c r="H4305" s="1065"/>
      <c r="I4305" s="1065"/>
      <c r="J4305" s="1065"/>
      <c r="K4305" s="1065"/>
      <c r="L4305" s="1066"/>
      <c r="M4305" s="367"/>
      <c r="N4305" s="68"/>
      <c r="O4305" s="203"/>
      <c r="P4305" s="218"/>
      <c r="Q4305" s="68"/>
      <c r="R4305" s="217"/>
    </row>
    <row r="4306" spans="1:25" ht="30" customHeight="1" x14ac:dyDescent="0.35">
      <c r="A4306" s="1077" t="s">
        <v>315</v>
      </c>
      <c r="B4306" s="1042"/>
      <c r="C4306" s="1043"/>
      <c r="D4306" s="1067" t="s">
        <v>1817</v>
      </c>
      <c r="E4306" s="1065"/>
      <c r="F4306" s="1065"/>
      <c r="G4306" s="1065"/>
      <c r="H4306" s="1065"/>
      <c r="I4306" s="1065"/>
      <c r="J4306" s="1065"/>
      <c r="K4306" s="1065"/>
      <c r="L4306" s="1066"/>
      <c r="N4306" s="68"/>
      <c r="O4306" s="203"/>
      <c r="P4306" s="218"/>
      <c r="Q4306" s="68"/>
      <c r="R4306" s="217"/>
    </row>
    <row r="4307" spans="1:25" ht="30" customHeight="1" x14ac:dyDescent="0.35">
      <c r="A4307" s="1077" t="s">
        <v>316</v>
      </c>
      <c r="B4307" s="1042"/>
      <c r="C4307" s="1043"/>
      <c r="D4307" s="1067" t="s">
        <v>317</v>
      </c>
      <c r="E4307" s="1065"/>
      <c r="F4307" s="1065"/>
      <c r="G4307" s="1065"/>
      <c r="H4307" s="1065"/>
      <c r="I4307" s="1065"/>
      <c r="J4307" s="1065"/>
      <c r="K4307" s="1065"/>
      <c r="L4307" s="1066"/>
      <c r="N4307" s="68"/>
      <c r="O4307" s="203"/>
      <c r="P4307" s="218"/>
      <c r="Q4307" s="68"/>
      <c r="R4307" s="217"/>
    </row>
    <row r="4308" spans="1:25" ht="45" customHeight="1" thickBot="1" x14ac:dyDescent="0.4">
      <c r="A4308" s="1077" t="s">
        <v>318</v>
      </c>
      <c r="B4308" s="1042"/>
      <c r="C4308" s="1043"/>
      <c r="D4308" s="1068" t="s">
        <v>3182</v>
      </c>
      <c r="E4308" s="1069"/>
      <c r="F4308" s="1069"/>
      <c r="G4308" s="1069"/>
      <c r="H4308" s="1069"/>
      <c r="I4308" s="1069"/>
      <c r="J4308" s="1069"/>
      <c r="K4308" s="1069"/>
      <c r="L4308" s="1070"/>
      <c r="N4308" s="68"/>
      <c r="O4308" s="203"/>
      <c r="P4308" s="218"/>
      <c r="Q4308" s="68"/>
      <c r="R4308" s="217"/>
    </row>
    <row r="4309" spans="1:25" ht="30" customHeight="1" thickBot="1" x14ac:dyDescent="0.4">
      <c r="A4309" s="489"/>
      <c r="B4309" s="490"/>
      <c r="C4309" s="490"/>
      <c r="D4309" s="490"/>
      <c r="E4309" s="490"/>
      <c r="F4309" s="490"/>
      <c r="G4309" s="490"/>
      <c r="H4309" s="490"/>
      <c r="I4309" s="490"/>
      <c r="J4309" s="490"/>
      <c r="K4309" s="490"/>
      <c r="L4309" s="491"/>
      <c r="M4309" s="51"/>
      <c r="N4309" s="68"/>
      <c r="O4309" s="203"/>
      <c r="P4309" s="218"/>
      <c r="Q4309" s="68"/>
      <c r="R4309" s="217"/>
    </row>
    <row r="4310" spans="1:25" ht="30" customHeight="1" x14ac:dyDescent="0.35">
      <c r="A4310" s="465" t="s">
        <v>278</v>
      </c>
      <c r="B4310" s="539">
        <v>8514</v>
      </c>
      <c r="C4310" s="1017" t="s">
        <v>2279</v>
      </c>
      <c r="D4310" s="1018"/>
      <c r="E4310" s="541" t="s">
        <v>280</v>
      </c>
      <c r="F4310" s="542" t="s">
        <v>8</v>
      </c>
      <c r="G4310" s="543" t="s">
        <v>279</v>
      </c>
      <c r="H4310" s="555">
        <v>15104</v>
      </c>
      <c r="I4310" s="541" t="s">
        <v>281</v>
      </c>
      <c r="J4310" s="1019" t="s">
        <v>2371</v>
      </c>
      <c r="K4310" s="1019"/>
      <c r="L4310" s="1020"/>
      <c r="M4310" s="51"/>
      <c r="N4310" s="419"/>
      <c r="O4310" s="203"/>
      <c r="P4310" s="218"/>
      <c r="Q4310" s="68"/>
      <c r="R4310" s="217"/>
    </row>
    <row r="4311" spans="1:25" ht="30" customHeight="1" x14ac:dyDescent="0.35">
      <c r="A4311" s="588" t="s">
        <v>298</v>
      </c>
      <c r="B4311" s="1280" t="s">
        <v>321</v>
      </c>
      <c r="C4311" s="1280"/>
      <c r="D4311" s="1280"/>
      <c r="E4311" s="23" t="s">
        <v>290</v>
      </c>
      <c r="F4311" s="23" t="s">
        <v>322</v>
      </c>
      <c r="G4311" s="1034" t="s">
        <v>323</v>
      </c>
      <c r="H4311" s="1035"/>
      <c r="I4311" s="509" t="s">
        <v>299</v>
      </c>
      <c r="J4311" s="509"/>
      <c r="K4311" s="1012" t="s">
        <v>292</v>
      </c>
      <c r="L4311" s="1013"/>
      <c r="N4311" s="419"/>
      <c r="O4311" s="203"/>
      <c r="P4311" s="218"/>
      <c r="Q4311" s="68"/>
      <c r="R4311" s="217"/>
    </row>
    <row r="4312" spans="1:25" ht="30" customHeight="1" x14ac:dyDescent="0.35">
      <c r="A4312" s="241" t="s">
        <v>1514</v>
      </c>
      <c r="B4312" s="1059" t="s">
        <v>1866</v>
      </c>
      <c r="C4312" s="1059"/>
      <c r="D4312" s="1059"/>
      <c r="E4312" s="40">
        <v>555</v>
      </c>
      <c r="F4312" s="3" t="s">
        <v>8</v>
      </c>
      <c r="G4312" s="80"/>
      <c r="H4312" s="498"/>
      <c r="I4312" s="446">
        <v>1.05</v>
      </c>
      <c r="J4312" s="3"/>
      <c r="K4312" s="591">
        <f>E4312*I4312</f>
        <v>582.75</v>
      </c>
      <c r="L4312" s="676" t="s">
        <v>8</v>
      </c>
      <c r="N4312" s="68"/>
      <c r="O4312" s="203"/>
      <c r="P4312" s="218"/>
      <c r="Q4312" s="68"/>
      <c r="R4312" s="217"/>
    </row>
    <row r="4313" spans="1:25" ht="30" customHeight="1" x14ac:dyDescent="0.35">
      <c r="A4313" s="241"/>
      <c r="B4313" s="506"/>
      <c r="C4313" s="506"/>
      <c r="D4313" s="506"/>
      <c r="E4313" s="453"/>
      <c r="F4313" s="1029" t="s">
        <v>302</v>
      </c>
      <c r="G4313" s="1058" t="s">
        <v>303</v>
      </c>
      <c r="H4313" s="1058"/>
      <c r="I4313" s="1058"/>
      <c r="J4313" s="1058"/>
      <c r="K4313" s="612">
        <v>1.07</v>
      </c>
      <c r="L4313" s="243"/>
      <c r="N4313" s="68"/>
      <c r="O4313" s="203"/>
      <c r="P4313" s="218"/>
      <c r="Q4313" s="68"/>
      <c r="R4313" s="217"/>
    </row>
    <row r="4314" spans="1:25" ht="30" customHeight="1" x14ac:dyDescent="0.35">
      <c r="A4314" s="241"/>
      <c r="B4314" s="506"/>
      <c r="C4314" s="506"/>
      <c r="D4314" s="506"/>
      <c r="E4314" s="453"/>
      <c r="F4314" s="1030"/>
      <c r="G4314" s="1073" t="s">
        <v>2374</v>
      </c>
      <c r="H4314" s="1073"/>
      <c r="I4314" s="1073"/>
      <c r="J4314" s="1073"/>
      <c r="K4314" s="612">
        <v>1.08</v>
      </c>
      <c r="L4314" s="243"/>
      <c r="N4314" s="68"/>
      <c r="O4314" s="203"/>
      <c r="P4314" s="218"/>
      <c r="Q4314" s="68"/>
      <c r="R4314" s="217"/>
    </row>
    <row r="4315" spans="1:25" ht="30" customHeight="1" x14ac:dyDescent="0.35">
      <c r="A4315" s="241"/>
      <c r="B4315" s="1184" t="s">
        <v>2825</v>
      </c>
      <c r="C4315" s="1207"/>
      <c r="D4315" s="1359"/>
      <c r="E4315" s="458"/>
      <c r="F4315" s="458"/>
      <c r="G4315" s="458"/>
      <c r="H4315" s="458"/>
      <c r="I4315" s="458"/>
      <c r="J4315" s="446" t="s">
        <v>2356</v>
      </c>
      <c r="K4315" s="591">
        <f>+K4312*K4313/K4314</f>
        <v>577.35416666666663</v>
      </c>
      <c r="L4315" s="243" t="s">
        <v>8</v>
      </c>
      <c r="N4315" s="68"/>
      <c r="O4315" s="203"/>
      <c r="P4315" s="218"/>
      <c r="Q4315" s="68"/>
      <c r="R4315" s="217"/>
      <c r="T4315" s="208"/>
      <c r="U4315" s="208"/>
      <c r="V4315" s="208"/>
      <c r="W4315" s="208"/>
      <c r="X4315" s="208"/>
    </row>
    <row r="4316" spans="1:25" ht="30" customHeight="1" thickBot="1" x14ac:dyDescent="0.4">
      <c r="A4316" s="241"/>
      <c r="B4316" s="1374"/>
      <c r="C4316" s="1375"/>
      <c r="D4316" s="1376"/>
      <c r="E4316" s="458"/>
      <c r="F4316" s="458"/>
      <c r="G4316" s="592" t="s">
        <v>2358</v>
      </c>
      <c r="H4316" s="458"/>
      <c r="I4316" s="458"/>
      <c r="J4316" s="583">
        <f>VLOOKUP(B4310,'Mil Cost Premiums for PUCs'!$A$4:$R$272,18,FALSE)</f>
        <v>1.1199953840399997</v>
      </c>
      <c r="K4316" s="591">
        <f>+K4315*J4316</f>
        <v>646.63400162292726</v>
      </c>
      <c r="L4316" s="243" t="s">
        <v>8</v>
      </c>
      <c r="N4316" s="68"/>
      <c r="O4316" s="203"/>
      <c r="P4316" s="218"/>
      <c r="Q4316" s="68"/>
      <c r="R4316" s="217"/>
      <c r="Y4316" s="208"/>
    </row>
    <row r="4317" spans="1:25" ht="30" customHeight="1" thickBot="1" x14ac:dyDescent="0.4">
      <c r="A4317" s="489"/>
      <c r="B4317" s="490"/>
      <c r="C4317" s="490"/>
      <c r="D4317" s="490"/>
      <c r="E4317" s="490"/>
      <c r="F4317" s="490"/>
      <c r="G4317" s="490"/>
      <c r="H4317" s="490"/>
      <c r="I4317" s="490"/>
      <c r="J4317" s="490"/>
      <c r="K4317" s="490"/>
      <c r="L4317" s="491"/>
      <c r="N4317" s="68"/>
      <c r="O4317" s="208"/>
      <c r="P4317" s="218"/>
      <c r="Q4317" s="68"/>
      <c r="R4317" s="217"/>
      <c r="S4317" s="208"/>
    </row>
    <row r="4318" spans="1:25" ht="30" customHeight="1" x14ac:dyDescent="0.35">
      <c r="A4318" s="465" t="s">
        <v>278</v>
      </c>
      <c r="B4318" s="539">
        <v>8521</v>
      </c>
      <c r="C4318" s="1231" t="s">
        <v>1868</v>
      </c>
      <c r="D4318" s="1327"/>
      <c r="E4318" s="541" t="s">
        <v>280</v>
      </c>
      <c r="F4318" s="542" t="s">
        <v>3</v>
      </c>
      <c r="G4318" s="543" t="s">
        <v>285</v>
      </c>
      <c r="H4318" s="555">
        <v>10242</v>
      </c>
      <c r="I4318" s="541" t="s">
        <v>281</v>
      </c>
      <c r="J4318" s="1019" t="s">
        <v>2371</v>
      </c>
      <c r="K4318" s="1019"/>
      <c r="L4318" s="1020"/>
      <c r="N4318" s="68"/>
      <c r="O4318" s="203"/>
      <c r="P4318" s="218"/>
      <c r="Q4318" s="68"/>
      <c r="R4318" s="217"/>
    </row>
    <row r="4319" spans="1:25" s="208" customFormat="1" ht="30" customHeight="1" x14ac:dyDescent="0.35">
      <c r="A4319" s="588" t="s">
        <v>298</v>
      </c>
      <c r="B4319" s="1038" t="s">
        <v>321</v>
      </c>
      <c r="C4319" s="1039"/>
      <c r="D4319" s="1040"/>
      <c r="E4319" s="23" t="s">
        <v>290</v>
      </c>
      <c r="F4319" s="23" t="s">
        <v>322</v>
      </c>
      <c r="G4319" s="1034" t="s">
        <v>323</v>
      </c>
      <c r="H4319" s="1035"/>
      <c r="I4319" s="509" t="s">
        <v>299</v>
      </c>
      <c r="J4319" s="509"/>
      <c r="K4319" s="1012" t="s">
        <v>292</v>
      </c>
      <c r="L4319" s="1013"/>
      <c r="M4319" s="57"/>
      <c r="N4319" s="68"/>
      <c r="O4319" s="171"/>
      <c r="P4319" s="216"/>
      <c r="Q4319" s="419"/>
      <c r="R4319" s="219"/>
      <c r="S4319" s="203"/>
      <c r="T4319" s="203"/>
      <c r="U4319" s="203"/>
      <c r="V4319" s="203"/>
      <c r="W4319" s="203"/>
      <c r="X4319" s="203"/>
      <c r="Y4319" s="203"/>
    </row>
    <row r="4320" spans="1:25" ht="30" customHeight="1" x14ac:dyDescent="0.35">
      <c r="A4320" s="241" t="s">
        <v>442</v>
      </c>
      <c r="B4320" s="458" t="s">
        <v>1869</v>
      </c>
      <c r="C4320" s="570"/>
      <c r="D4320" s="571"/>
      <c r="E4320" s="38">
        <v>89</v>
      </c>
      <c r="F4320" s="309" t="s">
        <v>1870</v>
      </c>
      <c r="G4320" s="496">
        <v>35</v>
      </c>
      <c r="H4320" s="70" t="s">
        <v>1871</v>
      </c>
      <c r="I4320" s="446">
        <v>1.02</v>
      </c>
      <c r="J4320" s="446"/>
      <c r="K4320" s="41">
        <f>+E4320/G4320*I4320</f>
        <v>2.5937142857142854</v>
      </c>
      <c r="L4320" s="676" t="s">
        <v>3</v>
      </c>
      <c r="N4320" s="68"/>
      <c r="O4320" s="171"/>
      <c r="P4320" s="216"/>
      <c r="Q4320" s="419"/>
      <c r="R4320" s="219"/>
    </row>
    <row r="4321" spans="1:25" ht="30" customHeight="1" x14ac:dyDescent="0.35">
      <c r="A4321" s="241" t="s">
        <v>442</v>
      </c>
      <c r="B4321" s="1031" t="s">
        <v>1872</v>
      </c>
      <c r="C4321" s="1032"/>
      <c r="D4321" s="1033"/>
      <c r="E4321" s="40">
        <v>180</v>
      </c>
      <c r="F4321" s="309" t="s">
        <v>1870</v>
      </c>
      <c r="G4321" s="496">
        <v>35</v>
      </c>
      <c r="H4321" s="70" t="s">
        <v>1871</v>
      </c>
      <c r="I4321" s="446">
        <v>1.02</v>
      </c>
      <c r="J4321" s="446"/>
      <c r="K4321" s="41">
        <f>+E4321/G4321*I4321</f>
        <v>5.2457142857142864</v>
      </c>
      <c r="L4321" s="676" t="s">
        <v>3</v>
      </c>
      <c r="N4321" s="68"/>
      <c r="O4321" s="203"/>
      <c r="P4321" s="218"/>
      <c r="Q4321" s="68"/>
      <c r="R4321" s="217"/>
    </row>
    <row r="4322" spans="1:25" ht="30" customHeight="1" x14ac:dyDescent="0.35">
      <c r="A4322" s="241" t="s">
        <v>442</v>
      </c>
      <c r="B4322" s="458" t="s">
        <v>1873</v>
      </c>
      <c r="C4322" s="635"/>
      <c r="D4322" s="636"/>
      <c r="E4322" s="40">
        <v>780</v>
      </c>
      <c r="F4322" s="309" t="s">
        <v>1870</v>
      </c>
      <c r="G4322" s="496">
        <v>35</v>
      </c>
      <c r="H4322" s="70" t="s">
        <v>1871</v>
      </c>
      <c r="I4322" s="446">
        <v>1.02</v>
      </c>
      <c r="J4322" s="446"/>
      <c r="K4322" s="41">
        <f>+E4322/G4322*I4322</f>
        <v>22.73142857142857</v>
      </c>
      <c r="L4322" s="676" t="s">
        <v>3</v>
      </c>
      <c r="N4322" s="68"/>
      <c r="O4322" s="203"/>
      <c r="P4322" s="218"/>
      <c r="Q4322" s="68"/>
      <c r="R4322" s="217"/>
    </row>
    <row r="4323" spans="1:25" ht="30" customHeight="1" x14ac:dyDescent="0.35">
      <c r="A4323" s="241" t="s">
        <v>442</v>
      </c>
      <c r="B4323" s="458" t="s">
        <v>1874</v>
      </c>
      <c r="C4323" s="635"/>
      <c r="D4323" s="636"/>
      <c r="E4323" s="40">
        <v>21.45</v>
      </c>
      <c r="F4323" s="309" t="s">
        <v>1870</v>
      </c>
      <c r="G4323" s="496">
        <v>35</v>
      </c>
      <c r="H4323" s="70" t="s">
        <v>1871</v>
      </c>
      <c r="I4323" s="446">
        <v>1.02</v>
      </c>
      <c r="J4323" s="446"/>
      <c r="K4323" s="41">
        <f>+E4323/G4323*I4323</f>
        <v>0.62511428571428573</v>
      </c>
      <c r="L4323" s="676" t="s">
        <v>3</v>
      </c>
      <c r="N4323" s="68"/>
      <c r="O4323" s="203"/>
      <c r="P4323" s="218"/>
      <c r="Q4323" s="68"/>
      <c r="R4323" s="217"/>
    </row>
    <row r="4324" spans="1:25" ht="30" customHeight="1" x14ac:dyDescent="0.35">
      <c r="A4324" s="241" t="s">
        <v>442</v>
      </c>
      <c r="B4324" s="458" t="s">
        <v>1875</v>
      </c>
      <c r="C4324" s="635"/>
      <c r="D4324" s="636"/>
      <c r="E4324" s="40">
        <v>196</v>
      </c>
      <c r="F4324" s="309" t="s">
        <v>1870</v>
      </c>
      <c r="G4324" s="496">
        <v>35</v>
      </c>
      <c r="H4324" s="70" t="s">
        <v>1871</v>
      </c>
      <c r="I4324" s="446">
        <v>1.02</v>
      </c>
      <c r="J4324" s="446"/>
      <c r="K4324" s="41">
        <f>+E4324/G4324*I4324</f>
        <v>5.7119999999999997</v>
      </c>
      <c r="L4324" s="676" t="s">
        <v>3</v>
      </c>
      <c r="N4324" s="68"/>
      <c r="O4324" s="203"/>
      <c r="P4324" s="218"/>
      <c r="Q4324" s="68"/>
      <c r="R4324" s="217"/>
    </row>
    <row r="4325" spans="1:25" ht="45" customHeight="1" x14ac:dyDescent="0.35">
      <c r="A4325" s="603"/>
      <c r="B4325" s="1102" t="s">
        <v>1876</v>
      </c>
      <c r="C4325" s="1102"/>
      <c r="D4325" s="1102"/>
      <c r="E4325" s="453"/>
      <c r="F4325" s="446"/>
      <c r="G4325" s="446"/>
      <c r="H4325" s="446"/>
      <c r="I4325" s="446"/>
      <c r="J4325" s="446" t="s">
        <v>335</v>
      </c>
      <c r="K4325" s="679">
        <f>SUM(K4320:K4324)</f>
        <v>36.907971428571429</v>
      </c>
      <c r="L4325" s="243" t="s">
        <v>3</v>
      </c>
      <c r="M4325" s="173"/>
      <c r="N4325" s="68"/>
      <c r="O4325" s="203"/>
      <c r="P4325" s="218"/>
      <c r="Q4325" s="68"/>
      <c r="R4325" s="217"/>
    </row>
    <row r="4326" spans="1:25" ht="30" customHeight="1" x14ac:dyDescent="0.35">
      <c r="A4326" s="241"/>
      <c r="B4326" s="506"/>
      <c r="C4326" s="506"/>
      <c r="D4326" s="506"/>
      <c r="E4326" s="453"/>
      <c r="F4326" s="1029" t="s">
        <v>302</v>
      </c>
      <c r="G4326" s="1058" t="s">
        <v>303</v>
      </c>
      <c r="H4326" s="1058"/>
      <c r="I4326" s="1058"/>
      <c r="J4326" s="1058"/>
      <c r="K4326" s="612">
        <v>1.07</v>
      </c>
      <c r="L4326" s="243"/>
      <c r="N4326" s="68"/>
      <c r="O4326" s="203"/>
      <c r="P4326" s="218"/>
      <c r="Q4326" s="68"/>
      <c r="R4326" s="217"/>
    </row>
    <row r="4327" spans="1:25" ht="30" customHeight="1" x14ac:dyDescent="0.35">
      <c r="A4327" s="241"/>
      <c r="B4327" s="506"/>
      <c r="C4327" s="506"/>
      <c r="D4327" s="506"/>
      <c r="E4327" s="453"/>
      <c r="F4327" s="1030"/>
      <c r="G4327" s="1073" t="s">
        <v>2374</v>
      </c>
      <c r="H4327" s="1073"/>
      <c r="I4327" s="1073"/>
      <c r="J4327" s="1073"/>
      <c r="K4327" s="612">
        <v>1.08</v>
      </c>
      <c r="L4327" s="243"/>
      <c r="M4327" s="51"/>
      <c r="N4327" s="68"/>
      <c r="O4327" s="203"/>
      <c r="P4327" s="218"/>
      <c r="Q4327" s="68"/>
      <c r="R4327" s="217"/>
    </row>
    <row r="4328" spans="1:25" ht="30" customHeight="1" x14ac:dyDescent="0.35">
      <c r="A4328" s="603"/>
      <c r="B4328" s="446"/>
      <c r="C4328" s="458"/>
      <c r="D4328" s="458"/>
      <c r="E4328" s="458"/>
      <c r="F4328" s="458"/>
      <c r="G4328" s="458"/>
      <c r="H4328" s="458"/>
      <c r="I4328" s="458"/>
      <c r="J4328" s="446" t="s">
        <v>2356</v>
      </c>
      <c r="K4328" s="591">
        <f>+K4325*K4326/K4327</f>
        <v>36.566230952380955</v>
      </c>
      <c r="L4328" s="243" t="s">
        <v>3</v>
      </c>
      <c r="M4328" s="51"/>
      <c r="N4328" s="419"/>
      <c r="O4328" s="203"/>
      <c r="P4328" s="218"/>
      <c r="Q4328" s="68"/>
      <c r="R4328" s="217"/>
    </row>
    <row r="4329" spans="1:25" ht="30" customHeight="1" x14ac:dyDescent="0.35">
      <c r="A4329" s="603"/>
      <c r="B4329" s="446"/>
      <c r="C4329" s="458"/>
      <c r="D4329" s="458"/>
      <c r="E4329" s="458"/>
      <c r="F4329" s="458"/>
      <c r="G4329" s="613" t="s">
        <v>2359</v>
      </c>
      <c r="H4329" s="458"/>
      <c r="I4329" s="458"/>
      <c r="J4329" s="583">
        <f>VLOOKUP(B4318,'Mil Cost Premiums for PUCs'!$A$4:$R$272,18,FALSE)</f>
        <v>1.1199953840399997</v>
      </c>
      <c r="K4329" s="591">
        <f>+K4328*J4329</f>
        <v>40.954009878407227</v>
      </c>
      <c r="L4329" s="243" t="s">
        <v>3</v>
      </c>
      <c r="N4329" s="68"/>
      <c r="O4329" s="203"/>
      <c r="P4329" s="218"/>
      <c r="Q4329" s="68"/>
      <c r="R4329" s="217"/>
    </row>
    <row r="4330" spans="1:25" ht="60" customHeight="1" x14ac:dyDescent="0.35">
      <c r="A4330" s="1064" t="s">
        <v>305</v>
      </c>
      <c r="B4330" s="1065"/>
      <c r="C4330" s="1065"/>
      <c r="D4330" s="1065"/>
      <c r="E4330" s="1065"/>
      <c r="F4330" s="1065"/>
      <c r="G4330" s="1065"/>
      <c r="H4330" s="1065"/>
      <c r="I4330" s="1065"/>
      <c r="J4330" s="1065"/>
      <c r="K4330" s="1065"/>
      <c r="L4330" s="1066"/>
      <c r="N4330" s="68"/>
      <c r="O4330" s="203"/>
      <c r="P4330" s="218"/>
      <c r="Q4330" s="68"/>
      <c r="R4330" s="217"/>
    </row>
    <row r="4331" spans="1:25" ht="30" customHeight="1" x14ac:dyDescent="0.35">
      <c r="A4331" s="1077" t="s">
        <v>306</v>
      </c>
      <c r="B4331" s="1042"/>
      <c r="C4331" s="1043"/>
      <c r="D4331" s="1067" t="s">
        <v>1877</v>
      </c>
      <c r="E4331" s="1065"/>
      <c r="F4331" s="1065"/>
      <c r="G4331" s="1065"/>
      <c r="H4331" s="1065"/>
      <c r="I4331" s="1065"/>
      <c r="J4331" s="1065"/>
      <c r="K4331" s="1065"/>
      <c r="L4331" s="1066"/>
      <c r="N4331" s="68"/>
      <c r="O4331" s="203"/>
      <c r="P4331" s="218"/>
      <c r="Q4331" s="68"/>
      <c r="R4331" s="217"/>
    </row>
    <row r="4332" spans="1:25" ht="30" customHeight="1" x14ac:dyDescent="0.35">
      <c r="A4332" s="1077" t="s">
        <v>307</v>
      </c>
      <c r="B4332" s="1042"/>
      <c r="C4332" s="1043"/>
      <c r="D4332" s="1067" t="s">
        <v>1878</v>
      </c>
      <c r="E4332" s="1065"/>
      <c r="F4332" s="1065"/>
      <c r="G4332" s="1065"/>
      <c r="H4332" s="1065"/>
      <c r="I4332" s="1065"/>
      <c r="J4332" s="1065"/>
      <c r="K4332" s="1065"/>
      <c r="L4332" s="1066"/>
      <c r="N4332" s="68"/>
      <c r="O4332" s="203"/>
      <c r="P4332" s="218"/>
      <c r="Q4332" s="68"/>
      <c r="R4332" s="217"/>
      <c r="T4332" s="208"/>
      <c r="U4332" s="208"/>
      <c r="V4332" s="208"/>
      <c r="W4332" s="208"/>
      <c r="X4332" s="208"/>
    </row>
    <row r="4333" spans="1:25" ht="30" customHeight="1" x14ac:dyDescent="0.35">
      <c r="A4333" s="1077" t="s">
        <v>308</v>
      </c>
      <c r="B4333" s="1042"/>
      <c r="C4333" s="1043"/>
      <c r="D4333" s="1067" t="s">
        <v>3181</v>
      </c>
      <c r="E4333" s="1065"/>
      <c r="F4333" s="1065"/>
      <c r="G4333" s="1065"/>
      <c r="H4333" s="1065"/>
      <c r="I4333" s="1065"/>
      <c r="J4333" s="1065"/>
      <c r="K4333" s="1065"/>
      <c r="L4333" s="1066"/>
      <c r="N4333" s="68"/>
      <c r="O4333" s="203"/>
      <c r="P4333" s="218"/>
      <c r="Q4333" s="68"/>
      <c r="R4333" s="217"/>
      <c r="Y4333" s="208"/>
    </row>
    <row r="4334" spans="1:25" ht="30" customHeight="1" x14ac:dyDescent="0.35">
      <c r="A4334" s="1077" t="s">
        <v>309</v>
      </c>
      <c r="B4334" s="1042"/>
      <c r="C4334" s="1043"/>
      <c r="D4334" s="1067" t="s">
        <v>1879</v>
      </c>
      <c r="E4334" s="1065"/>
      <c r="F4334" s="1065"/>
      <c r="G4334" s="1065"/>
      <c r="H4334" s="1065"/>
      <c r="I4334" s="1065"/>
      <c r="J4334" s="1065"/>
      <c r="K4334" s="1065"/>
      <c r="L4334" s="1066"/>
      <c r="N4334" s="68"/>
      <c r="O4334" s="208"/>
      <c r="P4334" s="218"/>
      <c r="Q4334" s="68"/>
      <c r="R4334" s="217"/>
      <c r="S4334" s="208"/>
    </row>
    <row r="4335" spans="1:25" ht="30" customHeight="1" x14ac:dyDescent="0.35">
      <c r="A4335" s="1077" t="s">
        <v>311</v>
      </c>
      <c r="B4335" s="1042"/>
      <c r="C4335" s="1043"/>
      <c r="D4335" s="1067" t="s">
        <v>1865</v>
      </c>
      <c r="E4335" s="1065"/>
      <c r="F4335" s="1065"/>
      <c r="G4335" s="1065"/>
      <c r="H4335" s="1065"/>
      <c r="I4335" s="1065"/>
      <c r="J4335" s="1065"/>
      <c r="K4335" s="1065"/>
      <c r="L4335" s="1066"/>
      <c r="N4335" s="68"/>
      <c r="O4335" s="203"/>
      <c r="P4335" s="218"/>
      <c r="Q4335" s="68"/>
      <c r="R4335" s="217"/>
    </row>
    <row r="4336" spans="1:25" s="208" customFormat="1" ht="30" customHeight="1" x14ac:dyDescent="0.35">
      <c r="A4336" s="1077" t="s">
        <v>313</v>
      </c>
      <c r="B4336" s="1042"/>
      <c r="C4336" s="1043"/>
      <c r="D4336" s="1067" t="s">
        <v>1682</v>
      </c>
      <c r="E4336" s="1065"/>
      <c r="F4336" s="1065"/>
      <c r="G4336" s="1065"/>
      <c r="H4336" s="1065"/>
      <c r="I4336" s="1065"/>
      <c r="J4336" s="1065"/>
      <c r="K4336" s="1065"/>
      <c r="L4336" s="1066"/>
      <c r="M4336" s="57"/>
      <c r="N4336" s="68"/>
      <c r="O4336" s="203"/>
      <c r="P4336" s="218"/>
      <c r="Q4336" s="68"/>
      <c r="R4336" s="217"/>
      <c r="S4336" s="203"/>
      <c r="T4336" s="203"/>
      <c r="U4336" s="203"/>
      <c r="V4336" s="203"/>
      <c r="W4336" s="203"/>
      <c r="X4336" s="203"/>
      <c r="Y4336" s="203"/>
    </row>
    <row r="4337" spans="1:24" ht="30" customHeight="1" x14ac:dyDescent="0.35">
      <c r="A4337" s="1077" t="s">
        <v>315</v>
      </c>
      <c r="B4337" s="1042"/>
      <c r="C4337" s="1043"/>
      <c r="D4337" s="1067" t="s">
        <v>1880</v>
      </c>
      <c r="E4337" s="1065"/>
      <c r="F4337" s="1065"/>
      <c r="G4337" s="1065"/>
      <c r="H4337" s="1065"/>
      <c r="I4337" s="1065"/>
      <c r="J4337" s="1065"/>
      <c r="K4337" s="1065"/>
      <c r="L4337" s="1066"/>
      <c r="N4337" s="68"/>
      <c r="O4337" s="203"/>
      <c r="P4337" s="218"/>
      <c r="Q4337" s="68"/>
      <c r="R4337" s="217"/>
    </row>
    <row r="4338" spans="1:24" ht="30" customHeight="1" x14ac:dyDescent="0.35">
      <c r="A4338" s="1077" t="s">
        <v>316</v>
      </c>
      <c r="B4338" s="1042"/>
      <c r="C4338" s="1043"/>
      <c r="D4338" s="1067" t="s">
        <v>317</v>
      </c>
      <c r="E4338" s="1065"/>
      <c r="F4338" s="1065"/>
      <c r="G4338" s="1065"/>
      <c r="H4338" s="1065"/>
      <c r="I4338" s="1065"/>
      <c r="J4338" s="1065"/>
      <c r="K4338" s="1065"/>
      <c r="L4338" s="1066"/>
      <c r="N4338" s="68"/>
      <c r="O4338" s="203"/>
      <c r="P4338" s="218"/>
      <c r="Q4338" s="68"/>
      <c r="R4338" s="217"/>
    </row>
    <row r="4339" spans="1:24" ht="60" customHeight="1" thickBot="1" x14ac:dyDescent="0.4">
      <c r="A4339" s="1078" t="s">
        <v>318</v>
      </c>
      <c r="B4339" s="1079"/>
      <c r="C4339" s="1080"/>
      <c r="D4339" s="1068" t="s">
        <v>2281</v>
      </c>
      <c r="E4339" s="1069"/>
      <c r="F4339" s="1069"/>
      <c r="G4339" s="1069"/>
      <c r="H4339" s="1069"/>
      <c r="I4339" s="1069"/>
      <c r="J4339" s="1069"/>
      <c r="K4339" s="1069"/>
      <c r="L4339" s="1070"/>
      <c r="N4339" s="68"/>
      <c r="O4339" s="203"/>
      <c r="P4339" s="218"/>
      <c r="Q4339" s="68"/>
      <c r="R4339" s="217"/>
    </row>
    <row r="4340" spans="1:24" ht="30" customHeight="1" thickBot="1" x14ac:dyDescent="0.4">
      <c r="A4340" s="489"/>
      <c r="B4340" s="490"/>
      <c r="C4340" s="490"/>
      <c r="D4340" s="490"/>
      <c r="E4340" s="490"/>
      <c r="F4340" s="490"/>
      <c r="G4340" s="490"/>
      <c r="H4340" s="490"/>
      <c r="I4340" s="490"/>
      <c r="J4340" s="490"/>
      <c r="K4340" s="490"/>
      <c r="L4340" s="491"/>
      <c r="N4340" s="68"/>
      <c r="O4340" s="171"/>
      <c r="P4340" s="216"/>
      <c r="Q4340" s="419"/>
      <c r="R4340" s="219"/>
    </row>
    <row r="4341" spans="1:24" ht="30" customHeight="1" x14ac:dyDescent="0.35">
      <c r="A4341" s="465" t="s">
        <v>278</v>
      </c>
      <c r="B4341" s="539">
        <v>8522</v>
      </c>
      <c r="C4341" s="1060" t="s">
        <v>1881</v>
      </c>
      <c r="D4341" s="1061"/>
      <c r="E4341" s="541" t="s">
        <v>280</v>
      </c>
      <c r="F4341" s="542" t="s">
        <v>3</v>
      </c>
      <c r="G4341" s="560" t="s">
        <v>1478</v>
      </c>
      <c r="H4341" s="875">
        <v>8634</v>
      </c>
      <c r="I4341" s="541" t="s">
        <v>281</v>
      </c>
      <c r="J4341" s="1019" t="s">
        <v>2371</v>
      </c>
      <c r="K4341" s="1019"/>
      <c r="L4341" s="1020"/>
      <c r="N4341" s="68"/>
      <c r="O4341" s="171"/>
      <c r="P4341" s="216"/>
      <c r="Q4341" s="419"/>
      <c r="R4341" s="219"/>
    </row>
    <row r="4342" spans="1:24" ht="30" customHeight="1" x14ac:dyDescent="0.35">
      <c r="A4342" s="588" t="s">
        <v>298</v>
      </c>
      <c r="B4342" s="1038" t="s">
        <v>321</v>
      </c>
      <c r="C4342" s="1039"/>
      <c r="D4342" s="1040"/>
      <c r="E4342" s="23" t="s">
        <v>290</v>
      </c>
      <c r="F4342" s="23" t="s">
        <v>322</v>
      </c>
      <c r="G4342" s="1034" t="s">
        <v>323</v>
      </c>
      <c r="H4342" s="1035"/>
      <c r="I4342" s="509" t="s">
        <v>299</v>
      </c>
      <c r="J4342" s="509"/>
      <c r="K4342" s="1012" t="s">
        <v>292</v>
      </c>
      <c r="L4342" s="1013"/>
      <c r="N4342" s="68"/>
      <c r="O4342" s="203"/>
      <c r="P4342" s="218"/>
      <c r="Q4342" s="68"/>
      <c r="R4342" s="217"/>
    </row>
    <row r="4343" spans="1:24" ht="30" customHeight="1" x14ac:dyDescent="0.35">
      <c r="A4343" s="241" t="s">
        <v>442</v>
      </c>
      <c r="B4343" s="458" t="s">
        <v>1869</v>
      </c>
      <c r="C4343" s="570"/>
      <c r="D4343" s="571"/>
      <c r="E4343" s="38">
        <v>89</v>
      </c>
      <c r="F4343" s="309" t="s">
        <v>1870</v>
      </c>
      <c r="G4343" s="496">
        <v>35</v>
      </c>
      <c r="H4343" s="70" t="s">
        <v>1871</v>
      </c>
      <c r="I4343" s="446">
        <v>1.02</v>
      </c>
      <c r="J4343" s="446"/>
      <c r="K4343" s="41">
        <f>+E4343/G4343*I4343</f>
        <v>2.5937142857142854</v>
      </c>
      <c r="L4343" s="676" t="s">
        <v>3</v>
      </c>
      <c r="M4343" s="173"/>
      <c r="N4343" s="68"/>
      <c r="O4343" s="203"/>
      <c r="P4343" s="218"/>
      <c r="Q4343" s="68"/>
      <c r="R4343" s="217"/>
    </row>
    <row r="4344" spans="1:24" ht="30" customHeight="1" x14ac:dyDescent="0.35">
      <c r="A4344" s="241" t="s">
        <v>442</v>
      </c>
      <c r="B4344" s="1031" t="s">
        <v>1872</v>
      </c>
      <c r="C4344" s="1032"/>
      <c r="D4344" s="1033"/>
      <c r="E4344" s="40">
        <v>180</v>
      </c>
      <c r="F4344" s="309" t="s">
        <v>1870</v>
      </c>
      <c r="G4344" s="496">
        <v>35</v>
      </c>
      <c r="H4344" s="70" t="s">
        <v>1871</v>
      </c>
      <c r="I4344" s="446">
        <v>1.02</v>
      </c>
      <c r="J4344" s="446"/>
      <c r="K4344" s="41">
        <f>+E4344/G4344*I4344</f>
        <v>5.2457142857142864</v>
      </c>
      <c r="L4344" s="676" t="s">
        <v>3</v>
      </c>
      <c r="N4344" s="68"/>
      <c r="O4344" s="203"/>
      <c r="P4344" s="218"/>
      <c r="Q4344" s="68"/>
      <c r="R4344" s="217"/>
    </row>
    <row r="4345" spans="1:24" ht="30" customHeight="1" x14ac:dyDescent="0.35">
      <c r="A4345" s="241" t="s">
        <v>442</v>
      </c>
      <c r="B4345" s="458" t="s">
        <v>1875</v>
      </c>
      <c r="C4345" s="635"/>
      <c r="D4345" s="636"/>
      <c r="E4345" s="40">
        <v>196</v>
      </c>
      <c r="F4345" s="309" t="s">
        <v>1870</v>
      </c>
      <c r="G4345" s="496">
        <v>35</v>
      </c>
      <c r="H4345" s="70" t="s">
        <v>1871</v>
      </c>
      <c r="I4345" s="446">
        <v>1.02</v>
      </c>
      <c r="J4345" s="446"/>
      <c r="K4345" s="41">
        <f>+E4345/G4345*I4345</f>
        <v>5.7119999999999997</v>
      </c>
      <c r="L4345" s="676" t="s">
        <v>3</v>
      </c>
      <c r="M4345" s="51"/>
      <c r="N4345" s="68"/>
      <c r="O4345" s="203"/>
      <c r="P4345" s="218"/>
      <c r="Q4345" s="68"/>
      <c r="R4345" s="217"/>
    </row>
    <row r="4346" spans="1:24" ht="30" customHeight="1" x14ac:dyDescent="0.35">
      <c r="A4346" s="603"/>
      <c r="B4346" s="1102" t="s">
        <v>1876</v>
      </c>
      <c r="C4346" s="1102"/>
      <c r="D4346" s="1102"/>
      <c r="E4346" s="453"/>
      <c r="F4346" s="446"/>
      <c r="G4346" s="446"/>
      <c r="H4346" s="446"/>
      <c r="I4346" s="446"/>
      <c r="J4346" s="446" t="s">
        <v>335</v>
      </c>
      <c r="K4346" s="679">
        <f>SUM(K4343:K4345)</f>
        <v>13.551428571428572</v>
      </c>
      <c r="L4346" s="243" t="s">
        <v>3</v>
      </c>
      <c r="M4346" s="51"/>
      <c r="N4346" s="68"/>
      <c r="O4346" s="203"/>
      <c r="P4346" s="218"/>
      <c r="Q4346" s="68"/>
      <c r="R4346" s="217"/>
    </row>
    <row r="4347" spans="1:24" ht="30" customHeight="1" x14ac:dyDescent="0.35">
      <c r="A4347" s="241"/>
      <c r="B4347" s="506"/>
      <c r="C4347" s="506"/>
      <c r="D4347" s="506"/>
      <c r="E4347" s="453"/>
      <c r="F4347" s="1029" t="s">
        <v>302</v>
      </c>
      <c r="G4347" s="1058" t="s">
        <v>303</v>
      </c>
      <c r="H4347" s="1058"/>
      <c r="I4347" s="1058"/>
      <c r="J4347" s="1058"/>
      <c r="K4347" s="612">
        <v>1.07</v>
      </c>
      <c r="L4347" s="243"/>
      <c r="N4347" s="68"/>
      <c r="O4347" s="203"/>
      <c r="P4347" s="218"/>
      <c r="Q4347" s="68"/>
      <c r="R4347" s="217"/>
    </row>
    <row r="4348" spans="1:24" ht="30" customHeight="1" x14ac:dyDescent="0.35">
      <c r="A4348" s="241"/>
      <c r="B4348" s="506"/>
      <c r="C4348" s="506"/>
      <c r="D4348" s="506"/>
      <c r="E4348" s="453"/>
      <c r="F4348" s="1030"/>
      <c r="G4348" s="1073" t="s">
        <v>2374</v>
      </c>
      <c r="H4348" s="1073"/>
      <c r="I4348" s="1073"/>
      <c r="J4348" s="1073"/>
      <c r="K4348" s="612">
        <v>1.08</v>
      </c>
      <c r="L4348" s="243"/>
      <c r="N4348" s="68"/>
      <c r="O4348" s="203"/>
      <c r="P4348" s="218"/>
      <c r="Q4348" s="68"/>
      <c r="R4348" s="217"/>
    </row>
    <row r="4349" spans="1:24" ht="30" customHeight="1" x14ac:dyDescent="0.35">
      <c r="A4349" s="603"/>
      <c r="B4349" s="446"/>
      <c r="C4349" s="458"/>
      <c r="D4349" s="458"/>
      <c r="E4349" s="458"/>
      <c r="F4349" s="458"/>
      <c r="G4349" s="458"/>
      <c r="H4349" s="458"/>
      <c r="I4349" s="458"/>
      <c r="J4349" s="446" t="s">
        <v>2356</v>
      </c>
      <c r="K4349" s="591">
        <f>+K4346*K4347/K4348</f>
        <v>13.425952380952381</v>
      </c>
      <c r="L4349" s="243" t="s">
        <v>3</v>
      </c>
      <c r="N4349" s="419"/>
      <c r="O4349" s="203"/>
      <c r="P4349" s="218"/>
      <c r="Q4349" s="68"/>
      <c r="R4349" s="217"/>
    </row>
    <row r="4350" spans="1:24" ht="30" customHeight="1" thickBot="1" x14ac:dyDescent="0.4">
      <c r="A4350" s="241"/>
      <c r="B4350" s="446"/>
      <c r="C4350" s="458"/>
      <c r="D4350" s="458"/>
      <c r="E4350" s="458"/>
      <c r="F4350" s="458"/>
      <c r="G4350" s="592" t="s">
        <v>2358</v>
      </c>
      <c r="H4350" s="458"/>
      <c r="I4350" s="458"/>
      <c r="J4350" s="583">
        <f>VLOOKUP(B4341,'Mil Cost Premiums for PUCs'!$A$4:$R$272,18,FALSE)</f>
        <v>1.0209999999999999</v>
      </c>
      <c r="K4350" s="591">
        <f>+K4349*J4350</f>
        <v>13.70789738095238</v>
      </c>
      <c r="L4350" s="243" t="s">
        <v>3</v>
      </c>
      <c r="N4350" s="419"/>
      <c r="O4350" s="203"/>
      <c r="P4350" s="218"/>
      <c r="Q4350" s="68"/>
      <c r="R4350" s="217"/>
      <c r="T4350" s="51"/>
      <c r="U4350" s="171"/>
    </row>
    <row r="4351" spans="1:24" ht="30" customHeight="1" thickBot="1" x14ac:dyDescent="0.4">
      <c r="A4351" s="489"/>
      <c r="B4351" s="490"/>
      <c r="C4351" s="490"/>
      <c r="D4351" s="490"/>
      <c r="E4351" s="490"/>
      <c r="F4351" s="490"/>
      <c r="G4351" s="490"/>
      <c r="H4351" s="490"/>
      <c r="I4351" s="490"/>
      <c r="J4351" s="490"/>
      <c r="K4351" s="490"/>
      <c r="L4351" s="491"/>
      <c r="N4351" s="68"/>
      <c r="O4351" s="203"/>
      <c r="P4351" s="218"/>
      <c r="Q4351" s="68"/>
      <c r="R4351" s="217"/>
      <c r="T4351" s="51"/>
      <c r="U4351" s="171"/>
    </row>
    <row r="4352" spans="1:24" ht="30" customHeight="1" x14ac:dyDescent="0.35">
      <c r="A4352" s="465" t="s">
        <v>278</v>
      </c>
      <c r="B4352" s="539">
        <v>8523</v>
      </c>
      <c r="C4352" s="1096" t="s">
        <v>1882</v>
      </c>
      <c r="D4352" s="1097"/>
      <c r="E4352" s="541" t="s">
        <v>280</v>
      </c>
      <c r="F4352" s="542" t="s">
        <v>3</v>
      </c>
      <c r="G4352" s="543" t="s">
        <v>285</v>
      </c>
      <c r="H4352" s="875">
        <v>9159</v>
      </c>
      <c r="I4352" s="541" t="s">
        <v>281</v>
      </c>
      <c r="J4352" s="1019" t="s">
        <v>2371</v>
      </c>
      <c r="K4352" s="1019"/>
      <c r="L4352" s="1020"/>
      <c r="N4352" s="68"/>
      <c r="P4352" s="171"/>
      <c r="Q4352" s="171"/>
      <c r="R4352" s="171"/>
      <c r="S4352" s="51"/>
      <c r="T4352" s="27"/>
      <c r="U4352" s="27"/>
      <c r="V4352" s="27"/>
      <c r="W4352" s="27"/>
      <c r="X4352" s="27"/>
    </row>
    <row r="4353" spans="1:25" ht="30" customHeight="1" x14ac:dyDescent="0.35">
      <c r="A4353" s="545" t="s">
        <v>298</v>
      </c>
      <c r="B4353" s="1117" t="s">
        <v>321</v>
      </c>
      <c r="C4353" s="1317"/>
      <c r="D4353" s="1318"/>
      <c r="E4353" s="420" t="s">
        <v>290</v>
      </c>
      <c r="F4353" s="420" t="s">
        <v>322</v>
      </c>
      <c r="G4353" s="1352" t="s">
        <v>323</v>
      </c>
      <c r="H4353" s="1353"/>
      <c r="I4353" s="509" t="s">
        <v>299</v>
      </c>
      <c r="J4353" s="509"/>
      <c r="K4353" s="1012" t="s">
        <v>292</v>
      </c>
      <c r="L4353" s="1013"/>
      <c r="N4353" s="421"/>
      <c r="P4353" s="171"/>
      <c r="Q4353" s="171"/>
      <c r="R4353" s="171"/>
      <c r="S4353" s="51"/>
      <c r="T4353" s="208"/>
      <c r="U4353" s="208"/>
      <c r="V4353" s="208"/>
      <c r="W4353" s="208"/>
      <c r="X4353" s="208"/>
      <c r="Y4353" s="27"/>
    </row>
    <row r="4354" spans="1:25" ht="30" customHeight="1" x14ac:dyDescent="0.35">
      <c r="A4354" s="241" t="s">
        <v>442</v>
      </c>
      <c r="B4354" s="1031" t="s">
        <v>1869</v>
      </c>
      <c r="C4354" s="1032"/>
      <c r="D4354" s="1033"/>
      <c r="E4354" s="38">
        <v>89</v>
      </c>
      <c r="F4354" s="309" t="s">
        <v>1870</v>
      </c>
      <c r="G4354" s="496">
        <v>35</v>
      </c>
      <c r="H4354" s="70" t="s">
        <v>1871</v>
      </c>
      <c r="I4354" s="446">
        <v>1.02</v>
      </c>
      <c r="J4354" s="446"/>
      <c r="K4354" s="41">
        <f>+E4354/G4354*I4354</f>
        <v>2.5937142857142854</v>
      </c>
      <c r="L4354" s="676" t="s">
        <v>3</v>
      </c>
      <c r="N4354" s="68"/>
      <c r="O4354" s="207"/>
      <c r="P4354" s="27"/>
      <c r="Q4354" s="27"/>
      <c r="R4354" s="27"/>
      <c r="S4354" s="27"/>
      <c r="Y4354" s="208"/>
    </row>
    <row r="4355" spans="1:25" ht="30" customHeight="1" x14ac:dyDescent="0.35">
      <c r="A4355" s="241" t="s">
        <v>442</v>
      </c>
      <c r="B4355" s="1031" t="s">
        <v>1872</v>
      </c>
      <c r="C4355" s="1032"/>
      <c r="D4355" s="1033"/>
      <c r="E4355" s="40">
        <v>180</v>
      </c>
      <c r="F4355" s="309" t="s">
        <v>1870</v>
      </c>
      <c r="G4355" s="496">
        <v>35</v>
      </c>
      <c r="H4355" s="70" t="s">
        <v>1871</v>
      </c>
      <c r="I4355" s="446">
        <v>1.02</v>
      </c>
      <c r="J4355" s="446"/>
      <c r="K4355" s="41">
        <f>+E4355/G4355*I4355</f>
        <v>5.2457142857142864</v>
      </c>
      <c r="L4355" s="676" t="s">
        <v>3</v>
      </c>
      <c r="N4355" s="68"/>
      <c r="P4355" s="208"/>
      <c r="Q4355" s="208"/>
      <c r="R4355" s="208"/>
      <c r="S4355" s="208"/>
    </row>
    <row r="4356" spans="1:25" s="27" customFormat="1" ht="30" customHeight="1" x14ac:dyDescent="0.35">
      <c r="A4356" s="241" t="s">
        <v>442</v>
      </c>
      <c r="B4356" s="1031" t="s">
        <v>1873</v>
      </c>
      <c r="C4356" s="1032"/>
      <c r="D4356" s="1033"/>
      <c r="E4356" s="40">
        <v>780</v>
      </c>
      <c r="F4356" s="309" t="s">
        <v>1870</v>
      </c>
      <c r="G4356" s="496">
        <v>35</v>
      </c>
      <c r="H4356" s="70" t="s">
        <v>1871</v>
      </c>
      <c r="I4356" s="446">
        <v>1.02</v>
      </c>
      <c r="J4356" s="446"/>
      <c r="K4356" s="41">
        <f>+E4356/G4356*I4356</f>
        <v>22.73142857142857</v>
      </c>
      <c r="L4356" s="676" t="s">
        <v>3</v>
      </c>
      <c r="M4356" s="57"/>
      <c r="N4356" s="68"/>
      <c r="O4356" s="205"/>
      <c r="P4356" s="203"/>
      <c r="Q4356" s="203"/>
      <c r="R4356" s="203"/>
      <c r="S4356" s="203"/>
      <c r="T4356" s="203"/>
      <c r="U4356" s="203"/>
      <c r="V4356" s="203"/>
      <c r="W4356" s="203"/>
      <c r="X4356" s="203"/>
      <c r="Y4356" s="203"/>
    </row>
    <row r="4357" spans="1:25" s="208" customFormat="1" ht="30" customHeight="1" x14ac:dyDescent="0.35">
      <c r="A4357" s="603"/>
      <c r="B4357" s="1102" t="s">
        <v>1876</v>
      </c>
      <c r="C4357" s="1102"/>
      <c r="D4357" s="1102"/>
      <c r="E4357" s="453"/>
      <c r="F4357" s="446"/>
      <c r="G4357" s="446"/>
      <c r="H4357" s="446"/>
      <c r="I4357" s="446"/>
      <c r="J4357" s="446" t="s">
        <v>335</v>
      </c>
      <c r="K4357" s="679">
        <f>SUM(K4354:K4356)</f>
        <v>30.570857142857143</v>
      </c>
      <c r="L4357" s="243" t="s">
        <v>3</v>
      </c>
      <c r="M4357" s="57"/>
      <c r="N4357" s="68"/>
      <c r="O4357" s="203"/>
      <c r="P4357" s="203"/>
      <c r="Q4357" s="203"/>
      <c r="R4357" s="203"/>
      <c r="S4357" s="203"/>
      <c r="T4357" s="203"/>
      <c r="U4357" s="203"/>
      <c r="V4357" s="203"/>
      <c r="W4357" s="203"/>
      <c r="X4357" s="203"/>
      <c r="Y4357" s="203"/>
    </row>
    <row r="4358" spans="1:25" ht="30" customHeight="1" x14ac:dyDescent="0.35">
      <c r="A4358" s="241"/>
      <c r="B4358" s="506"/>
      <c r="C4358" s="506"/>
      <c r="D4358" s="506"/>
      <c r="E4358" s="453"/>
      <c r="F4358" s="1029" t="s">
        <v>302</v>
      </c>
      <c r="G4358" s="1058" t="s">
        <v>303</v>
      </c>
      <c r="H4358" s="1058"/>
      <c r="I4358" s="1058"/>
      <c r="J4358" s="1058"/>
      <c r="K4358" s="612">
        <v>1.07</v>
      </c>
      <c r="L4358" s="243"/>
      <c r="N4358" s="68"/>
      <c r="O4358" s="203"/>
      <c r="T4358" s="208"/>
      <c r="U4358" s="208"/>
      <c r="V4358" s="208"/>
      <c r="W4358" s="208"/>
      <c r="X4358" s="208"/>
    </row>
    <row r="4359" spans="1:25" ht="30" customHeight="1" x14ac:dyDescent="0.35">
      <c r="A4359" s="241"/>
      <c r="B4359" s="506"/>
      <c r="C4359" s="506"/>
      <c r="D4359" s="506"/>
      <c r="E4359" s="453"/>
      <c r="F4359" s="1030"/>
      <c r="G4359" s="1073" t="s">
        <v>2374</v>
      </c>
      <c r="H4359" s="1073"/>
      <c r="I4359" s="1073"/>
      <c r="J4359" s="1073"/>
      <c r="K4359" s="612">
        <v>1.08</v>
      </c>
      <c r="L4359" s="243"/>
      <c r="N4359" s="68"/>
      <c r="O4359" s="203"/>
      <c r="Y4359" s="208"/>
    </row>
    <row r="4360" spans="1:25" ht="30" customHeight="1" x14ac:dyDescent="0.35">
      <c r="A4360" s="603"/>
      <c r="B4360" s="446"/>
      <c r="C4360" s="458"/>
      <c r="D4360" s="458"/>
      <c r="E4360" s="458"/>
      <c r="F4360" s="458"/>
      <c r="G4360" s="458"/>
      <c r="H4360" s="458"/>
      <c r="I4360" s="458"/>
      <c r="J4360" s="446" t="s">
        <v>2356</v>
      </c>
      <c r="K4360" s="591">
        <f>+K4357*K4358/K4359</f>
        <v>30.287793650793652</v>
      </c>
      <c r="L4360" s="243" t="s">
        <v>3</v>
      </c>
      <c r="N4360" s="68"/>
      <c r="O4360" s="208"/>
      <c r="P4360" s="208"/>
      <c r="Q4360" s="208"/>
      <c r="R4360" s="208"/>
      <c r="S4360" s="208"/>
    </row>
    <row r="4361" spans="1:25" ht="30" customHeight="1" x14ac:dyDescent="0.35">
      <c r="A4361" s="603"/>
      <c r="B4361" s="446"/>
      <c r="C4361" s="458"/>
      <c r="D4361" s="458"/>
      <c r="E4361" s="458"/>
      <c r="F4361" s="458"/>
      <c r="G4361" s="613" t="s">
        <v>2359</v>
      </c>
      <c r="H4361" s="458"/>
      <c r="I4361" s="458"/>
      <c r="J4361" s="583">
        <f>VLOOKUP(B4352,'Mil Cost Premiums for PUCs'!$A$4:$R$272,18,FALSE)</f>
        <v>1.1199953840399997</v>
      </c>
      <c r="K4361" s="591">
        <f>+K4360*J4361</f>
        <v>33.922189081644902</v>
      </c>
      <c r="L4361" s="243" t="s">
        <v>3</v>
      </c>
      <c r="M4361" s="173"/>
      <c r="N4361" s="68"/>
      <c r="O4361" s="203"/>
    </row>
    <row r="4362" spans="1:25" s="208" customFormat="1" ht="60" customHeight="1" x14ac:dyDescent="0.35">
      <c r="A4362" s="1064" t="s">
        <v>305</v>
      </c>
      <c r="B4362" s="1065"/>
      <c r="C4362" s="1065"/>
      <c r="D4362" s="1065"/>
      <c r="E4362" s="1065"/>
      <c r="F4362" s="1065"/>
      <c r="G4362" s="1065"/>
      <c r="H4362" s="1065"/>
      <c r="I4362" s="1065"/>
      <c r="J4362" s="1065"/>
      <c r="K4362" s="1065"/>
      <c r="L4362" s="1066"/>
      <c r="M4362" s="57"/>
      <c r="N4362" s="68"/>
      <c r="O4362" s="203"/>
      <c r="P4362" s="203"/>
      <c r="Q4362" s="203"/>
      <c r="R4362" s="203"/>
      <c r="S4362" s="203"/>
      <c r="T4362" s="203"/>
      <c r="U4362" s="203"/>
      <c r="V4362" s="203"/>
      <c r="W4362" s="203"/>
      <c r="X4362" s="203"/>
      <c r="Y4362" s="203"/>
    </row>
    <row r="4363" spans="1:25" ht="30" customHeight="1" x14ac:dyDescent="0.35">
      <c r="A4363" s="1377" t="s">
        <v>306</v>
      </c>
      <c r="B4363" s="1099"/>
      <c r="C4363" s="1072"/>
      <c r="D4363" s="1067" t="s">
        <v>1877</v>
      </c>
      <c r="E4363" s="1065"/>
      <c r="F4363" s="1065"/>
      <c r="G4363" s="1065"/>
      <c r="H4363" s="1065"/>
      <c r="I4363" s="1065"/>
      <c r="J4363" s="1065"/>
      <c r="K4363" s="1065"/>
      <c r="L4363" s="1066"/>
      <c r="O4363" s="203"/>
    </row>
    <row r="4364" spans="1:25" ht="30" customHeight="1" x14ac:dyDescent="0.35">
      <c r="A4364" s="1377" t="s">
        <v>307</v>
      </c>
      <c r="B4364" s="1099"/>
      <c r="C4364" s="1072"/>
      <c r="D4364" s="1067" t="s">
        <v>1878</v>
      </c>
      <c r="E4364" s="1065"/>
      <c r="F4364" s="1065"/>
      <c r="G4364" s="1065"/>
      <c r="H4364" s="1065"/>
      <c r="I4364" s="1065"/>
      <c r="J4364" s="1065"/>
      <c r="K4364" s="1065"/>
      <c r="L4364" s="1066"/>
      <c r="N4364" s="208"/>
      <c r="O4364" s="203"/>
    </row>
    <row r="4365" spans="1:25" ht="30" customHeight="1" x14ac:dyDescent="0.35">
      <c r="A4365" s="1377" t="s">
        <v>308</v>
      </c>
      <c r="B4365" s="1099"/>
      <c r="C4365" s="1072"/>
      <c r="D4365" s="1067" t="s">
        <v>1883</v>
      </c>
      <c r="E4365" s="1065"/>
      <c r="F4365" s="1065"/>
      <c r="G4365" s="1065"/>
      <c r="H4365" s="1065"/>
      <c r="I4365" s="1065"/>
      <c r="J4365" s="1065"/>
      <c r="K4365" s="1065"/>
      <c r="L4365" s="1066"/>
      <c r="N4365" s="214"/>
      <c r="O4365" s="203"/>
    </row>
    <row r="4366" spans="1:25" ht="30" customHeight="1" x14ac:dyDescent="0.35">
      <c r="A4366" s="1377" t="s">
        <v>309</v>
      </c>
      <c r="B4366" s="1099"/>
      <c r="C4366" s="1072"/>
      <c r="D4366" s="1067" t="s">
        <v>1884</v>
      </c>
      <c r="E4366" s="1065"/>
      <c r="F4366" s="1065"/>
      <c r="G4366" s="1065"/>
      <c r="H4366" s="1065"/>
      <c r="I4366" s="1065"/>
      <c r="J4366" s="1065"/>
      <c r="K4366" s="1065"/>
      <c r="L4366" s="1066"/>
      <c r="M4366" s="51"/>
      <c r="O4366" s="203"/>
    </row>
    <row r="4367" spans="1:25" ht="30" customHeight="1" x14ac:dyDescent="0.35">
      <c r="A4367" s="1377" t="s">
        <v>311</v>
      </c>
      <c r="B4367" s="1099"/>
      <c r="C4367" s="1072"/>
      <c r="D4367" s="1067" t="s">
        <v>1865</v>
      </c>
      <c r="E4367" s="1065"/>
      <c r="F4367" s="1065"/>
      <c r="G4367" s="1065"/>
      <c r="H4367" s="1065"/>
      <c r="I4367" s="1065"/>
      <c r="J4367" s="1065"/>
      <c r="K4367" s="1065"/>
      <c r="L4367" s="1066"/>
      <c r="M4367" s="51"/>
      <c r="O4367" s="203"/>
    </row>
    <row r="4368" spans="1:25" ht="30" customHeight="1" x14ac:dyDescent="0.35">
      <c r="A4368" s="1377" t="s">
        <v>313</v>
      </c>
      <c r="B4368" s="1099"/>
      <c r="C4368" s="1072"/>
      <c r="D4368" s="1067" t="s">
        <v>1682</v>
      </c>
      <c r="E4368" s="1065"/>
      <c r="F4368" s="1065"/>
      <c r="G4368" s="1065"/>
      <c r="H4368" s="1065"/>
      <c r="I4368" s="1065"/>
      <c r="J4368" s="1065"/>
      <c r="K4368" s="1065"/>
      <c r="L4368" s="1066"/>
      <c r="O4368" s="203"/>
    </row>
    <row r="4369" spans="1:25" ht="30" customHeight="1" x14ac:dyDescent="0.35">
      <c r="A4369" s="1377" t="s">
        <v>315</v>
      </c>
      <c r="B4369" s="1099"/>
      <c r="C4369" s="1072"/>
      <c r="D4369" s="1067" t="s">
        <v>1880</v>
      </c>
      <c r="E4369" s="1065"/>
      <c r="F4369" s="1065"/>
      <c r="G4369" s="1065"/>
      <c r="H4369" s="1065"/>
      <c r="I4369" s="1065"/>
      <c r="J4369" s="1065"/>
      <c r="K4369" s="1065"/>
      <c r="L4369" s="1066"/>
      <c r="N4369" s="208"/>
      <c r="O4369" s="203"/>
    </row>
    <row r="4370" spans="1:25" ht="30" customHeight="1" x14ac:dyDescent="0.35">
      <c r="A4370" s="1377" t="s">
        <v>316</v>
      </c>
      <c r="B4370" s="1099"/>
      <c r="C4370" s="1072"/>
      <c r="D4370" s="1067" t="s">
        <v>317</v>
      </c>
      <c r="E4370" s="1065"/>
      <c r="F4370" s="1065"/>
      <c r="G4370" s="1065"/>
      <c r="H4370" s="1065"/>
      <c r="I4370" s="1065"/>
      <c r="J4370" s="1065"/>
      <c r="K4370" s="1065"/>
      <c r="L4370" s="1066"/>
      <c r="O4370" s="203"/>
    </row>
    <row r="4371" spans="1:25" ht="45" customHeight="1" thickBot="1" x14ac:dyDescent="0.4">
      <c r="A4371" s="1422" t="s">
        <v>318</v>
      </c>
      <c r="B4371" s="1404"/>
      <c r="C4371" s="1405"/>
      <c r="D4371" s="1068" t="s">
        <v>2303</v>
      </c>
      <c r="E4371" s="1069"/>
      <c r="F4371" s="1069"/>
      <c r="G4371" s="1069"/>
      <c r="H4371" s="1069"/>
      <c r="I4371" s="1069"/>
      <c r="J4371" s="1069"/>
      <c r="K4371" s="1069"/>
      <c r="L4371" s="1070"/>
      <c r="O4371" s="203"/>
    </row>
    <row r="4372" spans="1:25" ht="30" customHeight="1" thickBot="1" x14ac:dyDescent="0.4">
      <c r="A4372" s="489"/>
      <c r="B4372" s="490"/>
      <c r="C4372" s="490"/>
      <c r="D4372" s="490"/>
      <c r="E4372" s="490"/>
      <c r="F4372" s="490"/>
      <c r="G4372" s="490"/>
      <c r="H4372" s="490"/>
      <c r="I4372" s="490"/>
      <c r="J4372" s="490"/>
      <c r="K4372" s="490"/>
      <c r="L4372" s="491"/>
      <c r="O4372" s="203"/>
    </row>
    <row r="4373" spans="1:25" ht="30" customHeight="1" x14ac:dyDescent="0.35">
      <c r="A4373" s="465" t="s">
        <v>278</v>
      </c>
      <c r="B4373" s="539">
        <v>8524</v>
      </c>
      <c r="C4373" s="1096" t="s">
        <v>1885</v>
      </c>
      <c r="D4373" s="1097"/>
      <c r="E4373" s="541" t="s">
        <v>280</v>
      </c>
      <c r="F4373" s="542" t="s">
        <v>3</v>
      </c>
      <c r="G4373" s="543" t="s">
        <v>285</v>
      </c>
      <c r="H4373" s="555">
        <v>4149</v>
      </c>
      <c r="I4373" s="541" t="s">
        <v>281</v>
      </c>
      <c r="J4373" s="1019" t="s">
        <v>2371</v>
      </c>
      <c r="K4373" s="1019"/>
      <c r="L4373" s="1020"/>
      <c r="O4373" s="203"/>
    </row>
    <row r="4374" spans="1:25" ht="30" customHeight="1" x14ac:dyDescent="0.35">
      <c r="A4374" s="588" t="s">
        <v>298</v>
      </c>
      <c r="B4374" s="1038" t="s">
        <v>321</v>
      </c>
      <c r="C4374" s="1039"/>
      <c r="D4374" s="1040"/>
      <c r="E4374" s="23" t="s">
        <v>290</v>
      </c>
      <c r="F4374" s="23" t="s">
        <v>322</v>
      </c>
      <c r="G4374" s="1034" t="s">
        <v>323</v>
      </c>
      <c r="H4374" s="1035"/>
      <c r="I4374" s="509" t="s">
        <v>299</v>
      </c>
      <c r="J4374" s="509"/>
      <c r="K4374" s="1012" t="s">
        <v>292</v>
      </c>
      <c r="L4374" s="1013"/>
      <c r="O4374" s="203"/>
      <c r="P4374" s="218"/>
      <c r="Q4374" s="68"/>
      <c r="R4374" s="217"/>
    </row>
    <row r="4375" spans="1:25" ht="30" customHeight="1" x14ac:dyDescent="0.35">
      <c r="A4375" s="241" t="s">
        <v>493</v>
      </c>
      <c r="B4375" s="1082" t="s">
        <v>3156</v>
      </c>
      <c r="C4375" s="1083"/>
      <c r="D4375" s="1093"/>
      <c r="E4375" s="40">
        <v>6.43</v>
      </c>
      <c r="F4375" s="3" t="s">
        <v>8</v>
      </c>
      <c r="G4375" s="80">
        <v>9</v>
      </c>
      <c r="H4375" s="498" t="s">
        <v>482</v>
      </c>
      <c r="I4375" s="446">
        <v>1.02</v>
      </c>
      <c r="J4375" s="3"/>
      <c r="K4375" s="591">
        <f>+E4375*G4375*I4375</f>
        <v>59.0274</v>
      </c>
      <c r="L4375" s="676" t="s">
        <v>3</v>
      </c>
      <c r="N4375" s="72"/>
      <c r="O4375" s="203"/>
      <c r="P4375" s="218"/>
      <c r="Q4375" s="68"/>
      <c r="R4375" s="217"/>
      <c r="T4375" s="208"/>
      <c r="U4375" s="208"/>
      <c r="V4375" s="208"/>
      <c r="W4375" s="208"/>
      <c r="X4375" s="208"/>
    </row>
    <row r="4376" spans="1:25" ht="30" customHeight="1" x14ac:dyDescent="0.35">
      <c r="A4376" s="241"/>
      <c r="B4376" s="506"/>
      <c r="C4376" s="506"/>
      <c r="D4376" s="506"/>
      <c r="E4376" s="453"/>
      <c r="F4376" s="1029" t="s">
        <v>302</v>
      </c>
      <c r="G4376" s="1058" t="s">
        <v>303</v>
      </c>
      <c r="H4376" s="1058"/>
      <c r="I4376" s="1058"/>
      <c r="J4376" s="1058"/>
      <c r="K4376" s="612">
        <v>1.07</v>
      </c>
      <c r="L4376" s="243"/>
      <c r="O4376" s="203"/>
      <c r="P4376" s="218"/>
      <c r="Q4376" s="68"/>
      <c r="R4376" s="217"/>
      <c r="Y4376" s="208"/>
    </row>
    <row r="4377" spans="1:25" ht="30" customHeight="1" x14ac:dyDescent="0.35">
      <c r="A4377" s="241"/>
      <c r="B4377" s="506"/>
      <c r="C4377" s="506"/>
      <c r="D4377" s="506"/>
      <c r="E4377" s="453"/>
      <c r="F4377" s="1030"/>
      <c r="G4377" s="1073" t="s">
        <v>2374</v>
      </c>
      <c r="H4377" s="1073"/>
      <c r="I4377" s="1073"/>
      <c r="J4377" s="1073"/>
      <c r="K4377" s="612">
        <v>1.08</v>
      </c>
      <c r="L4377" s="243"/>
      <c r="M4377" s="368"/>
      <c r="O4377" s="208"/>
      <c r="P4377" s="218"/>
      <c r="Q4377" s="68"/>
      <c r="R4377" s="217"/>
      <c r="S4377" s="208"/>
    </row>
    <row r="4378" spans="1:25" ht="30" customHeight="1" x14ac:dyDescent="0.35">
      <c r="A4378" s="717"/>
      <c r="B4378" s="604"/>
      <c r="C4378" s="605"/>
      <c r="D4378" s="606"/>
      <c r="E4378" s="453"/>
      <c r="F4378" s="3"/>
      <c r="G4378" s="639"/>
      <c r="H4378" s="659"/>
      <c r="I4378" s="446"/>
      <c r="J4378" s="446" t="s">
        <v>2356</v>
      </c>
      <c r="K4378" s="591">
        <f>+K4375*K4376/K4377</f>
        <v>58.480850000000004</v>
      </c>
      <c r="L4378" s="243" t="s">
        <v>3</v>
      </c>
      <c r="O4378" s="203"/>
      <c r="P4378" s="218"/>
      <c r="Q4378" s="68"/>
      <c r="R4378" s="217"/>
    </row>
    <row r="4379" spans="1:25" s="208" customFormat="1" ht="30" customHeight="1" x14ac:dyDescent="0.35">
      <c r="A4379" s="717"/>
      <c r="B4379" s="646"/>
      <c r="C4379" s="646"/>
      <c r="D4379" s="646"/>
      <c r="E4379" s="453"/>
      <c r="F4379" s="458"/>
      <c r="G4379" s="956" t="s">
        <v>2359</v>
      </c>
      <c r="H4379" s="446"/>
      <c r="I4379" s="446"/>
      <c r="J4379" s="583">
        <f>VLOOKUP(B4373,'Mil Cost Premiums for PUCs'!$A$4:$R$272,18,FALSE)</f>
        <v>1.0209999999999999</v>
      </c>
      <c r="K4379" s="591">
        <f>+K4378*J4379</f>
        <v>59.708947850000001</v>
      </c>
      <c r="L4379" s="243" t="s">
        <v>3</v>
      </c>
      <c r="M4379" s="57"/>
      <c r="N4379" s="203"/>
      <c r="O4379" s="203"/>
      <c r="P4379" s="218"/>
      <c r="Q4379" s="68"/>
      <c r="R4379" s="217"/>
      <c r="S4379" s="203"/>
      <c r="T4379" s="203"/>
      <c r="U4379" s="203"/>
      <c r="V4379" s="203"/>
      <c r="W4379" s="203"/>
      <c r="X4379" s="203"/>
      <c r="Y4379" s="203"/>
    </row>
    <row r="4380" spans="1:25" ht="60" customHeight="1" x14ac:dyDescent="0.35">
      <c r="A4380" s="1064" t="s">
        <v>305</v>
      </c>
      <c r="B4380" s="1065"/>
      <c r="C4380" s="1065"/>
      <c r="D4380" s="1065"/>
      <c r="E4380" s="1065"/>
      <c r="F4380" s="1065"/>
      <c r="G4380" s="1065"/>
      <c r="H4380" s="1065"/>
      <c r="I4380" s="1065"/>
      <c r="J4380" s="1065"/>
      <c r="K4380" s="1065"/>
      <c r="L4380" s="1066"/>
      <c r="O4380" s="171"/>
      <c r="P4380" s="216"/>
      <c r="Q4380" s="419"/>
      <c r="R4380" s="219"/>
    </row>
    <row r="4381" spans="1:25" ht="30" customHeight="1" x14ac:dyDescent="0.35">
      <c r="A4381" s="1077" t="s">
        <v>306</v>
      </c>
      <c r="B4381" s="1042"/>
      <c r="C4381" s="1043"/>
      <c r="D4381" s="1067" t="s">
        <v>1886</v>
      </c>
      <c r="E4381" s="1065"/>
      <c r="F4381" s="1065"/>
      <c r="G4381" s="1065"/>
      <c r="H4381" s="1065"/>
      <c r="I4381" s="1065"/>
      <c r="J4381" s="1065"/>
      <c r="K4381" s="1065"/>
      <c r="L4381" s="1066"/>
      <c r="M4381" s="173"/>
      <c r="O4381" s="171"/>
      <c r="P4381" s="216"/>
      <c r="Q4381" s="419"/>
      <c r="R4381" s="219"/>
    </row>
    <row r="4382" spans="1:25" ht="30" customHeight="1" x14ac:dyDescent="0.35">
      <c r="A4382" s="1077" t="s">
        <v>307</v>
      </c>
      <c r="B4382" s="1042"/>
      <c r="C4382" s="1043"/>
      <c r="D4382" s="1067" t="s">
        <v>1887</v>
      </c>
      <c r="E4382" s="1065"/>
      <c r="F4382" s="1065"/>
      <c r="G4382" s="1065"/>
      <c r="H4382" s="1065"/>
      <c r="I4382" s="1065"/>
      <c r="J4382" s="1065"/>
      <c r="K4382" s="1065"/>
      <c r="L4382" s="1066"/>
      <c r="M4382" s="206"/>
      <c r="O4382" s="203"/>
      <c r="P4382" s="218"/>
      <c r="Q4382" s="68"/>
      <c r="R4382" s="217"/>
    </row>
    <row r="4383" spans="1:25" ht="30" customHeight="1" x14ac:dyDescent="0.35">
      <c r="A4383" s="1077" t="s">
        <v>308</v>
      </c>
      <c r="B4383" s="1042"/>
      <c r="C4383" s="1043"/>
      <c r="D4383" s="1067" t="s">
        <v>1888</v>
      </c>
      <c r="E4383" s="1065"/>
      <c r="F4383" s="1065"/>
      <c r="G4383" s="1065"/>
      <c r="H4383" s="1065"/>
      <c r="I4383" s="1065"/>
      <c r="J4383" s="1065"/>
      <c r="K4383" s="1065"/>
      <c r="L4383" s="1066"/>
      <c r="O4383" s="203"/>
      <c r="P4383" s="218"/>
      <c r="Q4383" s="68"/>
      <c r="R4383" s="217"/>
    </row>
    <row r="4384" spans="1:25" ht="30" customHeight="1" x14ac:dyDescent="0.35">
      <c r="A4384" s="1077" t="s">
        <v>309</v>
      </c>
      <c r="B4384" s="1042"/>
      <c r="C4384" s="1043"/>
      <c r="D4384" s="1067" t="s">
        <v>1889</v>
      </c>
      <c r="E4384" s="1065"/>
      <c r="F4384" s="1065"/>
      <c r="G4384" s="1065"/>
      <c r="H4384" s="1065"/>
      <c r="I4384" s="1065"/>
      <c r="J4384" s="1065"/>
      <c r="K4384" s="1065"/>
      <c r="L4384" s="1066"/>
      <c r="M4384" s="51"/>
      <c r="N4384" s="13"/>
      <c r="O4384" s="203"/>
      <c r="P4384" s="218"/>
      <c r="Q4384" s="68"/>
      <c r="R4384" s="217"/>
      <c r="T4384" s="208"/>
      <c r="U4384" s="208"/>
      <c r="V4384" s="208"/>
      <c r="W4384" s="208"/>
      <c r="X4384" s="208"/>
    </row>
    <row r="4385" spans="1:25" ht="30" customHeight="1" x14ac:dyDescent="0.35">
      <c r="A4385" s="1077" t="s">
        <v>311</v>
      </c>
      <c r="B4385" s="1042"/>
      <c r="C4385" s="1043"/>
      <c r="D4385" s="1067" t="s">
        <v>1890</v>
      </c>
      <c r="E4385" s="1065"/>
      <c r="F4385" s="1065"/>
      <c r="G4385" s="1065"/>
      <c r="H4385" s="1065"/>
      <c r="I4385" s="1065"/>
      <c r="J4385" s="1065"/>
      <c r="K4385" s="1065"/>
      <c r="L4385" s="1066"/>
      <c r="N4385" s="312"/>
      <c r="O4385" s="203"/>
      <c r="P4385" s="218"/>
      <c r="Q4385" s="68"/>
      <c r="R4385" s="217"/>
      <c r="Y4385" s="208"/>
    </row>
    <row r="4386" spans="1:25" ht="30" customHeight="1" x14ac:dyDescent="0.35">
      <c r="A4386" s="1077" t="s">
        <v>313</v>
      </c>
      <c r="B4386" s="1042"/>
      <c r="C4386" s="1043"/>
      <c r="D4386" s="1067" t="s">
        <v>1682</v>
      </c>
      <c r="E4386" s="1065"/>
      <c r="F4386" s="1065"/>
      <c r="G4386" s="1065"/>
      <c r="H4386" s="1065"/>
      <c r="I4386" s="1065"/>
      <c r="J4386" s="1065"/>
      <c r="K4386" s="1065"/>
      <c r="L4386" s="1066"/>
      <c r="M4386" s="173"/>
      <c r="N4386" s="68"/>
      <c r="O4386" s="208"/>
      <c r="P4386" s="218"/>
      <c r="Q4386" s="68"/>
      <c r="R4386" s="217"/>
      <c r="S4386" s="208"/>
    </row>
    <row r="4387" spans="1:25" ht="30" customHeight="1" x14ac:dyDescent="0.35">
      <c r="A4387" s="1077" t="s">
        <v>315</v>
      </c>
      <c r="B4387" s="1042"/>
      <c r="C4387" s="1043"/>
      <c r="D4387" s="1067" t="s">
        <v>1880</v>
      </c>
      <c r="E4387" s="1065"/>
      <c r="F4387" s="1065"/>
      <c r="G4387" s="1065"/>
      <c r="H4387" s="1065"/>
      <c r="I4387" s="1065"/>
      <c r="J4387" s="1065"/>
      <c r="K4387" s="1065"/>
      <c r="L4387" s="1066"/>
      <c r="N4387" s="68"/>
      <c r="O4387" s="203"/>
      <c r="P4387" s="218"/>
      <c r="Q4387" s="68"/>
      <c r="R4387" s="217"/>
    </row>
    <row r="4388" spans="1:25" s="208" customFormat="1" ht="30" customHeight="1" x14ac:dyDescent="0.35">
      <c r="A4388" s="1077" t="s">
        <v>316</v>
      </c>
      <c r="B4388" s="1042"/>
      <c r="C4388" s="1043"/>
      <c r="D4388" s="1067" t="s">
        <v>317</v>
      </c>
      <c r="E4388" s="1065"/>
      <c r="F4388" s="1065"/>
      <c r="G4388" s="1065"/>
      <c r="H4388" s="1065"/>
      <c r="I4388" s="1065"/>
      <c r="J4388" s="1065"/>
      <c r="K4388" s="1065"/>
      <c r="L4388" s="1066"/>
      <c r="M4388" s="57"/>
      <c r="N4388" s="68"/>
      <c r="O4388" s="171"/>
      <c r="P4388" s="216"/>
      <c r="Q4388" s="419"/>
      <c r="R4388" s="219"/>
      <c r="S4388" s="203"/>
      <c r="T4388" s="203"/>
      <c r="U4388" s="203"/>
      <c r="V4388" s="203"/>
      <c r="W4388" s="203"/>
      <c r="X4388" s="203"/>
      <c r="Y4388" s="203"/>
    </row>
    <row r="4389" spans="1:25" ht="30" customHeight="1" thickBot="1" x14ac:dyDescent="0.4">
      <c r="A4389" s="1423" t="s">
        <v>318</v>
      </c>
      <c r="B4389" s="1424"/>
      <c r="C4389" s="1418"/>
      <c r="D4389" s="1068" t="s">
        <v>3179</v>
      </c>
      <c r="E4389" s="1069"/>
      <c r="F4389" s="1069"/>
      <c r="G4389" s="1069"/>
      <c r="H4389" s="1069"/>
      <c r="I4389" s="1069"/>
      <c r="J4389" s="1069"/>
      <c r="K4389" s="1069"/>
      <c r="L4389" s="1070"/>
      <c r="N4389" s="419"/>
      <c r="O4389" s="171"/>
      <c r="P4389" s="216"/>
      <c r="Q4389" s="419"/>
      <c r="R4389" s="219"/>
    </row>
    <row r="4390" spans="1:25" ht="30" customHeight="1" thickBot="1" x14ac:dyDescent="0.4">
      <c r="A4390" s="489"/>
      <c r="B4390" s="490"/>
      <c r="C4390" s="490"/>
      <c r="D4390" s="490"/>
      <c r="E4390" s="490"/>
      <c r="F4390" s="490"/>
      <c r="G4390" s="490"/>
      <c r="H4390" s="490"/>
      <c r="I4390" s="490"/>
      <c r="J4390" s="490"/>
      <c r="K4390" s="490"/>
      <c r="L4390" s="491"/>
      <c r="N4390" s="419"/>
      <c r="O4390" s="203"/>
      <c r="P4390" s="218"/>
      <c r="Q4390" s="68"/>
      <c r="R4390" s="217"/>
    </row>
    <row r="4391" spans="1:25" ht="30" customHeight="1" x14ac:dyDescent="0.35">
      <c r="A4391" s="465" t="s">
        <v>278</v>
      </c>
      <c r="B4391" s="539">
        <v>8525</v>
      </c>
      <c r="C4391" s="586" t="s">
        <v>1891</v>
      </c>
      <c r="D4391" s="714"/>
      <c r="E4391" s="541" t="s">
        <v>280</v>
      </c>
      <c r="F4391" s="542" t="s">
        <v>3</v>
      </c>
      <c r="G4391" s="543" t="s">
        <v>285</v>
      </c>
      <c r="H4391" s="957">
        <v>107</v>
      </c>
      <c r="I4391" s="541" t="s">
        <v>281</v>
      </c>
      <c r="J4391" s="1019" t="s">
        <v>2371</v>
      </c>
      <c r="K4391" s="1019"/>
      <c r="L4391" s="1020"/>
      <c r="N4391" s="68"/>
      <c r="O4391" s="203"/>
      <c r="P4391" s="218"/>
      <c r="Q4391" s="68"/>
      <c r="R4391" s="217"/>
    </row>
    <row r="4392" spans="1:25" ht="30" customHeight="1" x14ac:dyDescent="0.35">
      <c r="A4392" s="545" t="s">
        <v>298</v>
      </c>
      <c r="B4392" s="849" t="s">
        <v>321</v>
      </c>
      <c r="C4392" s="850"/>
      <c r="D4392" s="851"/>
      <c r="E4392" s="420" t="s">
        <v>290</v>
      </c>
      <c r="F4392" s="420" t="s">
        <v>322</v>
      </c>
      <c r="G4392" s="503" t="s">
        <v>323</v>
      </c>
      <c r="H4392" s="500"/>
      <c r="I4392" s="509" t="s">
        <v>299</v>
      </c>
      <c r="J4392" s="509"/>
      <c r="K4392" s="1012" t="s">
        <v>292</v>
      </c>
      <c r="L4392" s="1013"/>
      <c r="M4392" s="534"/>
      <c r="N4392" s="68"/>
      <c r="O4392" s="203"/>
      <c r="P4392" s="218"/>
      <c r="Q4392" s="68"/>
      <c r="R4392" s="217"/>
      <c r="T4392" s="208"/>
      <c r="U4392" s="208"/>
      <c r="V4392" s="208"/>
      <c r="W4392" s="208"/>
      <c r="X4392" s="208"/>
    </row>
    <row r="4393" spans="1:25" ht="30" customHeight="1" x14ac:dyDescent="0.35">
      <c r="A4393" s="241" t="s">
        <v>442</v>
      </c>
      <c r="B4393" s="1082" t="s">
        <v>3157</v>
      </c>
      <c r="C4393" s="1083"/>
      <c r="D4393" s="1093"/>
      <c r="E4393" s="40">
        <v>259.75</v>
      </c>
      <c r="F4393" s="3" t="s">
        <v>8</v>
      </c>
      <c r="G4393" s="80">
        <v>9</v>
      </c>
      <c r="H4393" s="498" t="s">
        <v>482</v>
      </c>
      <c r="I4393" s="446">
        <v>1.02</v>
      </c>
      <c r="J4393" s="3"/>
      <c r="K4393" s="591">
        <f>+E4393*G4393*I4393</f>
        <v>2384.5050000000001</v>
      </c>
      <c r="L4393" s="676" t="s">
        <v>3</v>
      </c>
      <c r="N4393" s="421"/>
      <c r="O4393" s="203"/>
      <c r="P4393" s="218"/>
      <c r="Q4393" s="68"/>
      <c r="R4393" s="217"/>
      <c r="Y4393" s="208"/>
    </row>
    <row r="4394" spans="1:25" ht="30" customHeight="1" x14ac:dyDescent="0.35">
      <c r="A4394" s="241"/>
      <c r="B4394" s="506"/>
      <c r="C4394" s="506"/>
      <c r="D4394" s="506"/>
      <c r="E4394" s="453"/>
      <c r="F4394" s="1029" t="s">
        <v>302</v>
      </c>
      <c r="G4394" s="1058" t="s">
        <v>303</v>
      </c>
      <c r="H4394" s="1058"/>
      <c r="I4394" s="1058"/>
      <c r="J4394" s="1058"/>
      <c r="K4394" s="612">
        <v>1.07</v>
      </c>
      <c r="L4394" s="243"/>
      <c r="N4394" s="68"/>
      <c r="O4394" s="208"/>
      <c r="P4394" s="218"/>
      <c r="Q4394" s="68"/>
      <c r="R4394" s="217"/>
      <c r="S4394" s="208"/>
    </row>
    <row r="4395" spans="1:25" ht="30" customHeight="1" x14ac:dyDescent="0.35">
      <c r="A4395" s="241"/>
      <c r="B4395" s="506"/>
      <c r="C4395" s="506"/>
      <c r="D4395" s="506"/>
      <c r="E4395" s="453"/>
      <c r="F4395" s="1030"/>
      <c r="G4395" s="1073" t="s">
        <v>2374</v>
      </c>
      <c r="H4395" s="1073"/>
      <c r="I4395" s="1073"/>
      <c r="J4395" s="1073"/>
      <c r="K4395" s="612">
        <v>1.08</v>
      </c>
      <c r="L4395" s="243"/>
      <c r="N4395" s="68"/>
      <c r="O4395" s="203"/>
      <c r="P4395" s="218"/>
      <c r="Q4395" s="68"/>
      <c r="R4395" s="217"/>
    </row>
    <row r="4396" spans="1:25" s="208" customFormat="1" ht="30" customHeight="1" x14ac:dyDescent="0.35">
      <c r="A4396" s="717"/>
      <c r="B4396" s="604"/>
      <c r="C4396" s="605"/>
      <c r="D4396" s="606"/>
      <c r="E4396" s="453"/>
      <c r="F4396" s="3"/>
      <c r="G4396" s="639"/>
      <c r="H4396" s="659"/>
      <c r="I4396" s="446"/>
      <c r="J4396" s="446" t="s">
        <v>2356</v>
      </c>
      <c r="K4396" s="591">
        <f>+K4393*K4394/K4395</f>
        <v>2362.42625</v>
      </c>
      <c r="L4396" s="243" t="s">
        <v>3</v>
      </c>
      <c r="M4396" s="57"/>
      <c r="N4396" s="203"/>
      <c r="O4396" s="203"/>
      <c r="P4396" s="218"/>
      <c r="Q4396" s="68"/>
      <c r="R4396" s="217"/>
      <c r="S4396" s="203"/>
      <c r="T4396" s="203"/>
      <c r="U4396" s="203"/>
      <c r="V4396" s="203"/>
      <c r="W4396" s="203"/>
      <c r="X4396" s="203"/>
      <c r="Y4396" s="203"/>
    </row>
    <row r="4397" spans="1:25" ht="30" customHeight="1" x14ac:dyDescent="0.35">
      <c r="A4397" s="717"/>
      <c r="B4397" s="646"/>
      <c r="C4397" s="646"/>
      <c r="D4397" s="646"/>
      <c r="E4397" s="453"/>
      <c r="F4397" s="446"/>
      <c r="G4397" s="958" t="s">
        <v>2359</v>
      </c>
      <c r="H4397" s="446"/>
      <c r="I4397" s="446"/>
      <c r="J4397" s="583">
        <f>VLOOKUP(B4391,'Mil Cost Premiums for PUCs'!$A$4:$R$272,18,FALSE)</f>
        <v>1.0905505199999999</v>
      </c>
      <c r="K4397" s="591">
        <f>+K4396*J4397</f>
        <v>2576.3451753991499</v>
      </c>
      <c r="L4397" s="243" t="s">
        <v>3</v>
      </c>
      <c r="N4397" s="419"/>
      <c r="O4397" s="203"/>
      <c r="P4397" s="218"/>
      <c r="Q4397" s="68"/>
      <c r="R4397" s="217"/>
    </row>
    <row r="4398" spans="1:25" ht="60" customHeight="1" x14ac:dyDescent="0.35">
      <c r="A4398" s="1064" t="s">
        <v>305</v>
      </c>
      <c r="B4398" s="1065"/>
      <c r="C4398" s="1065"/>
      <c r="D4398" s="1065"/>
      <c r="E4398" s="1065"/>
      <c r="F4398" s="1065"/>
      <c r="G4398" s="1065"/>
      <c r="H4398" s="1065"/>
      <c r="I4398" s="1065"/>
      <c r="J4398" s="1065"/>
      <c r="K4398" s="1065"/>
      <c r="L4398" s="1066"/>
      <c r="N4398" s="419"/>
      <c r="O4398" s="203"/>
      <c r="P4398" s="218"/>
      <c r="Q4398" s="68"/>
      <c r="R4398" s="217"/>
    </row>
    <row r="4399" spans="1:25" ht="30" customHeight="1" x14ac:dyDescent="0.35">
      <c r="A4399" s="1077" t="s">
        <v>306</v>
      </c>
      <c r="B4399" s="1042"/>
      <c r="C4399" s="1043"/>
      <c r="D4399" s="1067" t="s">
        <v>1892</v>
      </c>
      <c r="E4399" s="1065"/>
      <c r="F4399" s="1065"/>
      <c r="G4399" s="1065"/>
      <c r="H4399" s="1065"/>
      <c r="I4399" s="1065"/>
      <c r="J4399" s="1065"/>
      <c r="K4399" s="1065"/>
      <c r="L4399" s="1066"/>
      <c r="N4399" s="68"/>
      <c r="O4399" s="203"/>
      <c r="P4399" s="218"/>
      <c r="Q4399" s="68"/>
      <c r="R4399" s="217"/>
    </row>
    <row r="4400" spans="1:25" ht="30" customHeight="1" x14ac:dyDescent="0.35">
      <c r="A4400" s="1077" t="s">
        <v>307</v>
      </c>
      <c r="B4400" s="1042"/>
      <c r="C4400" s="1043"/>
      <c r="D4400" s="1067" t="s">
        <v>1863</v>
      </c>
      <c r="E4400" s="1065"/>
      <c r="F4400" s="1065"/>
      <c r="G4400" s="1065"/>
      <c r="H4400" s="1065"/>
      <c r="I4400" s="1065"/>
      <c r="J4400" s="1065"/>
      <c r="K4400" s="1065"/>
      <c r="L4400" s="1066"/>
      <c r="N4400" s="68"/>
      <c r="O4400" s="203"/>
      <c r="P4400" s="218"/>
      <c r="Q4400" s="68"/>
      <c r="R4400" s="217"/>
    </row>
    <row r="4401" spans="1:25" ht="30" customHeight="1" x14ac:dyDescent="0.35">
      <c r="A4401" s="1077" t="s">
        <v>308</v>
      </c>
      <c r="B4401" s="1042"/>
      <c r="C4401" s="1043"/>
      <c r="D4401" s="1067" t="s">
        <v>2472</v>
      </c>
      <c r="E4401" s="1065"/>
      <c r="F4401" s="1065"/>
      <c r="G4401" s="1065"/>
      <c r="H4401" s="1065"/>
      <c r="I4401" s="1065"/>
      <c r="J4401" s="1065"/>
      <c r="K4401" s="1065"/>
      <c r="L4401" s="1066"/>
      <c r="N4401" s="68"/>
      <c r="O4401" s="171"/>
      <c r="P4401" s="216"/>
      <c r="Q4401" s="419"/>
      <c r="R4401" s="219"/>
    </row>
    <row r="4402" spans="1:25" ht="30" customHeight="1" x14ac:dyDescent="0.35">
      <c r="A4402" s="1077" t="s">
        <v>309</v>
      </c>
      <c r="B4402" s="1042"/>
      <c r="C4402" s="1043"/>
      <c r="D4402" s="1067" t="s">
        <v>1893</v>
      </c>
      <c r="E4402" s="1065"/>
      <c r="F4402" s="1065"/>
      <c r="G4402" s="1065"/>
      <c r="H4402" s="1065"/>
      <c r="I4402" s="1065"/>
      <c r="J4402" s="1065"/>
      <c r="K4402" s="1065"/>
      <c r="L4402" s="1066"/>
      <c r="N4402" s="422"/>
      <c r="O4402" s="171"/>
      <c r="P4402" s="216"/>
      <c r="Q4402" s="419"/>
      <c r="R4402" s="219"/>
    </row>
    <row r="4403" spans="1:25" ht="30" customHeight="1" x14ac:dyDescent="0.35">
      <c r="A4403" s="1077" t="s">
        <v>311</v>
      </c>
      <c r="B4403" s="1042"/>
      <c r="C4403" s="1043"/>
      <c r="D4403" s="1067" t="s">
        <v>1890</v>
      </c>
      <c r="E4403" s="1065"/>
      <c r="F4403" s="1065"/>
      <c r="G4403" s="1065"/>
      <c r="H4403" s="1065"/>
      <c r="I4403" s="1065"/>
      <c r="J4403" s="1065"/>
      <c r="K4403" s="1065"/>
      <c r="L4403" s="1066"/>
      <c r="M4403" s="535"/>
      <c r="N4403" s="422"/>
      <c r="O4403" s="203"/>
      <c r="P4403" s="218"/>
      <c r="Q4403" s="68"/>
      <c r="R4403" s="217"/>
    </row>
    <row r="4404" spans="1:25" ht="30" customHeight="1" x14ac:dyDescent="0.35">
      <c r="A4404" s="1077" t="s">
        <v>313</v>
      </c>
      <c r="B4404" s="1042"/>
      <c r="C4404" s="1043"/>
      <c r="D4404" s="1067" t="s">
        <v>1682</v>
      </c>
      <c r="E4404" s="1065"/>
      <c r="F4404" s="1065"/>
      <c r="G4404" s="1065"/>
      <c r="H4404" s="1065"/>
      <c r="I4404" s="1065"/>
      <c r="J4404" s="1065"/>
      <c r="K4404" s="1065"/>
      <c r="L4404" s="1066"/>
      <c r="M4404" s="536"/>
      <c r="N4404" s="68"/>
      <c r="O4404" s="203"/>
      <c r="P4404" s="218"/>
      <c r="Q4404" s="68"/>
      <c r="R4404" s="217"/>
    </row>
    <row r="4405" spans="1:25" ht="36" customHeight="1" x14ac:dyDescent="0.35">
      <c r="A4405" s="1077" t="s">
        <v>315</v>
      </c>
      <c r="B4405" s="1042"/>
      <c r="C4405" s="1043"/>
      <c r="D4405" s="1067" t="s">
        <v>1817</v>
      </c>
      <c r="E4405" s="1065"/>
      <c r="F4405" s="1065"/>
      <c r="G4405" s="1065"/>
      <c r="H4405" s="1065"/>
      <c r="I4405" s="1065"/>
      <c r="J4405" s="1065"/>
      <c r="K4405" s="1065"/>
      <c r="L4405" s="1066"/>
      <c r="N4405" s="68"/>
      <c r="O4405" s="203"/>
      <c r="P4405" s="218"/>
      <c r="Q4405" s="68"/>
      <c r="R4405" s="217"/>
      <c r="T4405" s="208"/>
      <c r="U4405" s="208"/>
      <c r="V4405" s="208"/>
      <c r="W4405" s="208"/>
      <c r="X4405" s="208"/>
    </row>
    <row r="4406" spans="1:25" ht="30" customHeight="1" x14ac:dyDescent="0.35">
      <c r="A4406" s="1077" t="s">
        <v>316</v>
      </c>
      <c r="B4406" s="1042"/>
      <c r="C4406" s="1043"/>
      <c r="D4406" s="1067" t="s">
        <v>317</v>
      </c>
      <c r="E4406" s="1065"/>
      <c r="F4406" s="1065"/>
      <c r="G4406" s="1065"/>
      <c r="H4406" s="1065"/>
      <c r="I4406" s="1065"/>
      <c r="J4406" s="1065"/>
      <c r="K4406" s="1065"/>
      <c r="L4406" s="1066"/>
      <c r="M4406" s="51"/>
      <c r="O4406" s="203"/>
      <c r="P4406" s="218"/>
      <c r="Q4406" s="68"/>
      <c r="R4406" s="217"/>
      <c r="Y4406" s="208"/>
    </row>
    <row r="4407" spans="1:25" ht="45" customHeight="1" thickBot="1" x14ac:dyDescent="0.4">
      <c r="A4407" s="1078" t="s">
        <v>318</v>
      </c>
      <c r="B4407" s="1079"/>
      <c r="C4407" s="1080"/>
      <c r="D4407" s="1068" t="s">
        <v>3178</v>
      </c>
      <c r="E4407" s="1069"/>
      <c r="F4407" s="1069"/>
      <c r="G4407" s="1069"/>
      <c r="H4407" s="1069"/>
      <c r="I4407" s="1069"/>
      <c r="J4407" s="1069"/>
      <c r="K4407" s="1069"/>
      <c r="L4407" s="1070"/>
      <c r="M4407" s="51"/>
      <c r="O4407" s="208"/>
      <c r="P4407" s="218"/>
      <c r="Q4407" s="68"/>
      <c r="R4407" s="217"/>
      <c r="S4407" s="208"/>
    </row>
    <row r="4408" spans="1:25" ht="30" customHeight="1" thickBot="1" x14ac:dyDescent="0.4">
      <c r="A4408" s="489"/>
      <c r="B4408" s="490"/>
      <c r="C4408" s="490"/>
      <c r="D4408" s="490"/>
      <c r="E4408" s="490"/>
      <c r="F4408" s="490"/>
      <c r="G4408" s="490"/>
      <c r="H4408" s="490"/>
      <c r="I4408" s="490"/>
      <c r="J4408" s="490"/>
      <c r="K4408" s="490"/>
      <c r="L4408" s="491"/>
      <c r="O4408" s="203"/>
      <c r="P4408" s="218"/>
      <c r="Q4408" s="68"/>
      <c r="R4408" s="217"/>
    </row>
    <row r="4409" spans="1:25" s="208" customFormat="1" ht="30" customHeight="1" x14ac:dyDescent="0.35">
      <c r="A4409" s="465" t="s">
        <v>278</v>
      </c>
      <c r="B4409" s="539">
        <v>8526</v>
      </c>
      <c r="C4409" s="1036" t="s">
        <v>1894</v>
      </c>
      <c r="D4409" s="1037"/>
      <c r="E4409" s="541" t="s">
        <v>280</v>
      </c>
      <c r="F4409" s="542" t="s">
        <v>3</v>
      </c>
      <c r="G4409" s="543" t="s">
        <v>285</v>
      </c>
      <c r="H4409" s="555">
        <v>847</v>
      </c>
      <c r="I4409" s="541" t="s">
        <v>281</v>
      </c>
      <c r="J4409" s="1019" t="s">
        <v>2371</v>
      </c>
      <c r="K4409" s="1019"/>
      <c r="L4409" s="1020"/>
      <c r="M4409" s="57"/>
      <c r="N4409" s="13"/>
      <c r="O4409" s="203"/>
      <c r="P4409" s="218"/>
      <c r="Q4409" s="68"/>
      <c r="R4409" s="217"/>
      <c r="S4409" s="203"/>
      <c r="T4409" s="203"/>
      <c r="U4409" s="203"/>
      <c r="V4409" s="203"/>
      <c r="W4409" s="203"/>
      <c r="X4409" s="203"/>
      <c r="Y4409" s="203"/>
    </row>
    <row r="4410" spans="1:25" ht="30" customHeight="1" x14ac:dyDescent="0.35">
      <c r="A4410" s="588" t="s">
        <v>298</v>
      </c>
      <c r="B4410" s="1038" t="s">
        <v>321</v>
      </c>
      <c r="C4410" s="1039"/>
      <c r="D4410" s="1040"/>
      <c r="E4410" s="23" t="s">
        <v>290</v>
      </c>
      <c r="F4410" s="23" t="s">
        <v>322</v>
      </c>
      <c r="G4410" s="1034" t="s">
        <v>323</v>
      </c>
      <c r="H4410" s="1035"/>
      <c r="I4410" s="509" t="s">
        <v>299</v>
      </c>
      <c r="J4410" s="509"/>
      <c r="K4410" s="1012" t="s">
        <v>292</v>
      </c>
      <c r="L4410" s="1013"/>
      <c r="M4410" s="537"/>
      <c r="N4410" s="419"/>
      <c r="O4410" s="203"/>
      <c r="P4410" s="218"/>
      <c r="Q4410" s="68"/>
      <c r="R4410" s="217"/>
    </row>
    <row r="4411" spans="1:25" ht="30" customHeight="1" x14ac:dyDescent="0.35">
      <c r="A4411" s="241" t="s">
        <v>442</v>
      </c>
      <c r="B4411" s="1031" t="s">
        <v>1869</v>
      </c>
      <c r="C4411" s="1032"/>
      <c r="D4411" s="1033"/>
      <c r="E4411" s="38">
        <v>89</v>
      </c>
      <c r="F4411" s="309" t="s">
        <v>1870</v>
      </c>
      <c r="G4411" s="496">
        <v>35</v>
      </c>
      <c r="H4411" s="310" t="s">
        <v>1895</v>
      </c>
      <c r="I4411" s="446">
        <v>1.02</v>
      </c>
      <c r="J4411" s="446"/>
      <c r="K4411" s="311">
        <f>+E4411/G4411*I4411</f>
        <v>2.5937142857142854</v>
      </c>
      <c r="L4411" s="676" t="s">
        <v>3</v>
      </c>
      <c r="N4411" s="419"/>
      <c r="O4411" s="171"/>
      <c r="P4411" s="216"/>
      <c r="Q4411" s="419"/>
      <c r="R4411" s="219"/>
    </row>
    <row r="4412" spans="1:25" ht="30" customHeight="1" x14ac:dyDescent="0.35">
      <c r="A4412" s="241" t="s">
        <v>442</v>
      </c>
      <c r="B4412" s="1031" t="s">
        <v>1872</v>
      </c>
      <c r="C4412" s="1032"/>
      <c r="D4412" s="1033"/>
      <c r="E4412" s="40">
        <v>180</v>
      </c>
      <c r="F4412" s="309" t="s">
        <v>1870</v>
      </c>
      <c r="G4412" s="496">
        <v>35</v>
      </c>
      <c r="H4412" s="310" t="s">
        <v>1895</v>
      </c>
      <c r="I4412" s="446">
        <v>1.02</v>
      </c>
      <c r="J4412" s="446"/>
      <c r="K4412" s="311">
        <f>+E4412/G4412*I4412</f>
        <v>5.2457142857142864</v>
      </c>
      <c r="L4412" s="676" t="s">
        <v>3</v>
      </c>
      <c r="M4412" s="173"/>
      <c r="N4412" s="68"/>
      <c r="O4412" s="171"/>
      <c r="P4412" s="216"/>
      <c r="Q4412" s="419"/>
      <c r="R4412" s="219"/>
      <c r="T4412" s="51"/>
      <c r="U4412" s="171"/>
    </row>
    <row r="4413" spans="1:25" ht="45" customHeight="1" x14ac:dyDescent="0.35">
      <c r="A4413" s="241" t="s">
        <v>442</v>
      </c>
      <c r="B4413" s="458" t="s">
        <v>1896</v>
      </c>
      <c r="C4413" s="635"/>
      <c r="D4413" s="636"/>
      <c r="E4413" s="40">
        <v>780</v>
      </c>
      <c r="F4413" s="309" t="s">
        <v>1870</v>
      </c>
      <c r="G4413" s="496">
        <v>35</v>
      </c>
      <c r="H4413" s="310" t="s">
        <v>1895</v>
      </c>
      <c r="I4413" s="446">
        <v>1.02</v>
      </c>
      <c r="J4413" s="446"/>
      <c r="K4413" s="311">
        <f>+E4413/G4413*I4413</f>
        <v>22.73142857142857</v>
      </c>
      <c r="L4413" s="676" t="s">
        <v>3</v>
      </c>
      <c r="N4413" s="68"/>
      <c r="O4413" s="203"/>
      <c r="P4413" s="218"/>
      <c r="Q4413" s="68"/>
      <c r="R4413" s="217"/>
      <c r="T4413" s="51"/>
      <c r="U4413" s="171"/>
    </row>
    <row r="4414" spans="1:25" ht="30" customHeight="1" x14ac:dyDescent="0.35">
      <c r="A4414" s="603"/>
      <c r="B4414" s="1102" t="s">
        <v>1897</v>
      </c>
      <c r="C4414" s="1102"/>
      <c r="D4414" s="1102"/>
      <c r="E4414" s="453"/>
      <c r="F4414" s="446"/>
      <c r="G4414" s="1175" t="s">
        <v>2602</v>
      </c>
      <c r="H4414" s="1176"/>
      <c r="I4414" s="655"/>
      <c r="J4414" s="446" t="s">
        <v>335</v>
      </c>
      <c r="K4414" s="959">
        <f>SUM(K4411:K4413)</f>
        <v>30.570857142857143</v>
      </c>
      <c r="L4414" s="243" t="s">
        <v>3</v>
      </c>
      <c r="M4414" s="51"/>
      <c r="N4414" s="68"/>
      <c r="P4414" s="171"/>
      <c r="Q4414" s="171"/>
      <c r="R4414" s="171"/>
      <c r="S4414" s="51"/>
      <c r="T4414" s="51"/>
      <c r="U4414" s="171"/>
    </row>
    <row r="4415" spans="1:25" ht="30" customHeight="1" x14ac:dyDescent="0.35">
      <c r="A4415" s="241"/>
      <c r="B4415" s="506"/>
      <c r="C4415" s="506"/>
      <c r="D4415" s="506"/>
      <c r="E4415" s="453"/>
      <c r="F4415" s="1029" t="s">
        <v>302</v>
      </c>
      <c r="G4415" s="1058" t="s">
        <v>303</v>
      </c>
      <c r="H4415" s="1058"/>
      <c r="I4415" s="1058"/>
      <c r="J4415" s="1058"/>
      <c r="K4415" s="612">
        <v>1.07</v>
      </c>
      <c r="L4415" s="243"/>
      <c r="M4415" s="51"/>
      <c r="N4415" s="68"/>
      <c r="P4415" s="171"/>
      <c r="Q4415" s="171"/>
      <c r="R4415" s="171"/>
      <c r="S4415" s="51"/>
      <c r="T4415" s="213"/>
      <c r="U4415" s="75"/>
      <c r="V4415" s="208"/>
      <c r="W4415" s="208"/>
      <c r="X4415" s="208"/>
    </row>
    <row r="4416" spans="1:25" ht="30" customHeight="1" x14ac:dyDescent="0.35">
      <c r="A4416" s="241"/>
      <c r="B4416" s="506"/>
      <c r="C4416" s="506"/>
      <c r="D4416" s="506"/>
      <c r="E4416" s="453"/>
      <c r="F4416" s="1030"/>
      <c r="G4416" s="1073" t="s">
        <v>2374</v>
      </c>
      <c r="H4416" s="1073"/>
      <c r="I4416" s="1073"/>
      <c r="J4416" s="1073"/>
      <c r="K4416" s="612">
        <v>1.08</v>
      </c>
      <c r="L4416" s="243"/>
      <c r="N4416" s="68"/>
      <c r="P4416" s="171"/>
      <c r="Q4416" s="171"/>
      <c r="R4416" s="171"/>
      <c r="S4416" s="51"/>
      <c r="T4416" s="51"/>
      <c r="U4416" s="171"/>
      <c r="Y4416" s="208"/>
    </row>
    <row r="4417" spans="1:25" ht="30" customHeight="1" x14ac:dyDescent="0.35">
      <c r="A4417" s="603"/>
      <c r="B4417" s="1175"/>
      <c r="C4417" s="1176"/>
      <c r="D4417" s="1177"/>
      <c r="E4417" s="458"/>
      <c r="F4417" s="458"/>
      <c r="G4417" s="458"/>
      <c r="H4417" s="458"/>
      <c r="I4417" s="458"/>
      <c r="J4417" s="446" t="s">
        <v>2356</v>
      </c>
      <c r="K4417" s="959">
        <f>+K4414*K4415/K4416</f>
        <v>30.287793650793652</v>
      </c>
      <c r="L4417" s="243" t="s">
        <v>3</v>
      </c>
      <c r="N4417" s="68"/>
      <c r="P4417" s="75"/>
      <c r="Q4417" s="75"/>
      <c r="R4417" s="75"/>
      <c r="S4417" s="213"/>
      <c r="T4417" s="51"/>
      <c r="U4417" s="171"/>
    </row>
    <row r="4418" spans="1:25" ht="30" customHeight="1" x14ac:dyDescent="0.35">
      <c r="A4418" s="603"/>
      <c r="B4418" s="548"/>
      <c r="C4418" s="579"/>
      <c r="D4418" s="579"/>
      <c r="E4418" s="458"/>
      <c r="F4418" s="458"/>
      <c r="G4418" s="613" t="s">
        <v>2359</v>
      </c>
      <c r="H4418" s="458"/>
      <c r="I4418" s="458"/>
      <c r="J4418" s="960">
        <f>VLOOKUP(B4409,'Mil Cost Premiums for PUCs'!$A$4:$R$272,18,FALSE)</f>
        <v>1.0905505199999999</v>
      </c>
      <c r="K4418" s="959">
        <f>+K4417*J4418</f>
        <v>33.030369115525708</v>
      </c>
      <c r="L4418" s="243" t="s">
        <v>3</v>
      </c>
      <c r="N4418" s="68"/>
      <c r="P4418" s="171"/>
      <c r="Q4418" s="171"/>
      <c r="R4418" s="171"/>
      <c r="S4418" s="51"/>
      <c r="T4418" s="51"/>
      <c r="U4418" s="171"/>
    </row>
    <row r="4419" spans="1:25" s="208" customFormat="1" ht="60" customHeight="1" x14ac:dyDescent="0.35">
      <c r="A4419" s="1064" t="s">
        <v>305</v>
      </c>
      <c r="B4419" s="1065"/>
      <c r="C4419" s="1065"/>
      <c r="D4419" s="1065"/>
      <c r="E4419" s="1065"/>
      <c r="F4419" s="1065"/>
      <c r="G4419" s="1065"/>
      <c r="H4419" s="1065"/>
      <c r="I4419" s="1065"/>
      <c r="J4419" s="1065"/>
      <c r="K4419" s="1065"/>
      <c r="L4419" s="1066"/>
      <c r="M4419" s="538"/>
      <c r="N4419" s="68"/>
      <c r="O4419" s="205"/>
      <c r="P4419" s="171"/>
      <c r="Q4419" s="171"/>
      <c r="R4419" s="171"/>
      <c r="S4419" s="51"/>
      <c r="T4419" s="51"/>
      <c r="U4419" s="171"/>
      <c r="V4419" s="203"/>
      <c r="W4419" s="203"/>
      <c r="X4419" s="203"/>
      <c r="Y4419" s="203"/>
    </row>
    <row r="4420" spans="1:25" ht="30" customHeight="1" x14ac:dyDescent="0.35">
      <c r="A4420" s="1077" t="s">
        <v>306</v>
      </c>
      <c r="B4420" s="1042"/>
      <c r="C4420" s="1043"/>
      <c r="D4420" s="1067" t="s">
        <v>1898</v>
      </c>
      <c r="E4420" s="1065"/>
      <c r="F4420" s="1065"/>
      <c r="G4420" s="1065"/>
      <c r="H4420" s="1065"/>
      <c r="I4420" s="1065"/>
      <c r="J4420" s="1065"/>
      <c r="K4420" s="1065"/>
      <c r="L4420" s="1066"/>
      <c r="M4420" s="538"/>
      <c r="N4420" s="419"/>
      <c r="P4420" s="171"/>
      <c r="Q4420" s="171"/>
      <c r="R4420" s="171"/>
      <c r="S4420" s="51"/>
      <c r="T4420" s="51"/>
      <c r="U4420" s="171"/>
    </row>
    <row r="4421" spans="1:25" ht="30" customHeight="1" x14ac:dyDescent="0.35">
      <c r="A4421" s="1077" t="s">
        <v>307</v>
      </c>
      <c r="B4421" s="1042"/>
      <c r="C4421" s="1043"/>
      <c r="D4421" s="1067" t="s">
        <v>1899</v>
      </c>
      <c r="E4421" s="1065"/>
      <c r="F4421" s="1065"/>
      <c r="G4421" s="1065"/>
      <c r="H4421" s="1065"/>
      <c r="I4421" s="1065"/>
      <c r="J4421" s="1065"/>
      <c r="K4421" s="1065"/>
      <c r="L4421" s="1066"/>
      <c r="N4421" s="419"/>
      <c r="P4421" s="171"/>
      <c r="Q4421" s="171"/>
      <c r="R4421" s="171"/>
      <c r="S4421" s="51"/>
      <c r="T4421" s="51"/>
      <c r="U4421" s="171"/>
    </row>
    <row r="4422" spans="1:25" ht="30" customHeight="1" x14ac:dyDescent="0.35">
      <c r="A4422" s="1077" t="s">
        <v>308</v>
      </c>
      <c r="B4422" s="1042"/>
      <c r="C4422" s="1043"/>
      <c r="D4422" s="1067" t="s">
        <v>2473</v>
      </c>
      <c r="E4422" s="1065"/>
      <c r="F4422" s="1065"/>
      <c r="G4422" s="1065"/>
      <c r="H4422" s="1065"/>
      <c r="I4422" s="1065"/>
      <c r="J4422" s="1065"/>
      <c r="K4422" s="1065"/>
      <c r="L4422" s="1066"/>
      <c r="N4422" s="68"/>
      <c r="P4422" s="171"/>
      <c r="Q4422" s="171"/>
      <c r="R4422" s="171"/>
      <c r="S4422" s="51"/>
      <c r="T4422" s="51"/>
      <c r="U4422" s="171"/>
    </row>
    <row r="4423" spans="1:25" ht="35.25" customHeight="1" x14ac:dyDescent="0.35">
      <c r="A4423" s="1077" t="s">
        <v>309</v>
      </c>
      <c r="B4423" s="1042"/>
      <c r="C4423" s="1043"/>
      <c r="D4423" s="1067" t="s">
        <v>1900</v>
      </c>
      <c r="E4423" s="1065"/>
      <c r="F4423" s="1065"/>
      <c r="G4423" s="1065"/>
      <c r="H4423" s="1065"/>
      <c r="I4423" s="1065"/>
      <c r="J4423" s="1065"/>
      <c r="K4423" s="1065"/>
      <c r="L4423" s="1066"/>
      <c r="N4423" s="68"/>
      <c r="P4423" s="171"/>
      <c r="Q4423" s="171"/>
      <c r="R4423" s="171"/>
      <c r="S4423" s="51"/>
      <c r="T4423" s="51"/>
      <c r="U4423" s="171"/>
    </row>
    <row r="4424" spans="1:25" ht="30" customHeight="1" x14ac:dyDescent="0.35">
      <c r="A4424" s="1077" t="s">
        <v>311</v>
      </c>
      <c r="B4424" s="1042"/>
      <c r="C4424" s="1043"/>
      <c r="D4424" s="1067" t="s">
        <v>2323</v>
      </c>
      <c r="E4424" s="1065"/>
      <c r="F4424" s="1065"/>
      <c r="G4424" s="1065"/>
      <c r="H4424" s="1065"/>
      <c r="I4424" s="1065"/>
      <c r="J4424" s="1065"/>
      <c r="K4424" s="1065"/>
      <c r="L4424" s="1066"/>
      <c r="N4424" s="68"/>
      <c r="P4424" s="171"/>
      <c r="Q4424" s="171"/>
      <c r="R4424" s="171"/>
      <c r="S4424" s="51"/>
      <c r="T4424" s="51"/>
      <c r="U4424" s="171"/>
    </row>
    <row r="4425" spans="1:25" ht="30" customHeight="1" x14ac:dyDescent="0.35">
      <c r="A4425" s="1077" t="s">
        <v>313</v>
      </c>
      <c r="B4425" s="1042"/>
      <c r="C4425" s="1043"/>
      <c r="D4425" s="1067" t="s">
        <v>1682</v>
      </c>
      <c r="E4425" s="1065"/>
      <c r="F4425" s="1065"/>
      <c r="G4425" s="1065"/>
      <c r="H4425" s="1065"/>
      <c r="I4425" s="1065"/>
      <c r="J4425" s="1065"/>
      <c r="K4425" s="1065"/>
      <c r="L4425" s="1066"/>
      <c r="O4425" s="220"/>
      <c r="P4425" s="171"/>
      <c r="Q4425" s="171"/>
      <c r="R4425" s="171"/>
      <c r="S4425" s="51"/>
      <c r="T4425" s="51"/>
      <c r="U4425" s="171"/>
    </row>
    <row r="4426" spans="1:25" ht="30" customHeight="1" x14ac:dyDescent="0.35">
      <c r="A4426" s="1077" t="s">
        <v>315</v>
      </c>
      <c r="B4426" s="1042"/>
      <c r="C4426" s="1043"/>
      <c r="D4426" s="1067" t="s">
        <v>1901</v>
      </c>
      <c r="E4426" s="1065"/>
      <c r="F4426" s="1065"/>
      <c r="G4426" s="1065"/>
      <c r="H4426" s="1065"/>
      <c r="I4426" s="1065"/>
      <c r="J4426" s="1065"/>
      <c r="K4426" s="1065"/>
      <c r="L4426" s="1066"/>
      <c r="N4426" s="208"/>
      <c r="P4426" s="171"/>
      <c r="Q4426" s="171"/>
      <c r="R4426" s="171"/>
      <c r="S4426" s="51"/>
      <c r="T4426" s="51"/>
      <c r="U4426" s="171"/>
    </row>
    <row r="4427" spans="1:25" ht="30" customHeight="1" x14ac:dyDescent="0.35">
      <c r="A4427" s="1077" t="s">
        <v>316</v>
      </c>
      <c r="B4427" s="1042"/>
      <c r="C4427" s="1043"/>
      <c r="D4427" s="1067" t="s">
        <v>317</v>
      </c>
      <c r="E4427" s="1065"/>
      <c r="F4427" s="1065"/>
      <c r="G4427" s="1065"/>
      <c r="H4427" s="1065"/>
      <c r="I4427" s="1065"/>
      <c r="J4427" s="1065"/>
      <c r="K4427" s="1065"/>
      <c r="L4427" s="1066"/>
      <c r="M4427" s="51"/>
      <c r="N4427" s="208"/>
      <c r="P4427" s="171"/>
      <c r="Q4427" s="171"/>
      <c r="R4427" s="171"/>
      <c r="S4427" s="51"/>
      <c r="T4427" s="51"/>
      <c r="U4427" s="171"/>
    </row>
    <row r="4428" spans="1:25" ht="60" customHeight="1" thickBot="1" x14ac:dyDescent="0.4">
      <c r="A4428" s="1078" t="s">
        <v>318</v>
      </c>
      <c r="B4428" s="1079"/>
      <c r="C4428" s="1080"/>
      <c r="D4428" s="1068" t="s">
        <v>2282</v>
      </c>
      <c r="E4428" s="1069"/>
      <c r="F4428" s="1069"/>
      <c r="G4428" s="1069"/>
      <c r="H4428" s="1069"/>
      <c r="I4428" s="1069"/>
      <c r="J4428" s="1069"/>
      <c r="K4428" s="1069"/>
      <c r="L4428" s="1070"/>
      <c r="M4428" s="536"/>
      <c r="N4428" s="208"/>
      <c r="P4428" s="171"/>
      <c r="Q4428" s="171"/>
      <c r="R4428" s="171"/>
      <c r="S4428" s="51"/>
    </row>
    <row r="4429" spans="1:25" ht="30" customHeight="1" thickBot="1" x14ac:dyDescent="0.4">
      <c r="A4429" s="489"/>
      <c r="B4429" s="490"/>
      <c r="C4429" s="490"/>
      <c r="D4429" s="490"/>
      <c r="E4429" s="490"/>
      <c r="F4429" s="490"/>
      <c r="G4429" s="490"/>
      <c r="H4429" s="490"/>
      <c r="I4429" s="490"/>
      <c r="J4429" s="490"/>
      <c r="K4429" s="490"/>
      <c r="L4429" s="491"/>
      <c r="M4429" s="368"/>
      <c r="N4429" s="210"/>
      <c r="P4429" s="171"/>
      <c r="Q4429" s="171"/>
      <c r="R4429" s="171"/>
      <c r="S4429" s="51"/>
    </row>
    <row r="4430" spans="1:25" ht="30" customHeight="1" x14ac:dyDescent="0.35">
      <c r="A4430" s="465" t="s">
        <v>278</v>
      </c>
      <c r="B4430" s="539">
        <v>8531</v>
      </c>
      <c r="C4430" s="1060" t="s">
        <v>1902</v>
      </c>
      <c r="D4430" s="1061"/>
      <c r="E4430" s="541" t="s">
        <v>280</v>
      </c>
      <c r="F4430" s="542" t="s">
        <v>8</v>
      </c>
      <c r="G4430" s="543" t="s">
        <v>285</v>
      </c>
      <c r="H4430" s="437">
        <v>90927</v>
      </c>
      <c r="I4430" s="541" t="s">
        <v>281</v>
      </c>
      <c r="J4430" s="1019" t="s">
        <v>2823</v>
      </c>
      <c r="K4430" s="1019"/>
      <c r="L4430" s="1020"/>
      <c r="N4430" s="421"/>
    </row>
    <row r="4431" spans="1:25" ht="30" customHeight="1" x14ac:dyDescent="0.35">
      <c r="A4431" s="545" t="s">
        <v>288</v>
      </c>
      <c r="B4431" s="1051" t="s">
        <v>282</v>
      </c>
      <c r="C4431" s="1051"/>
      <c r="D4431" s="1051"/>
      <c r="E4431" s="530" t="s">
        <v>289</v>
      </c>
      <c r="F4431" s="561" t="s">
        <v>290</v>
      </c>
      <c r="G4431" s="509"/>
      <c r="H4431" s="509"/>
      <c r="I4431" s="1052" t="s">
        <v>405</v>
      </c>
      <c r="J4431" s="1053"/>
      <c r="K4431" s="1012" t="s">
        <v>292</v>
      </c>
      <c r="L4431" s="1013"/>
    </row>
    <row r="4432" spans="1:25" ht="30" customHeight="1" x14ac:dyDescent="0.35">
      <c r="A4432" s="562" t="s">
        <v>293</v>
      </c>
      <c r="B4432" s="1057" t="s">
        <v>1902</v>
      </c>
      <c r="C4432" s="1057"/>
      <c r="D4432" s="1057"/>
      <c r="E4432" s="563">
        <v>180000</v>
      </c>
      <c r="F4432" s="444">
        <v>53</v>
      </c>
      <c r="G4432" s="442"/>
      <c r="H4432" s="17"/>
      <c r="I4432" s="1044" t="s">
        <v>2824</v>
      </c>
      <c r="J4432" s="1045"/>
      <c r="K4432" s="444">
        <f>+F4432</f>
        <v>53</v>
      </c>
      <c r="L4432" s="564" t="s">
        <v>8</v>
      </c>
      <c r="O4432" s="203"/>
      <c r="P4432" s="218"/>
      <c r="Q4432" s="68"/>
      <c r="R4432" s="217"/>
    </row>
    <row r="4433" spans="1:25" ht="30" customHeight="1" thickBot="1" x14ac:dyDescent="0.4">
      <c r="A4433" s="241"/>
      <c r="B4433" s="1059"/>
      <c r="C4433" s="1059"/>
      <c r="D4433" s="1059"/>
      <c r="E4433" s="565"/>
      <c r="F4433" s="566"/>
      <c r="G4433" s="566"/>
      <c r="H4433" s="567"/>
      <c r="I4433" s="458"/>
      <c r="J4433" s="510" t="s">
        <v>2356</v>
      </c>
      <c r="K4433" s="585">
        <f>+K4432</f>
        <v>53</v>
      </c>
      <c r="L4433" s="243" t="s">
        <v>8</v>
      </c>
      <c r="M4433" s="173"/>
      <c r="O4433" s="203"/>
      <c r="P4433" s="218"/>
      <c r="Q4433" s="68"/>
      <c r="R4433" s="217"/>
      <c r="T4433" s="208"/>
      <c r="U4433" s="208"/>
      <c r="V4433" s="208"/>
      <c r="W4433" s="208"/>
      <c r="X4433" s="208"/>
    </row>
    <row r="4434" spans="1:25" ht="30" customHeight="1" thickBot="1" x14ac:dyDescent="0.4">
      <c r="A4434" s="481"/>
      <c r="B4434" s="482"/>
      <c r="C4434" s="482"/>
      <c r="D4434" s="482"/>
      <c r="E4434" s="482"/>
      <c r="F4434" s="482"/>
      <c r="G4434" s="482"/>
      <c r="H4434" s="482"/>
      <c r="I4434" s="482"/>
      <c r="J4434" s="482"/>
      <c r="K4434" s="482"/>
      <c r="L4434" s="483"/>
      <c r="O4434" s="203"/>
      <c r="P4434" s="218"/>
      <c r="Q4434" s="68"/>
      <c r="R4434" s="217"/>
      <c r="Y4434" s="208"/>
    </row>
    <row r="4435" spans="1:25" ht="30" customHeight="1" x14ac:dyDescent="0.35">
      <c r="A4435" s="465" t="s">
        <v>278</v>
      </c>
      <c r="B4435" s="539">
        <v>8541</v>
      </c>
      <c r="C4435" s="1060" t="s">
        <v>1903</v>
      </c>
      <c r="D4435" s="1061"/>
      <c r="E4435" s="541" t="s">
        <v>280</v>
      </c>
      <c r="F4435" s="542" t="s">
        <v>10</v>
      </c>
      <c r="G4435" s="553" t="s">
        <v>279</v>
      </c>
      <c r="H4435" s="875">
        <v>1</v>
      </c>
      <c r="I4435" s="541" t="s">
        <v>281</v>
      </c>
      <c r="J4435" s="1019" t="s">
        <v>1904</v>
      </c>
      <c r="K4435" s="1019"/>
      <c r="L4435" s="1020"/>
      <c r="O4435" s="208"/>
      <c r="P4435" s="218"/>
      <c r="Q4435" s="68"/>
      <c r="R4435" s="217"/>
      <c r="S4435" s="208"/>
    </row>
    <row r="4436" spans="1:25" ht="30" customHeight="1" x14ac:dyDescent="0.35">
      <c r="A4436" s="545"/>
      <c r="B4436" s="1051" t="s">
        <v>282</v>
      </c>
      <c r="C4436" s="1051"/>
      <c r="D4436" s="1051"/>
      <c r="E4436" s="509" t="s">
        <v>478</v>
      </c>
      <c r="F4436" s="530" t="s">
        <v>2</v>
      </c>
      <c r="G4436" s="75"/>
      <c r="H4436" s="509" t="s">
        <v>327</v>
      </c>
      <c r="I4436" s="1052" t="s">
        <v>2162</v>
      </c>
      <c r="J4436" s="1053"/>
      <c r="K4436" s="1012" t="s">
        <v>292</v>
      </c>
      <c r="L4436" s="1013"/>
      <c r="O4436" s="203"/>
      <c r="P4436" s="218"/>
      <c r="Q4436" s="68"/>
      <c r="R4436" s="217"/>
    </row>
    <row r="4437" spans="1:25" s="208" customFormat="1" ht="30" customHeight="1" x14ac:dyDescent="0.35">
      <c r="A4437" s="546"/>
      <c r="B4437" s="1054" t="s">
        <v>1903</v>
      </c>
      <c r="C4437" s="1054"/>
      <c r="D4437" s="1054"/>
      <c r="E4437" s="696"/>
      <c r="F4437" s="434" t="s">
        <v>1905</v>
      </c>
      <c r="G4437" s="961"/>
      <c r="H4437" s="962"/>
      <c r="I4437" s="1055"/>
      <c r="J4437" s="1056"/>
      <c r="K4437" s="696"/>
      <c r="L4437" s="698"/>
      <c r="M4437" s="51"/>
      <c r="N4437" s="203"/>
      <c r="O4437" s="203"/>
      <c r="P4437" s="218"/>
      <c r="Q4437" s="68"/>
      <c r="R4437" s="217"/>
      <c r="S4437" s="203"/>
      <c r="T4437" s="203"/>
      <c r="U4437" s="203"/>
      <c r="V4437" s="203"/>
      <c r="W4437" s="203"/>
      <c r="X4437" s="203"/>
      <c r="Y4437" s="203"/>
    </row>
    <row r="4438" spans="1:25" ht="30" customHeight="1" x14ac:dyDescent="0.35">
      <c r="A4438" s="546"/>
      <c r="B4438" s="1041" t="s">
        <v>1906</v>
      </c>
      <c r="C4438" s="1042"/>
      <c r="D4438" s="1043"/>
      <c r="E4438" s="841">
        <v>454500</v>
      </c>
      <c r="F4438" s="436">
        <v>1</v>
      </c>
      <c r="G4438" s="458"/>
      <c r="H4438" s="697">
        <v>0.94199999999999995</v>
      </c>
      <c r="I4438" s="1044">
        <f>+'2021 MILCON Inflation Table'!F12</f>
        <v>1.2088959491660047</v>
      </c>
      <c r="J4438" s="1045"/>
      <c r="K4438" s="696">
        <f t="shared" ref="K4438:K4447" si="80">+E4438/H4438*I4438</f>
        <v>583273.0455371011</v>
      </c>
      <c r="L4438" s="698" t="s">
        <v>10</v>
      </c>
      <c r="M4438" s="51"/>
      <c r="O4438" s="203"/>
      <c r="P4438" s="218"/>
      <c r="Q4438" s="68"/>
      <c r="R4438" s="217"/>
    </row>
    <row r="4439" spans="1:25" ht="30" customHeight="1" x14ac:dyDescent="0.35">
      <c r="A4439" s="546"/>
      <c r="B4439" s="1046" t="s">
        <v>1907</v>
      </c>
      <c r="C4439" s="1047"/>
      <c r="D4439" s="1048"/>
      <c r="E4439" s="841">
        <v>321986</v>
      </c>
      <c r="F4439" s="436">
        <v>1</v>
      </c>
      <c r="G4439" s="458"/>
      <c r="H4439" s="963">
        <v>1.02</v>
      </c>
      <c r="I4439" s="1044">
        <f>+'2021 MILCON Inflation Table'!F12</f>
        <v>1.2088959491660047</v>
      </c>
      <c r="J4439" s="1045"/>
      <c r="K4439" s="696">
        <f t="shared" si="80"/>
        <v>381615.26577271096</v>
      </c>
      <c r="L4439" s="698" t="s">
        <v>10</v>
      </c>
      <c r="O4439" s="203"/>
      <c r="P4439" s="218"/>
      <c r="Q4439" s="68"/>
      <c r="R4439" s="217"/>
    </row>
    <row r="4440" spans="1:25" ht="30" customHeight="1" x14ac:dyDescent="0.35">
      <c r="A4440" s="546"/>
      <c r="B4440" s="1041" t="s">
        <v>1908</v>
      </c>
      <c r="C4440" s="1042"/>
      <c r="D4440" s="1043"/>
      <c r="E4440" s="841">
        <v>261930.52</v>
      </c>
      <c r="F4440" s="436">
        <v>1</v>
      </c>
      <c r="G4440" s="458"/>
      <c r="H4440" s="697">
        <v>0.92</v>
      </c>
      <c r="I4440" s="1044">
        <f>+'2021 MILCON Inflation Table'!F13</f>
        <v>1.1643998639918394</v>
      </c>
      <c r="J4440" s="1045"/>
      <c r="K4440" s="696">
        <f t="shared" si="80"/>
        <v>331512.89332968666</v>
      </c>
      <c r="L4440" s="698" t="s">
        <v>10</v>
      </c>
      <c r="O4440" s="203"/>
      <c r="P4440" s="218"/>
      <c r="Q4440" s="68"/>
      <c r="R4440" s="217"/>
    </row>
    <row r="4441" spans="1:25" ht="30" customHeight="1" x14ac:dyDescent="0.35">
      <c r="A4441" s="546"/>
      <c r="B4441" s="1041" t="s">
        <v>1909</v>
      </c>
      <c r="C4441" s="1042"/>
      <c r="D4441" s="1043"/>
      <c r="E4441" s="841">
        <f>97749+116267+14434</f>
        <v>228450</v>
      </c>
      <c r="F4441" s="436">
        <v>1</v>
      </c>
      <c r="G4441" s="458"/>
      <c r="H4441" s="697">
        <v>1.08</v>
      </c>
      <c r="I4441" s="1044">
        <f>+'2021 MILCON Inflation Table'!F13</f>
        <v>1.1643998639918394</v>
      </c>
      <c r="J4441" s="1045"/>
      <c r="K4441" s="696">
        <f t="shared" si="80"/>
        <v>246302.91567494045</v>
      </c>
      <c r="L4441" s="698" t="s">
        <v>10</v>
      </c>
      <c r="O4441" s="203"/>
      <c r="P4441" s="218"/>
      <c r="Q4441" s="68"/>
      <c r="R4441" s="217"/>
    </row>
    <row r="4442" spans="1:25" ht="30" customHeight="1" x14ac:dyDescent="0.35">
      <c r="A4442" s="546"/>
      <c r="B4442" s="1041" t="s">
        <v>1910</v>
      </c>
      <c r="C4442" s="1042"/>
      <c r="D4442" s="1043"/>
      <c r="E4442" s="841">
        <v>361780</v>
      </c>
      <c r="F4442" s="436">
        <v>1</v>
      </c>
      <c r="G4442" s="458"/>
      <c r="H4442" s="697">
        <v>1.04</v>
      </c>
      <c r="I4442" s="1044">
        <f>+'2021 MILCON Inflation Table'!F12</f>
        <v>1.2088959491660047</v>
      </c>
      <c r="J4442" s="1045"/>
      <c r="K4442" s="696">
        <f t="shared" si="80"/>
        <v>420533.05431661272</v>
      </c>
      <c r="L4442" s="698" t="s">
        <v>10</v>
      </c>
      <c r="O4442" s="203"/>
      <c r="P4442" s="218"/>
      <c r="Q4442" s="68"/>
      <c r="R4442" s="217"/>
    </row>
    <row r="4443" spans="1:25" ht="30" customHeight="1" x14ac:dyDescent="0.35">
      <c r="A4443" s="546"/>
      <c r="B4443" s="1041" t="s">
        <v>1911</v>
      </c>
      <c r="C4443" s="1042"/>
      <c r="D4443" s="1043"/>
      <c r="E4443" s="841">
        <v>246698</v>
      </c>
      <c r="F4443" s="436">
        <v>1</v>
      </c>
      <c r="G4443" s="458"/>
      <c r="H4443" s="963">
        <v>0.9</v>
      </c>
      <c r="I4443" s="1044">
        <f>+'2021 MILCON Inflation Table'!F11</f>
        <v>1.2580822924320352</v>
      </c>
      <c r="J4443" s="1045"/>
      <c r="K4443" s="696">
        <f t="shared" si="80"/>
        <v>344851.53930933133</v>
      </c>
      <c r="L4443" s="698" t="s">
        <v>10</v>
      </c>
      <c r="M4443" s="173"/>
      <c r="N4443" s="68"/>
      <c r="O4443" s="171"/>
      <c r="P4443" s="216"/>
      <c r="Q4443" s="419"/>
      <c r="R4443" s="219"/>
    </row>
    <row r="4444" spans="1:25" ht="30" customHeight="1" x14ac:dyDescent="0.35">
      <c r="A4444" s="546"/>
      <c r="B4444" s="1041" t="s">
        <v>1912</v>
      </c>
      <c r="C4444" s="1042"/>
      <c r="D4444" s="1043"/>
      <c r="E4444" s="841">
        <v>185433</v>
      </c>
      <c r="F4444" s="436">
        <v>1</v>
      </c>
      <c r="G4444" s="458"/>
      <c r="H4444" s="697">
        <v>0.86</v>
      </c>
      <c r="I4444" s="1044">
        <f>+'2021 MILCON Inflation Table'!F13</f>
        <v>1.1643998639918394</v>
      </c>
      <c r="J4444" s="1045"/>
      <c r="K4444" s="696">
        <f t="shared" si="80"/>
        <v>251067.62788325435</v>
      </c>
      <c r="L4444" s="698" t="s">
        <v>10</v>
      </c>
      <c r="N4444" s="68"/>
      <c r="O4444" s="171"/>
      <c r="P4444" s="216"/>
      <c r="Q4444" s="419"/>
      <c r="R4444" s="219"/>
    </row>
    <row r="4445" spans="1:25" ht="30" customHeight="1" x14ac:dyDescent="0.35">
      <c r="A4445" s="546"/>
      <c r="B4445" s="1041" t="s">
        <v>1913</v>
      </c>
      <c r="C4445" s="1042"/>
      <c r="D4445" s="1043"/>
      <c r="E4445" s="841">
        <v>276576</v>
      </c>
      <c r="F4445" s="436">
        <v>1</v>
      </c>
      <c r="G4445" s="458"/>
      <c r="H4445" s="697">
        <v>1.1200000000000001</v>
      </c>
      <c r="I4445" s="1044">
        <f>+'2021 MILCON Inflation Table'!F11</f>
        <v>1.2580822924320352</v>
      </c>
      <c r="J4445" s="1045"/>
      <c r="K4445" s="696">
        <f t="shared" si="80"/>
        <v>310674.4358140023</v>
      </c>
      <c r="L4445" s="698" t="s">
        <v>10</v>
      </c>
      <c r="O4445" s="203"/>
      <c r="P4445" s="218"/>
      <c r="Q4445" s="68"/>
      <c r="R4445" s="217"/>
    </row>
    <row r="4446" spans="1:25" ht="30" customHeight="1" x14ac:dyDescent="0.35">
      <c r="A4446" s="546"/>
      <c r="B4446" s="1041" t="s">
        <v>1914</v>
      </c>
      <c r="C4446" s="1042"/>
      <c r="D4446" s="1043"/>
      <c r="E4446" s="841">
        <v>208000</v>
      </c>
      <c r="F4446" s="436">
        <v>1</v>
      </c>
      <c r="G4446" s="458"/>
      <c r="H4446" s="697">
        <v>1.02</v>
      </c>
      <c r="I4446" s="1044">
        <f>+'2021 MILCON Inflation Table'!F13</f>
        <v>1.1643998639918394</v>
      </c>
      <c r="J4446" s="1045"/>
      <c r="K4446" s="696">
        <f t="shared" si="80"/>
        <v>237446.24677480644</v>
      </c>
      <c r="L4446" s="698" t="s">
        <v>10</v>
      </c>
      <c r="N4446" s="68"/>
      <c r="O4446" s="203"/>
      <c r="P4446" s="218"/>
      <c r="Q4446" s="68"/>
      <c r="R4446" s="217"/>
    </row>
    <row r="4447" spans="1:25" ht="30" customHeight="1" x14ac:dyDescent="0.35">
      <c r="A4447" s="546"/>
      <c r="B4447" s="1041" t="s">
        <v>1915</v>
      </c>
      <c r="C4447" s="1042"/>
      <c r="D4447" s="1043"/>
      <c r="E4447" s="841">
        <v>280707</v>
      </c>
      <c r="F4447" s="436">
        <v>1</v>
      </c>
      <c r="G4447" s="458"/>
      <c r="H4447" s="697">
        <v>1.02</v>
      </c>
      <c r="I4447" s="1044">
        <f>+'2021 MILCON Inflation Table'!F13</f>
        <v>1.1643998639918394</v>
      </c>
      <c r="J4447" s="1045"/>
      <c r="K4447" s="696">
        <f t="shared" si="80"/>
        <v>320446.26727603655</v>
      </c>
      <c r="L4447" s="698" t="s">
        <v>10</v>
      </c>
      <c r="N4447" s="164"/>
      <c r="O4447" s="203"/>
      <c r="P4447" s="218"/>
      <c r="Q4447" s="68"/>
      <c r="R4447" s="217"/>
      <c r="T4447" s="208"/>
      <c r="U4447" s="208"/>
      <c r="V4447" s="208"/>
      <c r="W4447" s="208"/>
      <c r="X4447" s="208"/>
    </row>
    <row r="4448" spans="1:25" ht="30" customHeight="1" x14ac:dyDescent="0.35">
      <c r="A4448" s="241"/>
      <c r="B4448" s="964"/>
      <c r="C4448" s="506"/>
      <c r="D4448" s="506"/>
      <c r="E4448" s="435"/>
      <c r="F4448" s="436"/>
      <c r="G4448" s="591"/>
      <c r="H4448" s="458" t="s">
        <v>1916</v>
      </c>
      <c r="I4448" s="458"/>
      <c r="J4448" s="697"/>
      <c r="K4448" s="459">
        <f>AVERAGE(K4438:K4447)</f>
        <v>342772.32916884834</v>
      </c>
      <c r="L4448" s="698" t="s">
        <v>10</v>
      </c>
      <c r="N4448" s="68"/>
      <c r="O4448" s="203"/>
      <c r="P4448" s="218"/>
      <c r="Q4448" s="68"/>
      <c r="R4448" s="217"/>
      <c r="Y4448" s="208"/>
    </row>
    <row r="4449" spans="1:25" ht="30" customHeight="1" thickBot="1" x14ac:dyDescent="0.4">
      <c r="A4449" s="241"/>
      <c r="B4449" s="1109"/>
      <c r="C4449" s="1110"/>
      <c r="D4449" s="1110"/>
      <c r="E4449" s="1110"/>
      <c r="F4449" s="1110"/>
      <c r="G4449" s="171"/>
      <c r="H4449" s="761"/>
      <c r="I4449" s="753" t="s">
        <v>2359</v>
      </c>
      <c r="J4449" s="583">
        <f>VLOOKUP(B4435,'Mil Cost Premiums for PUCs'!$A$4:$R$272,18,FALSE)</f>
        <v>1.0905505199999999</v>
      </c>
      <c r="K4449" s="459">
        <f>+K4448*J4449</f>
        <v>373810.54181669868</v>
      </c>
      <c r="L4449" s="243" t="s">
        <v>10</v>
      </c>
      <c r="N4449" s="68"/>
      <c r="O4449" s="208"/>
      <c r="P4449" s="218"/>
      <c r="Q4449" s="68"/>
      <c r="R4449" s="217"/>
      <c r="S4449" s="208"/>
    </row>
    <row r="4450" spans="1:25" ht="30" customHeight="1" thickBot="1" x14ac:dyDescent="0.4">
      <c r="A4450" s="489"/>
      <c r="B4450" s="490"/>
      <c r="C4450" s="490"/>
      <c r="D4450" s="490"/>
      <c r="E4450" s="490"/>
      <c r="F4450" s="490"/>
      <c r="G4450" s="490"/>
      <c r="H4450" s="490"/>
      <c r="I4450" s="490"/>
      <c r="J4450" s="490"/>
      <c r="K4450" s="490"/>
      <c r="L4450" s="491"/>
      <c r="N4450" s="68"/>
      <c r="O4450" s="203"/>
      <c r="P4450" s="218"/>
      <c r="Q4450" s="68"/>
      <c r="R4450" s="217"/>
    </row>
    <row r="4451" spans="1:25" s="208" customFormat="1" ht="30" customHeight="1" x14ac:dyDescent="0.35">
      <c r="A4451" s="465" t="s">
        <v>278</v>
      </c>
      <c r="B4451" s="539">
        <v>8601</v>
      </c>
      <c r="C4451" s="1017" t="s">
        <v>1917</v>
      </c>
      <c r="D4451" s="1018"/>
      <c r="E4451" s="541" t="s">
        <v>280</v>
      </c>
      <c r="F4451" s="542" t="s">
        <v>13</v>
      </c>
      <c r="G4451" s="543" t="s">
        <v>285</v>
      </c>
      <c r="H4451" s="922">
        <v>4.8</v>
      </c>
      <c r="I4451" s="541" t="s">
        <v>281</v>
      </c>
      <c r="J4451" s="1019" t="s">
        <v>2371</v>
      </c>
      <c r="K4451" s="1019"/>
      <c r="L4451" s="1020"/>
      <c r="M4451" s="57"/>
      <c r="N4451" s="68"/>
      <c r="O4451" s="203"/>
      <c r="P4451" s="218"/>
      <c r="Q4451" s="68"/>
      <c r="R4451" s="217"/>
      <c r="S4451" s="203"/>
      <c r="T4451" s="203"/>
      <c r="U4451" s="203"/>
      <c r="V4451" s="203"/>
      <c r="W4451" s="203"/>
      <c r="X4451" s="203"/>
      <c r="Y4451" s="203"/>
    </row>
    <row r="4452" spans="1:25" ht="30" customHeight="1" x14ac:dyDescent="0.35">
      <c r="A4452" s="588" t="s">
        <v>298</v>
      </c>
      <c r="B4452" s="1038" t="s">
        <v>321</v>
      </c>
      <c r="C4452" s="1039"/>
      <c r="D4452" s="1040"/>
      <c r="E4452" s="23" t="s">
        <v>290</v>
      </c>
      <c r="F4452" s="23" t="s">
        <v>322</v>
      </c>
      <c r="G4452" s="1034" t="s">
        <v>323</v>
      </c>
      <c r="H4452" s="1035"/>
      <c r="I4452" s="509" t="s">
        <v>299</v>
      </c>
      <c r="J4452" s="509"/>
      <c r="K4452" s="595" t="s">
        <v>292</v>
      </c>
      <c r="L4452" s="739"/>
      <c r="N4452" s="419"/>
      <c r="O4452" s="203"/>
      <c r="P4452" s="218"/>
      <c r="Q4452" s="68"/>
      <c r="R4452" s="217"/>
    </row>
    <row r="4453" spans="1:25" ht="30" customHeight="1" x14ac:dyDescent="0.35">
      <c r="A4453" s="241" t="s">
        <v>442</v>
      </c>
      <c r="B4453" s="1082" t="s">
        <v>1918</v>
      </c>
      <c r="C4453" s="1083"/>
      <c r="D4453" s="1093"/>
      <c r="E4453" s="40">
        <v>152</v>
      </c>
      <c r="F4453" s="3" t="s">
        <v>6</v>
      </c>
      <c r="G4453" s="80">
        <v>5280</v>
      </c>
      <c r="H4453" s="70" t="s">
        <v>1919</v>
      </c>
      <c r="I4453" s="446">
        <v>1.05</v>
      </c>
      <c r="J4453" s="3"/>
      <c r="K4453" s="591">
        <f>+E4453*G4453*I4453</f>
        <v>842688</v>
      </c>
      <c r="L4453" s="676" t="s">
        <v>13</v>
      </c>
      <c r="N4453" s="419"/>
      <c r="O4453" s="203"/>
      <c r="P4453" s="218"/>
      <c r="Q4453" s="68"/>
      <c r="R4453" s="217"/>
    </row>
    <row r="4454" spans="1:25" ht="30" customHeight="1" x14ac:dyDescent="0.35">
      <c r="A4454" s="717"/>
      <c r="B4454" s="1031" t="s">
        <v>1920</v>
      </c>
      <c r="C4454" s="1032"/>
      <c r="D4454" s="1033"/>
      <c r="E4454" s="453"/>
      <c r="F4454" s="446"/>
      <c r="G4454" s="446"/>
      <c r="H4454" s="446"/>
      <c r="I4454" s="446"/>
      <c r="J4454" s="446"/>
      <c r="K4454" s="453">
        <f>+K4453*0.75</f>
        <v>632016</v>
      </c>
      <c r="L4454" s="243" t="s">
        <v>13</v>
      </c>
      <c r="N4454" s="68"/>
      <c r="O4454" s="203"/>
      <c r="P4454" s="218"/>
      <c r="Q4454" s="68"/>
      <c r="R4454" s="217"/>
    </row>
    <row r="4455" spans="1:25" ht="30" customHeight="1" x14ac:dyDescent="0.35">
      <c r="A4455" s="241"/>
      <c r="B4455" s="506"/>
      <c r="C4455" s="506"/>
      <c r="D4455" s="506"/>
      <c r="E4455" s="453"/>
      <c r="F4455" s="1029" t="s">
        <v>302</v>
      </c>
      <c r="G4455" s="1058" t="s">
        <v>303</v>
      </c>
      <c r="H4455" s="1058"/>
      <c r="I4455" s="1058"/>
      <c r="J4455" s="1058"/>
      <c r="K4455" s="612">
        <v>1.07</v>
      </c>
      <c r="L4455" s="243"/>
      <c r="M4455" s="367"/>
      <c r="N4455" s="68"/>
      <c r="O4455" s="203"/>
      <c r="P4455" s="218"/>
      <c r="Q4455" s="68"/>
      <c r="R4455" s="217"/>
    </row>
    <row r="4456" spans="1:25" ht="30" customHeight="1" x14ac:dyDescent="0.35">
      <c r="A4456" s="241"/>
      <c r="B4456" s="506"/>
      <c r="C4456" s="506"/>
      <c r="D4456" s="506"/>
      <c r="E4456" s="453"/>
      <c r="F4456" s="1030"/>
      <c r="G4456" s="1073" t="s">
        <v>2374</v>
      </c>
      <c r="H4456" s="1073"/>
      <c r="I4456" s="1073"/>
      <c r="J4456" s="1073"/>
      <c r="K4456" s="612">
        <v>1.08</v>
      </c>
      <c r="L4456" s="243"/>
      <c r="N4456" s="68"/>
      <c r="O4456" s="203"/>
      <c r="P4456" s="218"/>
      <c r="Q4456" s="68"/>
      <c r="R4456" s="217"/>
      <c r="T4456" s="208"/>
      <c r="U4456" s="208"/>
      <c r="V4456" s="208"/>
      <c r="W4456" s="208"/>
      <c r="X4456" s="208"/>
    </row>
    <row r="4457" spans="1:25" ht="30" customHeight="1" x14ac:dyDescent="0.35">
      <c r="A4457" s="241"/>
      <c r="B4457" s="446"/>
      <c r="C4457" s="458"/>
      <c r="D4457" s="458"/>
      <c r="E4457" s="458"/>
      <c r="F4457" s="458"/>
      <c r="G4457" s="458"/>
      <c r="H4457" s="458"/>
      <c r="I4457" s="458"/>
      <c r="J4457" s="446" t="s">
        <v>2356</v>
      </c>
      <c r="K4457" s="591">
        <f>+K4454*K4455/K4456</f>
        <v>626164</v>
      </c>
      <c r="L4457" s="243" t="s">
        <v>13</v>
      </c>
      <c r="N4457" s="68"/>
      <c r="O4457" s="203"/>
      <c r="P4457" s="218"/>
      <c r="Q4457" s="68"/>
      <c r="R4457" s="217"/>
      <c r="Y4457" s="208"/>
    </row>
    <row r="4458" spans="1:25" ht="30" customHeight="1" thickBot="1" x14ac:dyDescent="0.4">
      <c r="A4458" s="241"/>
      <c r="B4458" s="446"/>
      <c r="C4458" s="458"/>
      <c r="D4458" s="458"/>
      <c r="E4458" s="458"/>
      <c r="F4458" s="458"/>
      <c r="G4458" s="592" t="s">
        <v>2358</v>
      </c>
      <c r="H4458" s="458"/>
      <c r="I4458" s="458"/>
      <c r="J4458" s="583">
        <f>VLOOKUP(B4451,'Mil Cost Premiums for PUCs'!$A$4:$R$272,18,FALSE)</f>
        <v>1.1199953840399997</v>
      </c>
      <c r="K4458" s="591">
        <f>+K4457*J4458</f>
        <v>701300.7896520223</v>
      </c>
      <c r="L4458" s="243" t="s">
        <v>13</v>
      </c>
      <c r="N4458" s="68"/>
      <c r="O4458" s="208"/>
      <c r="P4458" s="218"/>
      <c r="Q4458" s="68"/>
      <c r="R4458" s="217"/>
      <c r="S4458" s="208"/>
    </row>
    <row r="4459" spans="1:25" ht="30" customHeight="1" thickBot="1" x14ac:dyDescent="0.4">
      <c r="A4459" s="481"/>
      <c r="B4459" s="482"/>
      <c r="C4459" s="482"/>
      <c r="D4459" s="482"/>
      <c r="E4459" s="482"/>
      <c r="F4459" s="482"/>
      <c r="G4459" s="482"/>
      <c r="H4459" s="482"/>
      <c r="I4459" s="482"/>
      <c r="J4459" s="482"/>
      <c r="K4459" s="482"/>
      <c r="L4459" s="483"/>
      <c r="N4459" s="68"/>
      <c r="O4459" s="203"/>
      <c r="P4459" s="218"/>
      <c r="Q4459" s="68"/>
      <c r="R4459" s="217"/>
    </row>
    <row r="4460" spans="1:25" s="208" customFormat="1" ht="30" customHeight="1" x14ac:dyDescent="0.35">
      <c r="A4460" s="467" t="s">
        <v>278</v>
      </c>
      <c r="B4460" s="502">
        <v>8611</v>
      </c>
      <c r="C4460" s="1049" t="s">
        <v>2822</v>
      </c>
      <c r="D4460" s="1050"/>
      <c r="E4460" s="396" t="s">
        <v>280</v>
      </c>
      <c r="F4460" s="67" t="s">
        <v>6</v>
      </c>
      <c r="G4460" s="543" t="s">
        <v>285</v>
      </c>
      <c r="H4460" s="151">
        <v>209</v>
      </c>
      <c r="I4460" s="396" t="s">
        <v>281</v>
      </c>
      <c r="J4460" s="1185" t="s">
        <v>3149</v>
      </c>
      <c r="K4460" s="1185"/>
      <c r="L4460" s="1186"/>
      <c r="M4460" s="57"/>
      <c r="N4460" s="68"/>
      <c r="O4460" s="203"/>
      <c r="P4460" s="218"/>
      <c r="Q4460" s="68"/>
      <c r="R4460" s="217"/>
      <c r="S4460" s="203"/>
      <c r="T4460" s="203"/>
      <c r="U4460" s="203"/>
      <c r="V4460" s="203"/>
      <c r="W4460" s="203"/>
      <c r="X4460" s="203"/>
      <c r="Y4460" s="203"/>
    </row>
    <row r="4461" spans="1:25" ht="30" customHeight="1" x14ac:dyDescent="0.35">
      <c r="A4461" s="545"/>
      <c r="B4461" s="1021" t="s">
        <v>2921</v>
      </c>
      <c r="C4461" s="1021"/>
      <c r="D4461" s="1021"/>
      <c r="E4461" s="509" t="s">
        <v>290</v>
      </c>
      <c r="F4461" s="509" t="s">
        <v>322</v>
      </c>
      <c r="G4461" s="1034" t="s">
        <v>323</v>
      </c>
      <c r="H4461" s="1035"/>
      <c r="I4461" s="509" t="s">
        <v>327</v>
      </c>
      <c r="J4461" s="509" t="s">
        <v>419</v>
      </c>
      <c r="K4461" s="1012" t="s">
        <v>2356</v>
      </c>
      <c r="L4461" s="1013"/>
      <c r="M4461" s="173"/>
      <c r="N4461" s="68"/>
      <c r="O4461" s="203"/>
      <c r="P4461" s="218"/>
      <c r="Q4461" s="68"/>
      <c r="R4461" s="217"/>
    </row>
    <row r="4462" spans="1:25" ht="30" customHeight="1" thickBot="1" x14ac:dyDescent="0.4">
      <c r="A4462" s="546"/>
      <c r="B4462" s="1014">
        <v>12934.95</v>
      </c>
      <c r="C4462" s="1014"/>
      <c r="D4462" s="1014"/>
      <c r="E4462" s="547"/>
      <c r="F4462" s="548"/>
      <c r="G4462" s="1015"/>
      <c r="H4462" s="1016"/>
      <c r="I4462" s="549"/>
      <c r="J4462" s="550">
        <v>1.0202</v>
      </c>
      <c r="K4462" s="551">
        <f>B4462*J4462</f>
        <v>13196.235990000001</v>
      </c>
      <c r="L4462" s="552" t="s">
        <v>6</v>
      </c>
      <c r="N4462" s="68"/>
      <c r="O4462" s="203"/>
      <c r="P4462" s="218"/>
      <c r="Q4462" s="68"/>
      <c r="R4462" s="217"/>
    </row>
    <row r="4463" spans="1:25" ht="30" customHeight="1" thickBot="1" x14ac:dyDescent="0.4">
      <c r="A4463" s="481"/>
      <c r="B4463" s="482"/>
      <c r="C4463" s="482"/>
      <c r="D4463" s="482"/>
      <c r="E4463" s="482"/>
      <c r="F4463" s="482"/>
      <c r="G4463" s="482"/>
      <c r="H4463" s="482"/>
      <c r="I4463" s="482"/>
      <c r="J4463" s="482"/>
      <c r="K4463" s="482"/>
      <c r="L4463" s="483"/>
      <c r="N4463" s="68"/>
      <c r="O4463" s="203"/>
      <c r="P4463" s="218"/>
      <c r="Q4463" s="68"/>
      <c r="R4463" s="217"/>
    </row>
    <row r="4464" spans="1:25" ht="30" customHeight="1" x14ac:dyDescent="0.35">
      <c r="A4464" s="467" t="s">
        <v>278</v>
      </c>
      <c r="B4464" s="502">
        <v>8612</v>
      </c>
      <c r="C4464" s="1049" t="s">
        <v>1921</v>
      </c>
      <c r="D4464" s="1050"/>
      <c r="E4464" s="396" t="s">
        <v>280</v>
      </c>
      <c r="F4464" s="67" t="s">
        <v>10</v>
      </c>
      <c r="G4464" s="150" t="s">
        <v>279</v>
      </c>
      <c r="H4464" s="151">
        <v>1</v>
      </c>
      <c r="I4464" s="396" t="s">
        <v>281</v>
      </c>
      <c r="J4464" s="1185" t="s">
        <v>2371</v>
      </c>
      <c r="K4464" s="1185"/>
      <c r="L4464" s="1186"/>
      <c r="M4464" s="537"/>
      <c r="N4464" s="68"/>
      <c r="O4464" s="203"/>
      <c r="P4464" s="218"/>
      <c r="Q4464" s="68"/>
      <c r="R4464" s="217"/>
    </row>
    <row r="4465" spans="1:25" ht="30" customHeight="1" x14ac:dyDescent="0.35">
      <c r="A4465" s="588" t="s">
        <v>298</v>
      </c>
      <c r="B4465" s="1038" t="s">
        <v>321</v>
      </c>
      <c r="C4465" s="1039"/>
      <c r="D4465" s="1040"/>
      <c r="E4465" s="23" t="s">
        <v>290</v>
      </c>
      <c r="F4465" s="23" t="s">
        <v>322</v>
      </c>
      <c r="G4465" s="1034" t="s">
        <v>323</v>
      </c>
      <c r="H4465" s="1035"/>
      <c r="I4465" s="509" t="s">
        <v>299</v>
      </c>
      <c r="J4465" s="509"/>
      <c r="K4465" s="1012" t="s">
        <v>292</v>
      </c>
      <c r="L4465" s="1013"/>
      <c r="N4465" s="68"/>
      <c r="O4465" s="203"/>
      <c r="P4465" s="218"/>
      <c r="Q4465" s="68"/>
      <c r="R4465" s="217"/>
    </row>
    <row r="4466" spans="1:25" ht="30" customHeight="1" x14ac:dyDescent="0.35">
      <c r="A4466" s="241" t="s">
        <v>1922</v>
      </c>
      <c r="B4466" s="1082" t="s">
        <v>1923</v>
      </c>
      <c r="C4466" s="1083"/>
      <c r="D4466" s="1093"/>
      <c r="E4466" s="40">
        <v>129000</v>
      </c>
      <c r="F4466" s="3" t="s">
        <v>10</v>
      </c>
      <c r="G4466" s="80"/>
      <c r="H4466" s="498"/>
      <c r="I4466" s="665">
        <v>1.03</v>
      </c>
      <c r="J4466" s="3"/>
      <c r="K4466" s="591">
        <f>+E4466*I4466</f>
        <v>132870</v>
      </c>
      <c r="L4466" s="676" t="s">
        <v>10</v>
      </c>
      <c r="N4466" s="68"/>
      <c r="O4466" s="203"/>
      <c r="P4466" s="218"/>
      <c r="Q4466" s="68"/>
      <c r="R4466" s="217"/>
    </row>
    <row r="4467" spans="1:25" ht="30" customHeight="1" x14ac:dyDescent="0.35">
      <c r="A4467" s="241"/>
      <c r="B4467" s="506"/>
      <c r="C4467" s="506"/>
      <c r="D4467" s="506"/>
      <c r="E4467" s="453"/>
      <c r="F4467" s="1029" t="s">
        <v>302</v>
      </c>
      <c r="G4467" s="1058" t="s">
        <v>303</v>
      </c>
      <c r="H4467" s="1058"/>
      <c r="I4467" s="1058"/>
      <c r="J4467" s="1058"/>
      <c r="K4467" s="612">
        <v>1.07</v>
      </c>
      <c r="L4467" s="243"/>
      <c r="N4467" s="68"/>
      <c r="O4467" s="171"/>
      <c r="P4467" s="216"/>
      <c r="Q4467" s="419"/>
      <c r="R4467" s="219"/>
    </row>
    <row r="4468" spans="1:25" ht="30" customHeight="1" x14ac:dyDescent="0.35">
      <c r="A4468" s="241"/>
      <c r="B4468" s="506"/>
      <c r="C4468" s="506"/>
      <c r="D4468" s="506"/>
      <c r="E4468" s="453"/>
      <c r="F4468" s="1030"/>
      <c r="G4468" s="1073" t="s">
        <v>2374</v>
      </c>
      <c r="H4468" s="1073"/>
      <c r="I4468" s="1073"/>
      <c r="J4468" s="1073"/>
      <c r="K4468" s="612">
        <v>1.08</v>
      </c>
      <c r="L4468" s="243"/>
      <c r="N4468" s="68"/>
      <c r="O4468" s="171"/>
      <c r="P4468" s="216"/>
      <c r="Q4468" s="419"/>
      <c r="R4468" s="219"/>
    </row>
    <row r="4469" spans="1:25" ht="30" customHeight="1" x14ac:dyDescent="0.35">
      <c r="A4469" s="717"/>
      <c r="B4469" s="604"/>
      <c r="C4469" s="605"/>
      <c r="D4469" s="606"/>
      <c r="E4469" s="453"/>
      <c r="F4469" s="3"/>
      <c r="G4469" s="639"/>
      <c r="H4469" s="659"/>
      <c r="I4469" s="446"/>
      <c r="J4469" s="446" t="s">
        <v>2356</v>
      </c>
      <c r="K4469" s="591">
        <f>+K4466*K4467/K4468</f>
        <v>131639.72222222222</v>
      </c>
      <c r="L4469" s="243" t="s">
        <v>10</v>
      </c>
      <c r="M4469" s="51"/>
      <c r="N4469" s="68"/>
      <c r="O4469" s="203"/>
      <c r="P4469" s="218"/>
      <c r="Q4469" s="68"/>
      <c r="R4469" s="217"/>
    </row>
    <row r="4470" spans="1:25" ht="30" customHeight="1" thickBot="1" x14ac:dyDescent="0.4">
      <c r="A4470" s="241"/>
      <c r="B4470" s="446"/>
      <c r="C4470" s="458"/>
      <c r="D4470" s="458"/>
      <c r="E4470" s="458"/>
      <c r="F4470" s="458"/>
      <c r="G4470" s="592" t="s">
        <v>2358</v>
      </c>
      <c r="H4470" s="458"/>
      <c r="I4470" s="458"/>
      <c r="J4470" s="583">
        <f>VLOOKUP(B4464,'Mil Cost Premiums for PUCs'!$A$4:$R$272,18,FALSE)</f>
        <v>1.0905505199999999</v>
      </c>
      <c r="K4470" s="591">
        <f>+K4469*J4470</f>
        <v>143559.76752209998</v>
      </c>
      <c r="L4470" s="243" t="s">
        <v>10</v>
      </c>
      <c r="M4470" s="51"/>
      <c r="N4470" s="68"/>
      <c r="O4470" s="203"/>
      <c r="P4470" s="218"/>
      <c r="Q4470" s="68"/>
      <c r="R4470" s="217"/>
      <c r="T4470" s="205"/>
      <c r="U4470" s="205"/>
      <c r="V4470" s="205"/>
      <c r="W4470" s="205"/>
      <c r="X4470" s="205"/>
    </row>
    <row r="4471" spans="1:25" ht="30" customHeight="1" thickBot="1" x14ac:dyDescent="0.4">
      <c r="A4471" s="489"/>
      <c r="B4471" s="490"/>
      <c r="C4471" s="490"/>
      <c r="D4471" s="490"/>
      <c r="E4471" s="490"/>
      <c r="F4471" s="490"/>
      <c r="G4471" s="490"/>
      <c r="H4471" s="490"/>
      <c r="I4471" s="490"/>
      <c r="J4471" s="490"/>
      <c r="K4471" s="490"/>
      <c r="L4471" s="491"/>
      <c r="N4471" s="68"/>
      <c r="O4471" s="203"/>
      <c r="P4471" s="218"/>
      <c r="Q4471" s="68"/>
      <c r="R4471" s="217"/>
      <c r="Y4471" s="205"/>
    </row>
    <row r="4472" spans="1:25" ht="30" customHeight="1" x14ac:dyDescent="0.35">
      <c r="A4472" s="465" t="s">
        <v>278</v>
      </c>
      <c r="B4472" s="539">
        <v>8711</v>
      </c>
      <c r="C4472" s="1017" t="s">
        <v>1924</v>
      </c>
      <c r="D4472" s="1018"/>
      <c r="E4472" s="541" t="s">
        <v>280</v>
      </c>
      <c r="F4472" s="542" t="s">
        <v>6</v>
      </c>
      <c r="G4472" s="543" t="s">
        <v>285</v>
      </c>
      <c r="H4472" s="555">
        <v>13841</v>
      </c>
      <c r="I4472" s="541" t="s">
        <v>281</v>
      </c>
      <c r="J4472" s="1019" t="s">
        <v>2371</v>
      </c>
      <c r="K4472" s="1019"/>
      <c r="L4472" s="1020"/>
      <c r="N4472" s="68"/>
      <c r="P4472" s="254"/>
      <c r="Q4472" s="71"/>
      <c r="R4472" s="253"/>
      <c r="S4472" s="205"/>
    </row>
    <row r="4473" spans="1:25" ht="30" customHeight="1" x14ac:dyDescent="0.35">
      <c r="A4473" s="588" t="s">
        <v>298</v>
      </c>
      <c r="B4473" s="1038" t="s">
        <v>321</v>
      </c>
      <c r="C4473" s="1039"/>
      <c r="D4473" s="1040"/>
      <c r="E4473" s="23" t="s">
        <v>290</v>
      </c>
      <c r="F4473" s="23" t="s">
        <v>322</v>
      </c>
      <c r="G4473" s="1034" t="s">
        <v>323</v>
      </c>
      <c r="H4473" s="1035"/>
      <c r="I4473" s="509" t="s">
        <v>299</v>
      </c>
      <c r="J4473" s="509"/>
      <c r="K4473" s="1012" t="s">
        <v>292</v>
      </c>
      <c r="L4473" s="1013"/>
      <c r="N4473" s="68"/>
      <c r="O4473" s="203"/>
      <c r="P4473" s="218"/>
      <c r="Q4473" s="68"/>
      <c r="R4473" s="217"/>
    </row>
    <row r="4474" spans="1:25" s="205" customFormat="1" ht="30" customHeight="1" x14ac:dyDescent="0.35">
      <c r="A4474" s="241"/>
      <c r="B4474" s="1031" t="s">
        <v>1925</v>
      </c>
      <c r="C4474" s="1032"/>
      <c r="D4474" s="1033"/>
      <c r="E4474" s="38"/>
      <c r="F4474" s="3"/>
      <c r="G4474" s="496"/>
      <c r="H4474" s="498"/>
      <c r="I4474" s="446"/>
      <c r="J4474" s="446"/>
      <c r="K4474" s="41"/>
      <c r="L4474" s="676"/>
      <c r="M4474" s="57"/>
      <c r="N4474" s="68"/>
      <c r="O4474" s="203"/>
      <c r="P4474" s="218"/>
      <c r="Q4474" s="68"/>
      <c r="R4474" s="217"/>
      <c r="S4474" s="203"/>
      <c r="T4474" s="203"/>
      <c r="U4474" s="203"/>
      <c r="V4474" s="203"/>
      <c r="W4474" s="203"/>
      <c r="X4474" s="203"/>
      <c r="Y4474" s="203"/>
    </row>
    <row r="4475" spans="1:25" ht="30" customHeight="1" x14ac:dyDescent="0.35">
      <c r="A4475" s="241" t="s">
        <v>1926</v>
      </c>
      <c r="B4475" s="1031" t="s">
        <v>2474</v>
      </c>
      <c r="C4475" s="1032"/>
      <c r="D4475" s="1033"/>
      <c r="E4475" s="40">
        <v>17.47</v>
      </c>
      <c r="F4475" s="3" t="s">
        <v>6</v>
      </c>
      <c r="G4475" s="496"/>
      <c r="H4475" s="498"/>
      <c r="I4475" s="665">
        <v>1.04</v>
      </c>
      <c r="J4475" s="446"/>
      <c r="K4475" s="41">
        <f>+E4475*I4475</f>
        <v>18.168800000000001</v>
      </c>
      <c r="L4475" s="676" t="s">
        <v>6</v>
      </c>
      <c r="M4475" s="173"/>
      <c r="N4475" s="68"/>
      <c r="O4475" s="203"/>
      <c r="P4475" s="218"/>
      <c r="Q4475" s="68"/>
      <c r="R4475" s="217"/>
      <c r="S4475" s="208"/>
    </row>
    <row r="4476" spans="1:25" ht="30" customHeight="1" x14ac:dyDescent="0.35">
      <c r="A4476" s="241" t="s">
        <v>1926</v>
      </c>
      <c r="B4476" s="1031" t="s">
        <v>2475</v>
      </c>
      <c r="C4476" s="1032"/>
      <c r="D4476" s="1033"/>
      <c r="E4476" s="40">
        <v>20.18</v>
      </c>
      <c r="F4476" s="3" t="s">
        <v>6</v>
      </c>
      <c r="G4476" s="496"/>
      <c r="H4476" s="498"/>
      <c r="I4476" s="665">
        <v>1.04</v>
      </c>
      <c r="J4476" s="446"/>
      <c r="K4476" s="41">
        <f>+E4476*I4476</f>
        <v>20.987200000000001</v>
      </c>
      <c r="L4476" s="676" t="s">
        <v>6</v>
      </c>
      <c r="N4476" s="419"/>
      <c r="O4476" s="203"/>
      <c r="P4476" s="218"/>
      <c r="Q4476" s="68"/>
      <c r="R4476" s="217"/>
    </row>
    <row r="4477" spans="1:25" ht="30" customHeight="1" x14ac:dyDescent="0.35">
      <c r="A4477" s="241"/>
      <c r="B4477" s="516"/>
      <c r="C4477" s="570"/>
      <c r="D4477" s="571"/>
      <c r="E4477" s="40"/>
      <c r="F4477" s="3"/>
      <c r="G4477" s="496"/>
      <c r="H4477" s="498"/>
      <c r="I4477" s="446"/>
      <c r="J4477" s="548" t="s">
        <v>1927</v>
      </c>
      <c r="K4477" s="41">
        <f>AVERAGE(K4475:K4476)</f>
        <v>19.578000000000003</v>
      </c>
      <c r="L4477" s="676" t="s">
        <v>6</v>
      </c>
      <c r="N4477" s="419"/>
      <c r="O4477" s="203"/>
      <c r="P4477" s="218"/>
      <c r="Q4477" s="68"/>
      <c r="R4477" s="217"/>
    </row>
    <row r="4478" spans="1:25" ht="30" customHeight="1" x14ac:dyDescent="0.35">
      <c r="A4478" s="848" t="s">
        <v>331</v>
      </c>
      <c r="B4478" s="1031" t="s">
        <v>2283</v>
      </c>
      <c r="C4478" s="1032"/>
      <c r="D4478" s="1033"/>
      <c r="E4478" s="40">
        <v>7.63</v>
      </c>
      <c r="F4478" s="3" t="s">
        <v>6</v>
      </c>
      <c r="G4478" s="496"/>
      <c r="H4478" s="498"/>
      <c r="I4478" s="446">
        <v>1.05</v>
      </c>
      <c r="J4478" s="446"/>
      <c r="K4478" s="41">
        <f>+E4478*I4478</f>
        <v>8.0114999999999998</v>
      </c>
      <c r="L4478" s="676" t="s">
        <v>6</v>
      </c>
      <c r="N4478" s="68"/>
      <c r="O4478" s="203"/>
      <c r="P4478" s="218"/>
      <c r="Q4478" s="68"/>
      <c r="R4478" s="217"/>
    </row>
    <row r="4479" spans="1:25" ht="30" customHeight="1" x14ac:dyDescent="0.35">
      <c r="A4479" s="603"/>
      <c r="B4479" s="1102"/>
      <c r="C4479" s="1102"/>
      <c r="D4479" s="1102"/>
      <c r="E4479" s="453"/>
      <c r="F4479" s="446"/>
      <c r="G4479" s="446"/>
      <c r="H4479" s="446"/>
      <c r="I4479" s="446"/>
      <c r="J4479" s="446" t="s">
        <v>335</v>
      </c>
      <c r="K4479" s="679">
        <f>SUM(K4477:K4478)</f>
        <v>27.589500000000001</v>
      </c>
      <c r="L4479" s="243" t="s">
        <v>6</v>
      </c>
      <c r="N4479" s="68"/>
      <c r="O4479" s="203"/>
      <c r="P4479" s="218"/>
      <c r="Q4479" s="68"/>
      <c r="R4479" s="217"/>
    </row>
    <row r="4480" spans="1:25" ht="30" customHeight="1" x14ac:dyDescent="0.35">
      <c r="A4480" s="241"/>
      <c r="B4480" s="506"/>
      <c r="C4480" s="506"/>
      <c r="D4480" s="506"/>
      <c r="E4480" s="453"/>
      <c r="F4480" s="1029" t="s">
        <v>302</v>
      </c>
      <c r="G4480" s="1058" t="s">
        <v>303</v>
      </c>
      <c r="H4480" s="1058"/>
      <c r="I4480" s="1058"/>
      <c r="J4480" s="1058"/>
      <c r="K4480" s="612">
        <v>1.07</v>
      </c>
      <c r="L4480" s="243"/>
      <c r="M4480" s="368"/>
      <c r="N4480" s="68"/>
      <c r="O4480" s="203"/>
      <c r="P4480" s="218"/>
      <c r="Q4480" s="68"/>
      <c r="R4480" s="217"/>
    </row>
    <row r="4481" spans="1:25" ht="30" customHeight="1" x14ac:dyDescent="0.35">
      <c r="A4481" s="241"/>
      <c r="B4481" s="506"/>
      <c r="C4481" s="506"/>
      <c r="D4481" s="506"/>
      <c r="E4481" s="453"/>
      <c r="F4481" s="1030"/>
      <c r="G4481" s="1073" t="s">
        <v>2374</v>
      </c>
      <c r="H4481" s="1073"/>
      <c r="I4481" s="1073"/>
      <c r="J4481" s="1073"/>
      <c r="K4481" s="612">
        <v>1.08</v>
      </c>
      <c r="L4481" s="243"/>
      <c r="N4481" s="68"/>
      <c r="O4481" s="203"/>
      <c r="P4481" s="218"/>
      <c r="Q4481" s="68"/>
      <c r="R4481" s="217"/>
    </row>
    <row r="4482" spans="1:25" ht="30" customHeight="1" x14ac:dyDescent="0.35">
      <c r="A4482" s="603"/>
      <c r="B4482" s="446"/>
      <c r="C4482" s="458"/>
      <c r="D4482" s="458"/>
      <c r="E4482" s="458"/>
      <c r="F4482" s="458"/>
      <c r="G4482" s="458"/>
      <c r="H4482" s="458"/>
      <c r="I4482" s="458"/>
      <c r="J4482" s="446" t="s">
        <v>2356</v>
      </c>
      <c r="K4482" s="591">
        <f>+K4479*K4480/K4481</f>
        <v>27.334041666666668</v>
      </c>
      <c r="L4482" s="243" t="s">
        <v>6</v>
      </c>
      <c r="N4482" s="68"/>
      <c r="O4482" s="203"/>
      <c r="P4482" s="218"/>
      <c r="Q4482" s="68"/>
      <c r="R4482" s="217"/>
    </row>
    <row r="4483" spans="1:25" ht="30" customHeight="1" thickBot="1" x14ac:dyDescent="0.4">
      <c r="A4483" s="241"/>
      <c r="B4483" s="446"/>
      <c r="C4483" s="458"/>
      <c r="D4483" s="458"/>
      <c r="E4483" s="458"/>
      <c r="F4483" s="458"/>
      <c r="G4483" s="592" t="s">
        <v>2358</v>
      </c>
      <c r="H4483" s="458"/>
      <c r="I4483" s="458"/>
      <c r="J4483" s="583">
        <f>VLOOKUP(B4472,'Mil Cost Premiums for PUCs'!$A$4:$R$272,18,FALSE)</f>
        <v>1.0905505199999999</v>
      </c>
      <c r="K4483" s="591">
        <f>+K4482*J4483</f>
        <v>29.809153353284998</v>
      </c>
      <c r="L4483" s="243" t="s">
        <v>6</v>
      </c>
      <c r="N4483" s="71"/>
      <c r="O4483" s="203"/>
      <c r="P4483" s="218"/>
      <c r="Q4483" s="68"/>
      <c r="R4483" s="217"/>
      <c r="T4483" s="208"/>
      <c r="U4483" s="208"/>
      <c r="V4483" s="208"/>
      <c r="W4483" s="208"/>
      <c r="X4483" s="208"/>
    </row>
    <row r="4484" spans="1:25" ht="30" customHeight="1" thickBot="1" x14ac:dyDescent="0.4">
      <c r="A4484" s="489"/>
      <c r="B4484" s="490"/>
      <c r="C4484" s="490"/>
      <c r="D4484" s="490"/>
      <c r="E4484" s="490"/>
      <c r="F4484" s="490"/>
      <c r="G4484" s="490"/>
      <c r="H4484" s="490"/>
      <c r="I4484" s="490"/>
      <c r="J4484" s="490"/>
      <c r="K4484" s="490"/>
      <c r="L4484" s="491"/>
      <c r="N4484" s="68"/>
      <c r="O4484" s="203"/>
      <c r="P4484" s="218"/>
      <c r="Q4484" s="68"/>
      <c r="R4484" s="217"/>
      <c r="Y4484" s="208"/>
    </row>
    <row r="4485" spans="1:25" ht="30" customHeight="1" x14ac:dyDescent="0.35">
      <c r="A4485" s="465" t="s">
        <v>278</v>
      </c>
      <c r="B4485" s="539">
        <v>8712</v>
      </c>
      <c r="C4485" s="1017" t="s">
        <v>1928</v>
      </c>
      <c r="D4485" s="1018"/>
      <c r="E4485" s="541" t="s">
        <v>280</v>
      </c>
      <c r="F4485" s="542" t="s">
        <v>6</v>
      </c>
      <c r="G4485" s="543" t="s">
        <v>285</v>
      </c>
      <c r="H4485" s="875">
        <v>919</v>
      </c>
      <c r="I4485" s="541" t="s">
        <v>281</v>
      </c>
      <c r="J4485" s="1019" t="s">
        <v>2371</v>
      </c>
      <c r="K4485" s="1019"/>
      <c r="L4485" s="1020"/>
      <c r="N4485" s="68"/>
      <c r="O4485" s="208"/>
      <c r="P4485" s="218"/>
      <c r="Q4485" s="68"/>
      <c r="R4485" s="217"/>
      <c r="S4485" s="208"/>
    </row>
    <row r="4486" spans="1:25" ht="30" customHeight="1" x14ac:dyDescent="0.35">
      <c r="A4486" s="588" t="s">
        <v>298</v>
      </c>
      <c r="B4486" s="1038" t="s">
        <v>321</v>
      </c>
      <c r="C4486" s="1039"/>
      <c r="D4486" s="1040"/>
      <c r="E4486" s="23" t="s">
        <v>290</v>
      </c>
      <c r="F4486" s="23" t="s">
        <v>322</v>
      </c>
      <c r="G4486" s="1034" t="s">
        <v>323</v>
      </c>
      <c r="H4486" s="1035"/>
      <c r="I4486" s="509" t="s">
        <v>299</v>
      </c>
      <c r="J4486" s="509"/>
      <c r="K4486" s="1012" t="s">
        <v>292</v>
      </c>
      <c r="L4486" s="1013"/>
      <c r="M4486" s="173"/>
      <c r="N4486" s="68"/>
      <c r="O4486" s="203"/>
      <c r="P4486" s="218"/>
      <c r="Q4486" s="68"/>
      <c r="R4486" s="217"/>
    </row>
    <row r="4487" spans="1:25" s="208" customFormat="1" ht="30" customHeight="1" x14ac:dyDescent="0.35">
      <c r="A4487" s="241" t="s">
        <v>449</v>
      </c>
      <c r="B4487" s="1082" t="s">
        <v>2285</v>
      </c>
      <c r="C4487" s="1083"/>
      <c r="D4487" s="1093"/>
      <c r="E4487" s="40">
        <v>15.05</v>
      </c>
      <c r="F4487" s="3" t="s">
        <v>8</v>
      </c>
      <c r="G4487" s="80">
        <v>8</v>
      </c>
      <c r="H4487" s="498" t="s">
        <v>1867</v>
      </c>
      <c r="I4487" s="665">
        <v>1.05</v>
      </c>
      <c r="J4487" s="3"/>
      <c r="K4487" s="591">
        <f>+E4487*G4487*I4487</f>
        <v>126.42000000000002</v>
      </c>
      <c r="L4487" s="676" t="s">
        <v>6</v>
      </c>
      <c r="M4487" s="57"/>
      <c r="N4487" s="68"/>
      <c r="O4487" s="203"/>
      <c r="P4487" s="218"/>
      <c r="Q4487" s="68"/>
      <c r="R4487" s="217"/>
      <c r="S4487" s="203"/>
      <c r="T4487" s="203"/>
      <c r="U4487" s="203"/>
      <c r="V4487" s="203"/>
      <c r="W4487" s="203"/>
      <c r="X4487" s="203"/>
      <c r="Y4487" s="203"/>
    </row>
    <row r="4488" spans="1:25" ht="30" customHeight="1" x14ac:dyDescent="0.35">
      <c r="A4488" s="717"/>
      <c r="B4488" s="1031" t="s">
        <v>1929</v>
      </c>
      <c r="C4488" s="1032"/>
      <c r="D4488" s="1033"/>
      <c r="E4488" s="453"/>
      <c r="F4488" s="3"/>
      <c r="G4488" s="639"/>
      <c r="H4488" s="659"/>
      <c r="I4488" s="446"/>
      <c r="J4488" s="446"/>
      <c r="K4488" s="453">
        <f>+K4487*2</f>
        <v>252.84000000000003</v>
      </c>
      <c r="L4488" s="243" t="s">
        <v>6</v>
      </c>
      <c r="N4488" s="68"/>
      <c r="O4488" s="203"/>
      <c r="P4488" s="218"/>
      <c r="Q4488" s="68"/>
      <c r="R4488" s="217"/>
    </row>
    <row r="4489" spans="1:25" ht="30" customHeight="1" x14ac:dyDescent="0.35">
      <c r="A4489" s="717"/>
      <c r="B4489" s="1031" t="s">
        <v>2284</v>
      </c>
      <c r="C4489" s="1032"/>
      <c r="D4489" s="1033"/>
      <c r="E4489" s="453"/>
      <c r="F4489" s="446"/>
      <c r="G4489" s="446"/>
      <c r="H4489" s="446"/>
      <c r="I4489" s="446"/>
      <c r="J4489" s="446"/>
      <c r="K4489" s="453"/>
      <c r="L4489" s="243"/>
      <c r="N4489" s="68"/>
      <c r="O4489" s="203"/>
      <c r="P4489" s="218"/>
      <c r="Q4489" s="68"/>
      <c r="R4489" s="217"/>
    </row>
    <row r="4490" spans="1:25" ht="30" customHeight="1" x14ac:dyDescent="0.35">
      <c r="A4490" s="241"/>
      <c r="B4490" s="506"/>
      <c r="C4490" s="506"/>
      <c r="D4490" s="506"/>
      <c r="E4490" s="453"/>
      <c r="F4490" s="1029" t="s">
        <v>302</v>
      </c>
      <c r="G4490" s="1058" t="s">
        <v>303</v>
      </c>
      <c r="H4490" s="1058"/>
      <c r="I4490" s="1058"/>
      <c r="J4490" s="1058"/>
      <c r="K4490" s="612">
        <v>1.07</v>
      </c>
      <c r="L4490" s="243"/>
      <c r="N4490" s="68"/>
      <c r="O4490" s="203"/>
      <c r="P4490" s="218"/>
      <c r="Q4490" s="68"/>
      <c r="R4490" s="217"/>
    </row>
    <row r="4491" spans="1:25" ht="30" customHeight="1" x14ac:dyDescent="0.35">
      <c r="A4491" s="241"/>
      <c r="B4491" s="506"/>
      <c r="C4491" s="506"/>
      <c r="D4491" s="506"/>
      <c r="E4491" s="453"/>
      <c r="F4491" s="1030"/>
      <c r="G4491" s="1073" t="s">
        <v>2374</v>
      </c>
      <c r="H4491" s="1073"/>
      <c r="I4491" s="1073"/>
      <c r="J4491" s="1073"/>
      <c r="K4491" s="612">
        <v>1.08</v>
      </c>
      <c r="L4491" s="243"/>
      <c r="N4491" s="68"/>
      <c r="O4491" s="203"/>
      <c r="P4491" s="218"/>
      <c r="Q4491" s="68"/>
      <c r="R4491" s="217"/>
    </row>
    <row r="4492" spans="1:25" ht="30" customHeight="1" x14ac:dyDescent="0.35">
      <c r="A4492" s="241"/>
      <c r="B4492" s="446"/>
      <c r="C4492" s="458"/>
      <c r="D4492" s="458"/>
      <c r="E4492" s="458"/>
      <c r="F4492" s="458"/>
      <c r="G4492" s="458"/>
      <c r="H4492" s="458"/>
      <c r="I4492" s="458"/>
      <c r="J4492" s="458" t="s">
        <v>2356</v>
      </c>
      <c r="K4492" s="591">
        <f>+K4488*K4490/K4491</f>
        <v>250.4988888888889</v>
      </c>
      <c r="L4492" s="243" t="s">
        <v>6</v>
      </c>
      <c r="N4492" s="68"/>
      <c r="O4492" s="203"/>
      <c r="P4492" s="218"/>
      <c r="Q4492" s="68"/>
      <c r="R4492" s="217"/>
    </row>
    <row r="4493" spans="1:25" ht="30" customHeight="1" thickBot="1" x14ac:dyDescent="0.4">
      <c r="A4493" s="241"/>
      <c r="B4493" s="446"/>
      <c r="C4493" s="458"/>
      <c r="D4493" s="458"/>
      <c r="E4493" s="458"/>
      <c r="F4493" s="458"/>
      <c r="G4493" s="592" t="s">
        <v>2358</v>
      </c>
      <c r="H4493" s="458"/>
      <c r="I4493" s="458"/>
      <c r="J4493" s="583">
        <f>VLOOKUP(B4485,'Mil Cost Premiums for PUCs'!$A$4:$R$272,18,FALSE)</f>
        <v>1.0209999999999999</v>
      </c>
      <c r="K4493" s="591">
        <f>+K4492*J4493</f>
        <v>255.75936555555555</v>
      </c>
      <c r="L4493" s="243" t="s">
        <v>6</v>
      </c>
      <c r="N4493" s="68"/>
      <c r="O4493" s="203"/>
      <c r="P4493" s="218"/>
      <c r="Q4493" s="68"/>
      <c r="R4493" s="217"/>
    </row>
    <row r="4494" spans="1:25" ht="30" customHeight="1" thickBot="1" x14ac:dyDescent="0.4">
      <c r="A4494" s="489"/>
      <c r="B4494" s="490"/>
      <c r="C4494" s="490"/>
      <c r="D4494" s="490"/>
      <c r="E4494" s="490"/>
      <c r="F4494" s="490"/>
      <c r="G4494" s="490"/>
      <c r="H4494" s="490"/>
      <c r="I4494" s="490"/>
      <c r="J4494" s="490"/>
      <c r="K4494" s="490"/>
      <c r="L4494" s="491"/>
      <c r="N4494" s="68"/>
      <c r="O4494" s="171"/>
      <c r="P4494" s="216"/>
      <c r="Q4494" s="419"/>
      <c r="R4494" s="219"/>
    </row>
    <row r="4495" spans="1:25" ht="30" customHeight="1" x14ac:dyDescent="0.35">
      <c r="A4495" s="465" t="s">
        <v>278</v>
      </c>
      <c r="B4495" s="539">
        <v>8713</v>
      </c>
      <c r="C4495" s="1017" t="s">
        <v>2596</v>
      </c>
      <c r="D4495" s="1018"/>
      <c r="E4495" s="541" t="s">
        <v>280</v>
      </c>
      <c r="F4495" s="542" t="s">
        <v>10</v>
      </c>
      <c r="G4495" s="553" t="s">
        <v>279</v>
      </c>
      <c r="H4495" s="875">
        <v>1</v>
      </c>
      <c r="I4495" s="541" t="s">
        <v>281</v>
      </c>
      <c r="J4495" s="1019" t="s">
        <v>3148</v>
      </c>
      <c r="K4495" s="1019"/>
      <c r="L4495" s="1020"/>
      <c r="M4495" s="51"/>
      <c r="N4495" s="68"/>
      <c r="O4495" s="171"/>
      <c r="P4495" s="216"/>
      <c r="Q4495" s="419"/>
      <c r="R4495" s="219"/>
    </row>
    <row r="4496" spans="1:25" ht="30" customHeight="1" x14ac:dyDescent="0.35">
      <c r="A4496" s="545"/>
      <c r="B4496" s="1021" t="s">
        <v>2921</v>
      </c>
      <c r="C4496" s="1021"/>
      <c r="D4496" s="1021"/>
      <c r="E4496" s="509" t="s">
        <v>290</v>
      </c>
      <c r="F4496" s="509" t="s">
        <v>322</v>
      </c>
      <c r="G4496" s="1034" t="s">
        <v>323</v>
      </c>
      <c r="H4496" s="1035"/>
      <c r="I4496" s="509" t="s">
        <v>327</v>
      </c>
      <c r="J4496" s="509" t="s">
        <v>419</v>
      </c>
      <c r="K4496" s="1012" t="s">
        <v>2356</v>
      </c>
      <c r="L4496" s="1013"/>
      <c r="M4496" s="51"/>
      <c r="N4496" s="68"/>
      <c r="O4496" s="203"/>
      <c r="P4496" s="218"/>
      <c r="Q4496" s="68"/>
      <c r="R4496" s="217"/>
    </row>
    <row r="4497" spans="1:25" ht="30" customHeight="1" thickBot="1" x14ac:dyDescent="0.4">
      <c r="A4497" s="546"/>
      <c r="B4497" s="1014">
        <v>2057898.68</v>
      </c>
      <c r="C4497" s="1014"/>
      <c r="D4497" s="1014"/>
      <c r="E4497" s="547"/>
      <c r="F4497" s="548"/>
      <c r="G4497" s="1015"/>
      <c r="H4497" s="1016"/>
      <c r="I4497" s="549"/>
      <c r="J4497" s="550">
        <v>1.0202</v>
      </c>
      <c r="K4497" s="551">
        <f>B4497*J4497</f>
        <v>2099468.2333359998</v>
      </c>
      <c r="L4497" s="552" t="s">
        <v>10</v>
      </c>
      <c r="N4497" s="68"/>
      <c r="O4497" s="203"/>
      <c r="P4497" s="218"/>
      <c r="Q4497" s="68"/>
      <c r="R4497" s="217"/>
    </row>
    <row r="4498" spans="1:25" ht="30" customHeight="1" thickBot="1" x14ac:dyDescent="0.4">
      <c r="A4498" s="489"/>
      <c r="B4498" s="490"/>
      <c r="C4498" s="490"/>
      <c r="D4498" s="490"/>
      <c r="E4498" s="490"/>
      <c r="F4498" s="490"/>
      <c r="G4498" s="490"/>
      <c r="H4498" s="490"/>
      <c r="I4498" s="490"/>
      <c r="J4498" s="490"/>
      <c r="K4498" s="490"/>
      <c r="L4498" s="491"/>
      <c r="N4498" s="68"/>
      <c r="O4498" s="203"/>
      <c r="P4498" s="218"/>
      <c r="Q4498" s="68"/>
      <c r="R4498" s="217"/>
    </row>
    <row r="4499" spans="1:25" ht="30" customHeight="1" x14ac:dyDescent="0.35">
      <c r="A4499" s="465" t="s">
        <v>278</v>
      </c>
      <c r="B4499" s="539">
        <v>8714</v>
      </c>
      <c r="C4499" s="1017" t="s">
        <v>1930</v>
      </c>
      <c r="D4499" s="1018"/>
      <c r="E4499" s="541" t="s">
        <v>280</v>
      </c>
      <c r="F4499" s="542" t="s">
        <v>6</v>
      </c>
      <c r="G4499" s="543" t="s">
        <v>285</v>
      </c>
      <c r="H4499" s="875">
        <v>1427</v>
      </c>
      <c r="I4499" s="541" t="s">
        <v>281</v>
      </c>
      <c r="J4499" s="1019" t="s">
        <v>2371</v>
      </c>
      <c r="K4499" s="1019"/>
      <c r="L4499" s="1020"/>
      <c r="N4499" s="68"/>
      <c r="O4499" s="203"/>
      <c r="P4499" s="218"/>
      <c r="Q4499" s="68"/>
      <c r="R4499" s="217"/>
    </row>
    <row r="4500" spans="1:25" ht="30" customHeight="1" x14ac:dyDescent="0.35">
      <c r="A4500" s="588" t="s">
        <v>298</v>
      </c>
      <c r="B4500" s="1038" t="s">
        <v>321</v>
      </c>
      <c r="C4500" s="1039"/>
      <c r="D4500" s="1040"/>
      <c r="E4500" s="23" t="s">
        <v>290</v>
      </c>
      <c r="F4500" s="23" t="s">
        <v>322</v>
      </c>
      <c r="G4500" s="1034" t="s">
        <v>323</v>
      </c>
      <c r="H4500" s="1035"/>
      <c r="I4500" s="509" t="s">
        <v>299</v>
      </c>
      <c r="J4500" s="509"/>
      <c r="K4500" s="1012" t="s">
        <v>292</v>
      </c>
      <c r="L4500" s="1013"/>
      <c r="M4500" s="220"/>
      <c r="N4500" s="68"/>
      <c r="O4500" s="203"/>
      <c r="P4500" s="218"/>
      <c r="Q4500" s="68"/>
      <c r="R4500" s="217"/>
    </row>
    <row r="4501" spans="1:25" ht="30" customHeight="1" x14ac:dyDescent="0.35">
      <c r="A4501" s="241" t="s">
        <v>451</v>
      </c>
      <c r="B4501" s="1082" t="s">
        <v>1931</v>
      </c>
      <c r="C4501" s="1083"/>
      <c r="D4501" s="1093"/>
      <c r="E4501" s="40">
        <f>+(5.17+7.26)/2</f>
        <v>6.2149999999999999</v>
      </c>
      <c r="F4501" s="3" t="s">
        <v>283</v>
      </c>
      <c r="G4501" s="496">
        <v>2.37</v>
      </c>
      <c r="H4501" s="498" t="s">
        <v>1932</v>
      </c>
      <c r="I4501" s="446">
        <v>1.05</v>
      </c>
      <c r="J4501" s="3"/>
      <c r="K4501" s="591">
        <f t="shared" ref="K4501:K4506" si="81">+E4501*G4501*I4501</f>
        <v>15.466027500000001</v>
      </c>
      <c r="L4501" s="676" t="s">
        <v>6</v>
      </c>
      <c r="N4501" s="68"/>
      <c r="O4501" s="203"/>
      <c r="P4501" s="218"/>
      <c r="Q4501" s="68"/>
      <c r="R4501" s="217"/>
    </row>
    <row r="4502" spans="1:25" ht="30" customHeight="1" x14ac:dyDescent="0.35">
      <c r="A4502" s="241" t="s">
        <v>451</v>
      </c>
      <c r="B4502" s="1082" t="s">
        <v>1933</v>
      </c>
      <c r="C4502" s="1083"/>
      <c r="D4502" s="1093"/>
      <c r="E4502" s="40">
        <v>23.4</v>
      </c>
      <c r="F4502" s="3" t="s">
        <v>283</v>
      </c>
      <c r="G4502" s="82">
        <v>7.33</v>
      </c>
      <c r="H4502" s="498" t="s">
        <v>1932</v>
      </c>
      <c r="I4502" s="446">
        <v>1.05</v>
      </c>
      <c r="J4502" s="3"/>
      <c r="K4502" s="591">
        <f t="shared" si="81"/>
        <v>180.09809999999999</v>
      </c>
      <c r="L4502" s="676" t="s">
        <v>6</v>
      </c>
      <c r="M4502" s="368"/>
      <c r="N4502" s="68"/>
      <c r="O4502" s="203"/>
      <c r="P4502" s="218"/>
      <c r="Q4502" s="68"/>
      <c r="R4502" s="217"/>
    </row>
    <row r="4503" spans="1:25" ht="30" customHeight="1" x14ac:dyDescent="0.35">
      <c r="A4503" s="241" t="s">
        <v>451</v>
      </c>
      <c r="B4503" s="1031" t="s">
        <v>1934</v>
      </c>
      <c r="C4503" s="1032"/>
      <c r="D4503" s="1033"/>
      <c r="E4503" s="453">
        <f>+(10.5+18)/2</f>
        <v>14.25</v>
      </c>
      <c r="F4503" s="3" t="s">
        <v>3</v>
      </c>
      <c r="G4503" s="727">
        <v>1.67</v>
      </c>
      <c r="H4503" s="659" t="s">
        <v>498</v>
      </c>
      <c r="I4503" s="446">
        <v>1.05</v>
      </c>
      <c r="J4503" s="3"/>
      <c r="K4503" s="591">
        <f t="shared" si="81"/>
        <v>24.987375</v>
      </c>
      <c r="L4503" s="243" t="s">
        <v>6</v>
      </c>
      <c r="N4503" s="419"/>
      <c r="O4503" s="203"/>
      <c r="P4503" s="218"/>
      <c r="Q4503" s="68"/>
      <c r="R4503" s="217"/>
    </row>
    <row r="4504" spans="1:25" ht="30" customHeight="1" x14ac:dyDescent="0.35">
      <c r="A4504" s="241" t="s">
        <v>451</v>
      </c>
      <c r="B4504" s="1031" t="s">
        <v>1935</v>
      </c>
      <c r="C4504" s="1032"/>
      <c r="D4504" s="1033"/>
      <c r="E4504" s="453">
        <f>+(83.5+118)/2</f>
        <v>100.75</v>
      </c>
      <c r="F4504" s="3" t="s">
        <v>3</v>
      </c>
      <c r="G4504" s="727">
        <v>1.67</v>
      </c>
      <c r="H4504" s="659" t="s">
        <v>498</v>
      </c>
      <c r="I4504" s="446">
        <v>1.05</v>
      </c>
      <c r="J4504" s="3"/>
      <c r="K4504" s="591">
        <f t="shared" si="81"/>
        <v>176.66512500000002</v>
      </c>
      <c r="L4504" s="676" t="s">
        <v>6</v>
      </c>
      <c r="N4504" s="419"/>
      <c r="O4504" s="203"/>
      <c r="P4504" s="218"/>
      <c r="Q4504" s="68"/>
      <c r="R4504" s="217"/>
    </row>
    <row r="4505" spans="1:25" ht="30" customHeight="1" x14ac:dyDescent="0.35">
      <c r="A4505" s="241" t="s">
        <v>451</v>
      </c>
      <c r="B4505" s="1031" t="s">
        <v>1936</v>
      </c>
      <c r="C4505" s="1032"/>
      <c r="D4505" s="1033"/>
      <c r="E4505" s="453">
        <v>261</v>
      </c>
      <c r="F4505" s="3" t="s">
        <v>3</v>
      </c>
      <c r="G4505" s="727">
        <v>1.67</v>
      </c>
      <c r="H4505" s="659" t="s">
        <v>498</v>
      </c>
      <c r="I4505" s="446">
        <v>1.05</v>
      </c>
      <c r="J4505" s="3"/>
      <c r="K4505" s="591">
        <f t="shared" si="81"/>
        <v>457.6635</v>
      </c>
      <c r="L4505" s="676" t="s">
        <v>6</v>
      </c>
      <c r="N4505" s="68"/>
      <c r="O4505" s="203"/>
      <c r="P4505" s="218"/>
      <c r="Q4505" s="68"/>
      <c r="R4505" s="217"/>
    </row>
    <row r="4506" spans="1:25" ht="30" customHeight="1" x14ac:dyDescent="0.35">
      <c r="A4506" s="241" t="s">
        <v>535</v>
      </c>
      <c r="B4506" s="1031" t="s">
        <v>1937</v>
      </c>
      <c r="C4506" s="1032"/>
      <c r="D4506" s="1033"/>
      <c r="E4506" s="453">
        <v>0.17</v>
      </c>
      <c r="F4506" s="3" t="s">
        <v>8</v>
      </c>
      <c r="G4506" s="727">
        <v>25</v>
      </c>
      <c r="H4506" s="659" t="s">
        <v>1867</v>
      </c>
      <c r="I4506" s="446">
        <v>1.02</v>
      </c>
      <c r="J4506" s="3"/>
      <c r="K4506" s="591">
        <f t="shared" si="81"/>
        <v>4.335</v>
      </c>
      <c r="L4506" s="676" t="s">
        <v>6</v>
      </c>
      <c r="N4506" s="68"/>
      <c r="O4506" s="203"/>
      <c r="P4506" s="218"/>
      <c r="Q4506" s="68"/>
      <c r="R4506" s="217"/>
    </row>
    <row r="4507" spans="1:25" ht="30" customHeight="1" x14ac:dyDescent="0.35">
      <c r="A4507" s="717"/>
      <c r="B4507" s="1082" t="s">
        <v>2286</v>
      </c>
      <c r="C4507" s="1083"/>
      <c r="D4507" s="1093"/>
      <c r="E4507" s="453"/>
      <c r="F4507" s="446"/>
      <c r="G4507" s="454"/>
      <c r="H4507" s="446"/>
      <c r="I4507" s="446"/>
      <c r="J4507" s="446" t="s">
        <v>335</v>
      </c>
      <c r="K4507" s="453">
        <f>SUM(K4501:K4506)</f>
        <v>859.21512749999999</v>
      </c>
      <c r="L4507" s="676" t="s">
        <v>6</v>
      </c>
      <c r="N4507" s="68"/>
      <c r="O4507" s="203"/>
      <c r="P4507" s="218"/>
      <c r="Q4507" s="68"/>
      <c r="R4507" s="217"/>
    </row>
    <row r="4508" spans="1:25" ht="30" customHeight="1" x14ac:dyDescent="0.35">
      <c r="A4508" s="241"/>
      <c r="B4508" s="506" t="s">
        <v>1938</v>
      </c>
      <c r="C4508" s="506"/>
      <c r="D4508" s="506"/>
      <c r="E4508" s="453"/>
      <c r="F4508" s="1029" t="s">
        <v>302</v>
      </c>
      <c r="G4508" s="1058" t="s">
        <v>303</v>
      </c>
      <c r="H4508" s="1058"/>
      <c r="I4508" s="1058"/>
      <c r="J4508" s="1058"/>
      <c r="K4508" s="612">
        <v>1.07</v>
      </c>
      <c r="L4508" s="243"/>
      <c r="N4508" s="68"/>
      <c r="O4508" s="203"/>
      <c r="P4508" s="218"/>
      <c r="Q4508" s="68"/>
      <c r="R4508" s="217"/>
      <c r="T4508" s="208"/>
      <c r="U4508" s="208"/>
      <c r="V4508" s="208"/>
      <c r="W4508" s="208"/>
      <c r="X4508" s="208"/>
    </row>
    <row r="4509" spans="1:25" ht="30" customHeight="1" x14ac:dyDescent="0.35">
      <c r="A4509" s="241"/>
      <c r="B4509" s="506"/>
      <c r="C4509" s="506"/>
      <c r="D4509" s="506"/>
      <c r="E4509" s="453"/>
      <c r="F4509" s="1030"/>
      <c r="G4509" s="1073" t="s">
        <v>2374</v>
      </c>
      <c r="H4509" s="1073"/>
      <c r="I4509" s="1073"/>
      <c r="J4509" s="1073"/>
      <c r="K4509" s="612">
        <v>1.08</v>
      </c>
      <c r="L4509" s="243"/>
      <c r="N4509" s="68"/>
      <c r="O4509" s="203"/>
      <c r="P4509" s="218"/>
      <c r="Q4509" s="68"/>
      <c r="R4509" s="217"/>
      <c r="Y4509" s="208"/>
    </row>
    <row r="4510" spans="1:25" ht="30" customHeight="1" x14ac:dyDescent="0.35">
      <c r="A4510" s="241"/>
      <c r="B4510" s="446"/>
      <c r="C4510" s="458"/>
      <c r="D4510" s="458"/>
      <c r="E4510" s="458"/>
      <c r="F4510" s="458"/>
      <c r="G4510" s="454"/>
      <c r="H4510" s="458"/>
      <c r="I4510" s="458"/>
      <c r="J4510" s="446" t="s">
        <v>2356</v>
      </c>
      <c r="K4510" s="591">
        <f>+K4507*K4508/K4509</f>
        <v>851.25943187500002</v>
      </c>
      <c r="L4510" s="243" t="s">
        <v>6</v>
      </c>
      <c r="N4510" s="68"/>
      <c r="O4510" s="208"/>
      <c r="P4510" s="218"/>
      <c r="Q4510" s="68"/>
      <c r="R4510" s="217"/>
      <c r="S4510" s="208"/>
    </row>
    <row r="4511" spans="1:25" ht="30" customHeight="1" thickBot="1" x14ac:dyDescent="0.4">
      <c r="A4511" s="241"/>
      <c r="B4511" s="446"/>
      <c r="C4511" s="458"/>
      <c r="D4511" s="458"/>
      <c r="E4511" s="458"/>
      <c r="F4511" s="458"/>
      <c r="G4511" s="592" t="s">
        <v>2358</v>
      </c>
      <c r="H4511" s="458"/>
      <c r="I4511" s="458"/>
      <c r="J4511" s="583">
        <f>VLOOKUP(B4499,'Mil Cost Premiums for PUCs'!$A$4:$R$272,18,FALSE)</f>
        <v>1.0209999999999999</v>
      </c>
      <c r="K4511" s="591">
        <f>+K4510*J4511</f>
        <v>869.13587994437489</v>
      </c>
      <c r="L4511" s="243" t="s">
        <v>6</v>
      </c>
      <c r="M4511" s="173"/>
      <c r="N4511" s="68"/>
      <c r="O4511" s="203"/>
      <c r="P4511" s="218"/>
      <c r="Q4511" s="68"/>
      <c r="R4511" s="217"/>
    </row>
    <row r="4512" spans="1:25" s="208" customFormat="1" ht="30" customHeight="1" thickBot="1" x14ac:dyDescent="0.4">
      <c r="A4512" s="489"/>
      <c r="B4512" s="490"/>
      <c r="C4512" s="490"/>
      <c r="D4512" s="490"/>
      <c r="E4512" s="490"/>
      <c r="F4512" s="490"/>
      <c r="G4512" s="490"/>
      <c r="H4512" s="490"/>
      <c r="I4512" s="490"/>
      <c r="J4512" s="490"/>
      <c r="K4512" s="490"/>
      <c r="L4512" s="491"/>
      <c r="M4512" s="57"/>
      <c r="N4512" s="68"/>
      <c r="O4512" s="203"/>
      <c r="P4512" s="218"/>
      <c r="Q4512" s="68"/>
      <c r="R4512" s="217"/>
      <c r="S4512" s="203"/>
      <c r="T4512" s="203"/>
      <c r="U4512" s="203"/>
      <c r="V4512" s="203"/>
      <c r="W4512" s="203"/>
      <c r="X4512" s="203"/>
      <c r="Y4512" s="203"/>
    </row>
    <row r="4513" spans="1:25" ht="30" customHeight="1" x14ac:dyDescent="0.35">
      <c r="A4513" s="465" t="s">
        <v>278</v>
      </c>
      <c r="B4513" s="539">
        <v>8715</v>
      </c>
      <c r="C4513" s="1017" t="s">
        <v>1939</v>
      </c>
      <c r="D4513" s="1018"/>
      <c r="E4513" s="541" t="s">
        <v>280</v>
      </c>
      <c r="F4513" s="542" t="s">
        <v>244</v>
      </c>
      <c r="G4513" s="543" t="s">
        <v>285</v>
      </c>
      <c r="H4513" s="965">
        <v>3.4</v>
      </c>
      <c r="I4513" s="541" t="s">
        <v>281</v>
      </c>
      <c r="J4513" s="1019" t="s">
        <v>2749</v>
      </c>
      <c r="K4513" s="1019"/>
      <c r="L4513" s="1020"/>
      <c r="N4513" s="68"/>
      <c r="O4513" s="203"/>
      <c r="P4513" s="218"/>
      <c r="Q4513" s="68"/>
      <c r="R4513" s="217"/>
    </row>
    <row r="4514" spans="1:25" ht="30" customHeight="1" x14ac:dyDescent="0.35">
      <c r="A4514" s="545" t="s">
        <v>288</v>
      </c>
      <c r="B4514" s="1038" t="s">
        <v>321</v>
      </c>
      <c r="C4514" s="1039"/>
      <c r="D4514" s="1040"/>
      <c r="E4514" s="23" t="s">
        <v>290</v>
      </c>
      <c r="F4514" s="23" t="s">
        <v>322</v>
      </c>
      <c r="G4514" s="1034" t="s">
        <v>323</v>
      </c>
      <c r="H4514" s="1035"/>
      <c r="I4514" s="1052" t="s">
        <v>405</v>
      </c>
      <c r="J4514" s="1053"/>
      <c r="K4514" s="1012" t="s">
        <v>292</v>
      </c>
      <c r="L4514" s="1013"/>
      <c r="N4514" s="68"/>
      <c r="O4514" s="203"/>
      <c r="P4514" s="218"/>
      <c r="Q4514" s="68"/>
      <c r="R4514" s="217"/>
    </row>
    <row r="4515" spans="1:25" ht="30" customHeight="1" x14ac:dyDescent="0.35">
      <c r="A4515" s="848">
        <v>83210</v>
      </c>
      <c r="B4515" s="1082" t="s">
        <v>2476</v>
      </c>
      <c r="C4515" s="1083"/>
      <c r="D4515" s="1093"/>
      <c r="E4515" s="40">
        <v>25350</v>
      </c>
      <c r="F4515" s="3" t="s">
        <v>10</v>
      </c>
      <c r="G4515" s="496">
        <v>0.20399999999999999</v>
      </c>
      <c r="H4515" s="498" t="s">
        <v>1940</v>
      </c>
      <c r="I4515" s="1062">
        <f>+'2021 MILCON Inflation Table'!$F$20</f>
        <v>0.9432470865927236</v>
      </c>
      <c r="J4515" s="1063"/>
      <c r="K4515" s="38">
        <f>+E4515/G4515*I4515</f>
        <v>117212.3217898311</v>
      </c>
      <c r="L4515" s="676" t="s">
        <v>244</v>
      </c>
      <c r="M4515" s="368"/>
      <c r="N4515" s="68"/>
      <c r="O4515" s="203"/>
      <c r="P4515" s="218"/>
      <c r="Q4515" s="68"/>
      <c r="R4515" s="217"/>
    </row>
    <row r="4516" spans="1:25" ht="30" customHeight="1" x14ac:dyDescent="0.35">
      <c r="A4516" s="848">
        <v>83210</v>
      </c>
      <c r="B4516" s="1082" t="s">
        <v>2477</v>
      </c>
      <c r="C4516" s="1083"/>
      <c r="D4516" s="1093"/>
      <c r="E4516" s="40">
        <v>50740</v>
      </c>
      <c r="F4516" s="3" t="s">
        <v>10</v>
      </c>
      <c r="G4516" s="496">
        <v>0.40699999999999997</v>
      </c>
      <c r="H4516" s="498" t="s">
        <v>1940</v>
      </c>
      <c r="I4516" s="1062">
        <f>+'2021 MILCON Inflation Table'!$F$20</f>
        <v>0.9432470865927236</v>
      </c>
      <c r="J4516" s="1063"/>
      <c r="K4516" s="38">
        <f>+E4516/G4516*I4516</f>
        <v>117593.01516883243</v>
      </c>
      <c r="L4516" s="676" t="s">
        <v>244</v>
      </c>
      <c r="N4516" s="68"/>
      <c r="O4516" s="203"/>
      <c r="P4516" s="218"/>
      <c r="Q4516" s="68"/>
      <c r="R4516" s="217"/>
    </row>
    <row r="4517" spans="1:25" ht="30" customHeight="1" x14ac:dyDescent="0.35">
      <c r="A4517" s="848">
        <v>83210</v>
      </c>
      <c r="B4517" s="1082" t="s">
        <v>2478</v>
      </c>
      <c r="C4517" s="1083"/>
      <c r="D4517" s="1093"/>
      <c r="E4517" s="40">
        <v>76310</v>
      </c>
      <c r="F4517" s="3" t="s">
        <v>10</v>
      </c>
      <c r="G4517" s="496">
        <v>0.61099999999999999</v>
      </c>
      <c r="H4517" s="498" t="s">
        <v>1940</v>
      </c>
      <c r="I4517" s="1062">
        <f>+'2021 MILCON Inflation Table'!$F$20</f>
        <v>0.9432470865927236</v>
      </c>
      <c r="J4517" s="1063"/>
      <c r="K4517" s="38">
        <f>+E4517/G4517*I4517</f>
        <v>117805.54038934656</v>
      </c>
      <c r="L4517" s="676" t="s">
        <v>244</v>
      </c>
      <c r="N4517" s="68"/>
      <c r="O4517" s="171"/>
      <c r="P4517" s="216"/>
      <c r="Q4517" s="419"/>
      <c r="R4517" s="219"/>
    </row>
    <row r="4518" spans="1:25" ht="30" customHeight="1" x14ac:dyDescent="0.35">
      <c r="A4518" s="848">
        <v>83210</v>
      </c>
      <c r="B4518" s="1082" t="s">
        <v>2479</v>
      </c>
      <c r="C4518" s="1083"/>
      <c r="D4518" s="1093"/>
      <c r="E4518" s="40">
        <v>101560</v>
      </c>
      <c r="F4518" s="3" t="s">
        <v>10</v>
      </c>
      <c r="G4518" s="53">
        <v>0.81399999999999995</v>
      </c>
      <c r="H4518" s="498" t="s">
        <v>1940</v>
      </c>
      <c r="I4518" s="1062">
        <f>+'2021 MILCON Inflation Table'!$F$20</f>
        <v>0.9432470865927236</v>
      </c>
      <c r="J4518" s="1063"/>
      <c r="K4518" s="38">
        <f>+E4518/G4518*I4518</f>
        <v>117685.71758520517</v>
      </c>
      <c r="L4518" s="676" t="s">
        <v>244</v>
      </c>
      <c r="N4518" s="68"/>
      <c r="O4518" s="171"/>
      <c r="P4518" s="216"/>
      <c r="Q4518" s="419"/>
      <c r="R4518" s="219"/>
    </row>
    <row r="4519" spans="1:25" ht="30" customHeight="1" x14ac:dyDescent="0.35">
      <c r="A4519" s="603"/>
      <c r="B4519" s="1059" t="s">
        <v>2480</v>
      </c>
      <c r="C4519" s="1059"/>
      <c r="D4519" s="1059"/>
      <c r="E4519" s="453"/>
      <c r="F4519" s="446"/>
      <c r="G4519" s="446"/>
      <c r="H4519" s="446"/>
      <c r="I4519" s="446"/>
      <c r="J4519" s="446" t="s">
        <v>304</v>
      </c>
      <c r="K4519" s="630">
        <f>AVERAGE(K4515:K4518)</f>
        <v>117574.14873330381</v>
      </c>
      <c r="L4519" s="676" t="s">
        <v>244</v>
      </c>
      <c r="N4519" s="68"/>
      <c r="O4519" s="171"/>
      <c r="P4519" s="216"/>
      <c r="Q4519" s="419"/>
      <c r="R4519" s="219"/>
    </row>
    <row r="4520" spans="1:25" ht="30" customHeight="1" thickBot="1" x14ac:dyDescent="0.4">
      <c r="A4520" s="603"/>
      <c r="B4520" s="446"/>
      <c r="C4520" s="458"/>
      <c r="D4520" s="458"/>
      <c r="E4520" s="458"/>
      <c r="F4520" s="458"/>
      <c r="G4520" s="458"/>
      <c r="H4520" s="458" t="s">
        <v>1941</v>
      </c>
      <c r="I4520" s="458"/>
      <c r="J4520" s="510" t="s">
        <v>2356</v>
      </c>
      <c r="K4520" s="448">
        <f>+K4519</f>
        <v>117574.14873330381</v>
      </c>
      <c r="L4520" s="676" t="s">
        <v>244</v>
      </c>
      <c r="M4520" s="51"/>
      <c r="N4520" s="68"/>
      <c r="O4520" s="171"/>
      <c r="P4520" s="216"/>
      <c r="Q4520" s="419"/>
      <c r="R4520" s="219"/>
    </row>
    <row r="4521" spans="1:25" ht="60" customHeight="1" thickBot="1" x14ac:dyDescent="0.4">
      <c r="A4521" s="489"/>
      <c r="B4521" s="490"/>
      <c r="C4521" s="490"/>
      <c r="D4521" s="490"/>
      <c r="E4521" s="490"/>
      <c r="F4521" s="490"/>
      <c r="G4521" s="490"/>
      <c r="H4521" s="490"/>
      <c r="I4521" s="490"/>
      <c r="J4521" s="490"/>
      <c r="K4521" s="490"/>
      <c r="L4521" s="491"/>
      <c r="M4521" s="314"/>
      <c r="N4521" s="68"/>
      <c r="O4521" s="203"/>
      <c r="P4521" s="218"/>
      <c r="Q4521" s="68"/>
      <c r="R4521" s="217"/>
    </row>
    <row r="4522" spans="1:25" ht="30" customHeight="1" x14ac:dyDescent="0.35">
      <c r="A4522" s="465" t="s">
        <v>278</v>
      </c>
      <c r="B4522" s="539">
        <v>8716</v>
      </c>
      <c r="C4522" s="1017" t="s">
        <v>2961</v>
      </c>
      <c r="D4522" s="1018"/>
      <c r="E4522" s="541" t="s">
        <v>280</v>
      </c>
      <c r="F4522" s="542" t="s">
        <v>3</v>
      </c>
      <c r="G4522" s="543" t="s">
        <v>279</v>
      </c>
      <c r="H4522" s="966">
        <v>625</v>
      </c>
      <c r="I4522" s="541" t="s">
        <v>281</v>
      </c>
      <c r="J4522" s="1019" t="s">
        <v>2371</v>
      </c>
      <c r="K4522" s="1019"/>
      <c r="L4522" s="1020"/>
      <c r="N4522" s="68"/>
      <c r="O4522" s="203"/>
      <c r="P4522" s="218"/>
      <c r="Q4522" s="68"/>
      <c r="R4522" s="217"/>
    </row>
    <row r="4523" spans="1:25" ht="30" customHeight="1" x14ac:dyDescent="0.35">
      <c r="A4523" s="545" t="s">
        <v>288</v>
      </c>
      <c r="B4523" s="1038" t="s">
        <v>321</v>
      </c>
      <c r="C4523" s="1039"/>
      <c r="D4523" s="1040"/>
      <c r="E4523" s="23" t="s">
        <v>290</v>
      </c>
      <c r="F4523" s="23" t="s">
        <v>322</v>
      </c>
      <c r="G4523" s="1034" t="s">
        <v>323</v>
      </c>
      <c r="H4523" s="1035"/>
      <c r="I4523" s="509" t="s">
        <v>299</v>
      </c>
      <c r="J4523" s="967"/>
      <c r="K4523" s="595" t="s">
        <v>292</v>
      </c>
      <c r="L4523" s="739"/>
      <c r="N4523" s="68"/>
      <c r="O4523" s="203"/>
      <c r="P4523" s="218"/>
      <c r="Q4523" s="68"/>
      <c r="R4523" s="217"/>
    </row>
    <row r="4524" spans="1:25" ht="30" customHeight="1" x14ac:dyDescent="0.35">
      <c r="A4524" s="848" t="s">
        <v>331</v>
      </c>
      <c r="B4524" s="1082" t="s">
        <v>2969</v>
      </c>
      <c r="C4524" s="1083"/>
      <c r="D4524" s="1093"/>
      <c r="E4524" s="40">
        <v>2.59</v>
      </c>
      <c r="F4524" s="3" t="s">
        <v>8</v>
      </c>
      <c r="G4524" s="496">
        <v>9</v>
      </c>
      <c r="H4524" s="498" t="s">
        <v>482</v>
      </c>
      <c r="I4524" s="446">
        <v>1.03</v>
      </c>
      <c r="J4524" s="583"/>
      <c r="K4524" s="41">
        <f>+E4524*G4524*I4524</f>
        <v>24.0093</v>
      </c>
      <c r="L4524" s="676" t="s">
        <v>3</v>
      </c>
      <c r="N4524" s="68"/>
      <c r="O4524" s="203"/>
      <c r="P4524" s="218"/>
      <c r="Q4524" s="68"/>
      <c r="R4524" s="217"/>
    </row>
    <row r="4525" spans="1:25" ht="30" customHeight="1" x14ac:dyDescent="0.35">
      <c r="A4525" s="848" t="s">
        <v>331</v>
      </c>
      <c r="B4525" s="1082" t="s">
        <v>2970</v>
      </c>
      <c r="C4525" s="1083"/>
      <c r="D4525" s="1093"/>
      <c r="E4525" s="40">
        <f>0.9+(((0.12+0.2)/2)*8)</f>
        <v>2.1800000000000002</v>
      </c>
      <c r="F4525" s="3" t="s">
        <v>8</v>
      </c>
      <c r="G4525" s="496">
        <v>9</v>
      </c>
      <c r="H4525" s="498" t="s">
        <v>482</v>
      </c>
      <c r="I4525" s="446">
        <v>1.03</v>
      </c>
      <c r="J4525" s="583"/>
      <c r="K4525" s="41">
        <f>+E4525*G4525*I4525</f>
        <v>20.208600000000001</v>
      </c>
      <c r="L4525" s="676" t="s">
        <v>3</v>
      </c>
      <c r="N4525" s="68"/>
      <c r="O4525" s="203"/>
      <c r="P4525" s="218"/>
      <c r="Q4525" s="68"/>
      <c r="R4525" s="217"/>
      <c r="T4525" s="208"/>
      <c r="U4525" s="208"/>
      <c r="V4525" s="208"/>
      <c r="W4525" s="208"/>
      <c r="X4525" s="208"/>
    </row>
    <row r="4526" spans="1:25" ht="30" customHeight="1" x14ac:dyDescent="0.35">
      <c r="A4526" s="848" t="s">
        <v>331</v>
      </c>
      <c r="B4526" s="1082" t="s">
        <v>2971</v>
      </c>
      <c r="C4526" s="1083"/>
      <c r="D4526" s="1093"/>
      <c r="E4526" s="40">
        <v>30.5</v>
      </c>
      <c r="F4526" s="3" t="s">
        <v>6</v>
      </c>
      <c r="G4526" s="472">
        <f>20*4/H4522</f>
        <v>0.128</v>
      </c>
      <c r="H4526" s="498" t="s">
        <v>1856</v>
      </c>
      <c r="I4526" s="446">
        <v>1.03</v>
      </c>
      <c r="J4526" s="583"/>
      <c r="K4526" s="41">
        <f>+E4526*G4526*I4526</f>
        <v>4.0211199999999998</v>
      </c>
      <c r="L4526" s="676" t="s">
        <v>3</v>
      </c>
      <c r="N4526" s="68"/>
      <c r="O4526" s="203"/>
      <c r="P4526" s="218"/>
      <c r="Q4526" s="68"/>
      <c r="R4526" s="217"/>
      <c r="Y4526" s="208"/>
    </row>
    <row r="4527" spans="1:25" ht="30" customHeight="1" x14ac:dyDescent="0.35">
      <c r="A4527" s="848"/>
      <c r="B4527" s="1082"/>
      <c r="C4527" s="1083"/>
      <c r="D4527" s="1093"/>
      <c r="E4527" s="40"/>
      <c r="F4527" s="3"/>
      <c r="G4527" s="496"/>
      <c r="H4527" s="498"/>
      <c r="I4527" s="583"/>
      <c r="J4527" s="446" t="s">
        <v>335</v>
      </c>
      <c r="K4527" s="453">
        <f>SUM(K4521:K4526)</f>
        <v>48.239019999999996</v>
      </c>
      <c r="L4527" s="676" t="s">
        <v>3</v>
      </c>
      <c r="N4527" s="68"/>
      <c r="O4527" s="208"/>
      <c r="P4527" s="218"/>
      <c r="Q4527" s="68"/>
      <c r="R4527" s="217"/>
      <c r="S4527" s="208"/>
    </row>
    <row r="4528" spans="1:25" ht="30" customHeight="1" x14ac:dyDescent="0.35">
      <c r="A4528" s="241"/>
      <c r="B4528" s="506" t="s">
        <v>1938</v>
      </c>
      <c r="C4528" s="506"/>
      <c r="D4528" s="506"/>
      <c r="E4528" s="453"/>
      <c r="F4528" s="1029" t="s">
        <v>302</v>
      </c>
      <c r="G4528" s="1058" t="s">
        <v>303</v>
      </c>
      <c r="H4528" s="1058"/>
      <c r="I4528" s="1058"/>
      <c r="J4528" s="1058"/>
      <c r="K4528" s="612">
        <v>1.07</v>
      </c>
      <c r="L4528" s="243"/>
      <c r="N4528" s="419"/>
      <c r="O4528" s="203"/>
      <c r="P4528" s="218"/>
      <c r="Q4528" s="68"/>
      <c r="R4528" s="217"/>
    </row>
    <row r="4529" spans="1:25" s="208" customFormat="1" ht="30" customHeight="1" x14ac:dyDescent="0.35">
      <c r="A4529" s="241"/>
      <c r="B4529" s="506"/>
      <c r="C4529" s="506"/>
      <c r="D4529" s="506"/>
      <c r="E4529" s="453"/>
      <c r="F4529" s="1030"/>
      <c r="G4529" s="1073" t="s">
        <v>2374</v>
      </c>
      <c r="H4529" s="1073"/>
      <c r="I4529" s="1073"/>
      <c r="J4529" s="1073"/>
      <c r="K4529" s="612">
        <v>1.08</v>
      </c>
      <c r="L4529" s="243"/>
      <c r="M4529" s="57"/>
      <c r="N4529" s="419"/>
      <c r="O4529" s="203"/>
      <c r="P4529" s="218"/>
      <c r="Q4529" s="68"/>
      <c r="R4529" s="217"/>
      <c r="S4529" s="203"/>
      <c r="T4529" s="203"/>
      <c r="U4529" s="203"/>
      <c r="V4529" s="203"/>
      <c r="W4529" s="203"/>
      <c r="X4529" s="203"/>
      <c r="Y4529" s="203"/>
    </row>
    <row r="4530" spans="1:25" ht="30" customHeight="1" x14ac:dyDescent="0.35">
      <c r="A4530" s="241"/>
      <c r="B4530" s="446"/>
      <c r="C4530" s="458"/>
      <c r="D4530" s="458"/>
      <c r="E4530" s="458"/>
      <c r="F4530" s="458"/>
      <c r="G4530" s="446"/>
      <c r="H4530" s="458"/>
      <c r="I4530" s="458"/>
      <c r="J4530" s="446" t="s">
        <v>2356</v>
      </c>
      <c r="K4530" s="591">
        <f>+K4527*K4528/K4529</f>
        <v>47.792362407407403</v>
      </c>
      <c r="L4530" s="676" t="s">
        <v>3</v>
      </c>
      <c r="N4530" s="419"/>
      <c r="O4530" s="203"/>
      <c r="P4530" s="218"/>
      <c r="Q4530" s="68"/>
      <c r="R4530" s="217"/>
    </row>
    <row r="4531" spans="1:25" ht="30" customHeight="1" thickBot="1" x14ac:dyDescent="0.4">
      <c r="A4531" s="241"/>
      <c r="B4531" s="1278" t="s">
        <v>3145</v>
      </c>
      <c r="C4531" s="1090"/>
      <c r="D4531" s="1378"/>
      <c r="E4531" s="458"/>
      <c r="F4531" s="458"/>
      <c r="G4531" s="171"/>
      <c r="H4531" s="458"/>
      <c r="I4531" s="820" t="s">
        <v>2358</v>
      </c>
      <c r="J4531" s="583">
        <f>VLOOKUP(B4522,'[2]Mil Cost Premiums for PUCs'!$A$4:$R$272,18,FALSE)</f>
        <v>1.0485669999999998</v>
      </c>
      <c r="K4531" s="591">
        <f>+K4530*J4531</f>
        <v>50.113494072447949</v>
      </c>
      <c r="L4531" s="676" t="s">
        <v>3</v>
      </c>
      <c r="N4531" s="419"/>
      <c r="O4531" s="171"/>
      <c r="P4531" s="216"/>
      <c r="Q4531" s="419"/>
      <c r="R4531" s="219"/>
    </row>
    <row r="4532" spans="1:25" ht="30" customHeight="1" thickBot="1" x14ac:dyDescent="0.4">
      <c r="A4532" s="489"/>
      <c r="B4532" s="490"/>
      <c r="C4532" s="490"/>
      <c r="D4532" s="490"/>
      <c r="E4532" s="490"/>
      <c r="F4532" s="490"/>
      <c r="G4532" s="490"/>
      <c r="H4532" s="490"/>
      <c r="I4532" s="490"/>
      <c r="J4532" s="490"/>
      <c r="K4532" s="490"/>
      <c r="L4532" s="491"/>
      <c r="N4532" s="68"/>
      <c r="O4532" s="171"/>
      <c r="P4532" s="216"/>
      <c r="Q4532" s="419"/>
      <c r="R4532" s="219"/>
    </row>
    <row r="4533" spans="1:25" ht="30" customHeight="1" x14ac:dyDescent="0.35">
      <c r="A4533" s="465" t="s">
        <v>278</v>
      </c>
      <c r="B4533" s="539">
        <v>8717</v>
      </c>
      <c r="C4533" s="1017" t="s">
        <v>2962</v>
      </c>
      <c r="D4533" s="1018"/>
      <c r="E4533" s="541" t="s">
        <v>280</v>
      </c>
      <c r="F4533" s="542" t="s">
        <v>7</v>
      </c>
      <c r="G4533" s="543" t="s">
        <v>279</v>
      </c>
      <c r="H4533" s="966">
        <v>816.87</v>
      </c>
      <c r="I4533" s="541" t="s">
        <v>281</v>
      </c>
      <c r="J4533" s="1019" t="s">
        <v>2371</v>
      </c>
      <c r="K4533" s="1019"/>
      <c r="L4533" s="1020"/>
      <c r="N4533" s="68"/>
      <c r="O4533" s="203"/>
      <c r="P4533" s="218"/>
      <c r="Q4533" s="68"/>
      <c r="R4533" s="217"/>
    </row>
    <row r="4534" spans="1:25" ht="30" customHeight="1" x14ac:dyDescent="0.35">
      <c r="A4534" s="545" t="s">
        <v>288</v>
      </c>
      <c r="B4534" s="1038" t="s">
        <v>321</v>
      </c>
      <c r="C4534" s="1039"/>
      <c r="D4534" s="1040"/>
      <c r="E4534" s="23" t="s">
        <v>290</v>
      </c>
      <c r="F4534" s="23" t="s">
        <v>322</v>
      </c>
      <c r="G4534" s="1034" t="s">
        <v>323</v>
      </c>
      <c r="H4534" s="1035"/>
      <c r="I4534" s="509" t="s">
        <v>299</v>
      </c>
      <c r="J4534" s="967"/>
      <c r="K4534" s="595" t="s">
        <v>292</v>
      </c>
      <c r="L4534" s="739"/>
      <c r="N4534" s="68"/>
      <c r="O4534" s="203"/>
      <c r="P4534" s="218"/>
      <c r="Q4534" s="68"/>
      <c r="R4534" s="217"/>
    </row>
    <row r="4535" spans="1:25" ht="30" customHeight="1" x14ac:dyDescent="0.35">
      <c r="A4535" s="848" t="s">
        <v>1926</v>
      </c>
      <c r="B4535" s="1082" t="s">
        <v>2963</v>
      </c>
      <c r="C4535" s="1083"/>
      <c r="D4535" s="1093"/>
      <c r="E4535" s="40">
        <v>2.7</v>
      </c>
      <c r="F4535" s="3" t="s">
        <v>5</v>
      </c>
      <c r="G4535" s="279">
        <f>5932/H4533</f>
        <v>7.2618654131012281</v>
      </c>
      <c r="H4535" s="498" t="s">
        <v>2964</v>
      </c>
      <c r="I4535" s="446">
        <v>1.02</v>
      </c>
      <c r="J4535" s="583"/>
      <c r="K4535" s="41">
        <f>+E4535*G4535*I4535</f>
        <v>19.999177347680785</v>
      </c>
      <c r="L4535" s="968" t="s">
        <v>7</v>
      </c>
      <c r="N4535" s="68"/>
      <c r="O4535" s="203"/>
      <c r="P4535" s="218"/>
      <c r="Q4535" s="68"/>
      <c r="R4535" s="217"/>
    </row>
    <row r="4536" spans="1:25" ht="30" customHeight="1" x14ac:dyDescent="0.35">
      <c r="A4536" s="848" t="s">
        <v>1926</v>
      </c>
      <c r="B4536" s="1082" t="s">
        <v>2965</v>
      </c>
      <c r="C4536" s="1083"/>
      <c r="D4536" s="1093"/>
      <c r="E4536" s="40">
        <v>19.25</v>
      </c>
      <c r="F4536" s="3" t="s">
        <v>6</v>
      </c>
      <c r="G4536" s="279">
        <f>20/H4533</f>
        <v>2.4483699976740485E-2</v>
      </c>
      <c r="H4536" s="498" t="s">
        <v>2966</v>
      </c>
      <c r="I4536" s="446">
        <v>1.02</v>
      </c>
      <c r="J4536" s="583"/>
      <c r="K4536" s="41">
        <f>+E4536*G4536*I4536</f>
        <v>0.4807374490432994</v>
      </c>
      <c r="L4536" s="968" t="s">
        <v>7</v>
      </c>
      <c r="N4536" s="68"/>
      <c r="O4536" s="203"/>
      <c r="P4536" s="218"/>
      <c r="Q4536" s="68"/>
      <c r="R4536" s="217"/>
    </row>
    <row r="4537" spans="1:25" ht="30" customHeight="1" x14ac:dyDescent="0.35">
      <c r="A4537" s="848"/>
      <c r="B4537" s="1082"/>
      <c r="C4537" s="1083"/>
      <c r="D4537" s="1093"/>
      <c r="E4537" s="40"/>
      <c r="F4537" s="3"/>
      <c r="G4537" s="496"/>
      <c r="H4537" s="498"/>
      <c r="I4537" s="583"/>
      <c r="J4537" s="446" t="s">
        <v>335</v>
      </c>
      <c r="K4537" s="679">
        <f>SUM(K4535:K4536)</f>
        <v>20.479914796724085</v>
      </c>
      <c r="L4537" s="968" t="s">
        <v>7</v>
      </c>
      <c r="N4537" s="68"/>
      <c r="O4537" s="203"/>
      <c r="P4537" s="218"/>
      <c r="Q4537" s="68"/>
      <c r="R4537" s="217"/>
    </row>
    <row r="4538" spans="1:25" ht="30" customHeight="1" x14ac:dyDescent="0.35">
      <c r="A4538" s="241"/>
      <c r="B4538" s="506" t="s">
        <v>1938</v>
      </c>
      <c r="C4538" s="506"/>
      <c r="D4538" s="506"/>
      <c r="E4538" s="453"/>
      <c r="F4538" s="1029" t="s">
        <v>302</v>
      </c>
      <c r="G4538" s="1058" t="s">
        <v>303</v>
      </c>
      <c r="H4538" s="1058"/>
      <c r="I4538" s="1058"/>
      <c r="J4538" s="1058"/>
      <c r="K4538" s="612">
        <v>1.07</v>
      </c>
      <c r="L4538" s="243"/>
      <c r="M4538" s="173"/>
      <c r="N4538" s="68"/>
      <c r="O4538" s="203"/>
      <c r="P4538" s="218"/>
      <c r="Q4538" s="68"/>
      <c r="R4538" s="217"/>
    </row>
    <row r="4539" spans="1:25" ht="30" customHeight="1" x14ac:dyDescent="0.35">
      <c r="A4539" s="241"/>
      <c r="B4539" s="1031" t="s">
        <v>3145</v>
      </c>
      <c r="C4539" s="1032"/>
      <c r="D4539" s="1033"/>
      <c r="E4539" s="453"/>
      <c r="F4539" s="1030"/>
      <c r="G4539" s="1073" t="s">
        <v>2968</v>
      </c>
      <c r="H4539" s="1073"/>
      <c r="I4539" s="1073"/>
      <c r="J4539" s="1073"/>
      <c r="K4539" s="612">
        <v>1.08</v>
      </c>
      <c r="L4539" s="243"/>
      <c r="N4539" s="68"/>
      <c r="O4539" s="203"/>
      <c r="P4539" s="218"/>
      <c r="Q4539" s="68"/>
      <c r="R4539" s="217"/>
    </row>
    <row r="4540" spans="1:25" ht="30" customHeight="1" x14ac:dyDescent="0.35">
      <c r="A4540" s="241"/>
      <c r="B4540" s="1059" t="s">
        <v>2972</v>
      </c>
      <c r="C4540" s="1059"/>
      <c r="D4540" s="1059"/>
      <c r="E4540" s="458"/>
      <c r="F4540" s="458"/>
      <c r="G4540" s="446"/>
      <c r="H4540" s="458"/>
      <c r="I4540" s="458"/>
      <c r="J4540" s="446" t="s">
        <v>2356</v>
      </c>
      <c r="K4540" s="591">
        <f>+K4537*K4538/K4539</f>
        <v>20.29028595601368</v>
      </c>
      <c r="L4540" s="968" t="s">
        <v>7</v>
      </c>
      <c r="N4540" s="421"/>
      <c r="O4540" s="203"/>
      <c r="P4540" s="218"/>
      <c r="Q4540" s="68"/>
      <c r="R4540" s="217"/>
    </row>
    <row r="4541" spans="1:25" ht="30" customHeight="1" thickBot="1" x14ac:dyDescent="0.4">
      <c r="A4541" s="241"/>
      <c r="B4541" s="1109" t="s">
        <v>2967</v>
      </c>
      <c r="C4541" s="1110"/>
      <c r="D4541" s="1110"/>
      <c r="E4541" s="1110"/>
      <c r="F4541" s="1111"/>
      <c r="G4541" s="171"/>
      <c r="H4541" s="458"/>
      <c r="I4541" s="820" t="s">
        <v>2358</v>
      </c>
      <c r="J4541" s="583">
        <f>VLOOKUP(B4533,'[2]Mil Cost Premiums for PUCs'!$A$4:$R$272,18,FALSE)</f>
        <v>1.0485669999999998</v>
      </c>
      <c r="K4541" s="591">
        <f>+K4540*J4541</f>
        <v>21.275724274039391</v>
      </c>
      <c r="L4541" s="968" t="s">
        <v>7</v>
      </c>
      <c r="N4541" s="419"/>
      <c r="O4541" s="203"/>
      <c r="P4541" s="218"/>
      <c r="Q4541" s="68"/>
      <c r="R4541" s="217"/>
    </row>
    <row r="4542" spans="1:25" ht="30" customHeight="1" thickBot="1" x14ac:dyDescent="0.4">
      <c r="A4542" s="489"/>
      <c r="B4542" s="490"/>
      <c r="C4542" s="490"/>
      <c r="D4542" s="490"/>
      <c r="E4542" s="490"/>
      <c r="F4542" s="490"/>
      <c r="G4542" s="490"/>
      <c r="H4542" s="490"/>
      <c r="I4542" s="490"/>
      <c r="J4542" s="490"/>
      <c r="K4542" s="490"/>
      <c r="L4542" s="491"/>
      <c r="N4542" s="68"/>
      <c r="O4542" s="203"/>
      <c r="P4542" s="218"/>
      <c r="Q4542" s="68"/>
      <c r="R4542" s="217"/>
    </row>
    <row r="4543" spans="1:25" ht="30" customHeight="1" x14ac:dyDescent="0.35">
      <c r="A4543" s="465" t="s">
        <v>278</v>
      </c>
      <c r="B4543" s="539">
        <v>8721</v>
      </c>
      <c r="C4543" s="1017" t="s">
        <v>1942</v>
      </c>
      <c r="D4543" s="1018"/>
      <c r="E4543" s="541" t="s">
        <v>280</v>
      </c>
      <c r="F4543" s="542" t="s">
        <v>6</v>
      </c>
      <c r="G4543" s="543" t="s">
        <v>285</v>
      </c>
      <c r="H4543" s="555">
        <v>3114</v>
      </c>
      <c r="I4543" s="541" t="s">
        <v>281</v>
      </c>
      <c r="J4543" s="1019" t="s">
        <v>2371</v>
      </c>
      <c r="K4543" s="1019"/>
      <c r="L4543" s="1020"/>
      <c r="N4543" s="68"/>
      <c r="O4543" s="203"/>
      <c r="P4543" s="218"/>
      <c r="Q4543" s="68"/>
      <c r="R4543" s="217"/>
    </row>
    <row r="4544" spans="1:25" ht="30" customHeight="1" x14ac:dyDescent="0.35">
      <c r="A4544" s="588" t="s">
        <v>298</v>
      </c>
      <c r="B4544" s="1038" t="s">
        <v>321</v>
      </c>
      <c r="C4544" s="1039"/>
      <c r="D4544" s="1040"/>
      <c r="E4544" s="23" t="s">
        <v>290</v>
      </c>
      <c r="F4544" s="23" t="s">
        <v>322</v>
      </c>
      <c r="G4544" s="1034" t="s">
        <v>323</v>
      </c>
      <c r="H4544" s="1035"/>
      <c r="I4544" s="509" t="s">
        <v>299</v>
      </c>
      <c r="J4544" s="509"/>
      <c r="K4544" s="1012" t="s">
        <v>292</v>
      </c>
      <c r="L4544" s="1013"/>
      <c r="N4544" s="68"/>
      <c r="O4544" s="203"/>
      <c r="P4544" s="218"/>
      <c r="Q4544" s="68"/>
      <c r="R4544" s="217"/>
    </row>
    <row r="4545" spans="1:25" ht="30" customHeight="1" x14ac:dyDescent="0.35">
      <c r="A4545" s="241" t="s">
        <v>1591</v>
      </c>
      <c r="B4545" s="1116" t="s">
        <v>2288</v>
      </c>
      <c r="C4545" s="1042"/>
      <c r="D4545" s="1043"/>
      <c r="E4545" s="38">
        <v>23.35</v>
      </c>
      <c r="F4545" s="3" t="s">
        <v>6</v>
      </c>
      <c r="G4545" s="496"/>
      <c r="H4545" s="498"/>
      <c r="I4545" s="548">
        <v>1.02</v>
      </c>
      <c r="J4545" s="446"/>
      <c r="K4545" s="41">
        <f>+E4545*I4545</f>
        <v>23.817</v>
      </c>
      <c r="L4545" s="243" t="s">
        <v>6</v>
      </c>
      <c r="N4545" s="68"/>
      <c r="O4545" s="203"/>
      <c r="P4545" s="218"/>
      <c r="Q4545" s="68"/>
      <c r="R4545" s="217"/>
      <c r="T4545" s="208"/>
      <c r="U4545" s="208"/>
      <c r="V4545" s="208"/>
      <c r="W4545" s="208"/>
      <c r="X4545" s="208"/>
    </row>
    <row r="4546" spans="1:25" ht="30" customHeight="1" x14ac:dyDescent="0.35">
      <c r="A4546" s="241" t="s">
        <v>1591</v>
      </c>
      <c r="B4546" s="1031" t="s">
        <v>1943</v>
      </c>
      <c r="C4546" s="1032"/>
      <c r="D4546" s="1033"/>
      <c r="E4546" s="40">
        <v>3.4</v>
      </c>
      <c r="F4546" s="3" t="s">
        <v>6</v>
      </c>
      <c r="G4546" s="496"/>
      <c r="H4546" s="498"/>
      <c r="I4546" s="548">
        <v>1.02</v>
      </c>
      <c r="J4546" s="446"/>
      <c r="K4546" s="41">
        <f>+E4546*I4546</f>
        <v>3.468</v>
      </c>
      <c r="L4546" s="243" t="s">
        <v>6</v>
      </c>
      <c r="N4546" s="68"/>
      <c r="O4546" s="203"/>
      <c r="P4546" s="218"/>
      <c r="Q4546" s="68"/>
      <c r="R4546" s="217"/>
      <c r="Y4546" s="208"/>
    </row>
    <row r="4547" spans="1:25" ht="30" customHeight="1" x14ac:dyDescent="0.35">
      <c r="A4547" s="241" t="s">
        <v>1591</v>
      </c>
      <c r="B4547" s="1031" t="s">
        <v>2287</v>
      </c>
      <c r="C4547" s="1032"/>
      <c r="D4547" s="1033"/>
      <c r="E4547" s="40">
        <v>1450</v>
      </c>
      <c r="F4547" s="3" t="s">
        <v>10</v>
      </c>
      <c r="G4547" s="496">
        <v>1000</v>
      </c>
      <c r="H4547" s="498" t="s">
        <v>1944</v>
      </c>
      <c r="I4547" s="548">
        <v>1.02</v>
      </c>
      <c r="J4547" s="446"/>
      <c r="K4547" s="41">
        <f>+E4547/G4547*I4547</f>
        <v>1.4789999999999999</v>
      </c>
      <c r="L4547" s="243" t="s">
        <v>6</v>
      </c>
      <c r="M4547" s="51"/>
      <c r="N4547" s="68"/>
      <c r="O4547" s="208"/>
      <c r="P4547" s="218"/>
      <c r="Q4547" s="68"/>
      <c r="R4547" s="217"/>
      <c r="S4547" s="208"/>
    </row>
    <row r="4548" spans="1:25" ht="30" customHeight="1" x14ac:dyDescent="0.35">
      <c r="A4548" s="241" t="s">
        <v>1591</v>
      </c>
      <c r="B4548" s="1082" t="s">
        <v>1945</v>
      </c>
      <c r="C4548" s="1083"/>
      <c r="D4548" s="1093"/>
      <c r="E4548" s="40">
        <f>+(11100+13300)/2*1.3</f>
        <v>15860</v>
      </c>
      <c r="F4548" s="3" t="s">
        <v>10</v>
      </c>
      <c r="G4548" s="496">
        <v>1000</v>
      </c>
      <c r="H4548" s="498" t="s">
        <v>1944</v>
      </c>
      <c r="I4548" s="548">
        <v>1.02</v>
      </c>
      <c r="J4548" s="446"/>
      <c r="K4548" s="41">
        <f>+E4548/G4548*I4548</f>
        <v>16.177199999999999</v>
      </c>
      <c r="L4548" s="243" t="s">
        <v>6</v>
      </c>
      <c r="M4548" s="51"/>
      <c r="N4548" s="68"/>
      <c r="O4548" s="203"/>
      <c r="P4548" s="218"/>
      <c r="Q4548" s="68"/>
      <c r="R4548" s="217"/>
    </row>
    <row r="4549" spans="1:25" s="208" customFormat="1" ht="30" customHeight="1" x14ac:dyDescent="0.35">
      <c r="A4549" s="241" t="s">
        <v>1591</v>
      </c>
      <c r="B4549" s="1082" t="s">
        <v>3159</v>
      </c>
      <c r="C4549" s="1083"/>
      <c r="D4549" s="1093"/>
      <c r="E4549" s="40">
        <f>(0.82+1.58)/2</f>
        <v>1.2</v>
      </c>
      <c r="F4549" s="3" t="s">
        <v>8</v>
      </c>
      <c r="G4549" s="446">
        <v>8</v>
      </c>
      <c r="H4549" s="446" t="s">
        <v>1867</v>
      </c>
      <c r="I4549" s="548">
        <v>1.02</v>
      </c>
      <c r="J4549" s="446"/>
      <c r="K4549" s="890">
        <f>+E4549*G4549*I4549</f>
        <v>9.7919999999999998</v>
      </c>
      <c r="L4549" s="243" t="s">
        <v>6</v>
      </c>
      <c r="M4549" s="51"/>
      <c r="N4549" s="203"/>
      <c r="O4549" s="203"/>
      <c r="P4549" s="218"/>
      <c r="Q4549" s="68"/>
      <c r="R4549" s="217"/>
      <c r="T4549" s="203"/>
      <c r="U4549" s="203"/>
      <c r="V4549" s="203"/>
      <c r="W4549" s="203"/>
      <c r="X4549" s="203"/>
      <c r="Y4549" s="203"/>
    </row>
    <row r="4550" spans="1:25" ht="30" customHeight="1" x14ac:dyDescent="0.35">
      <c r="A4550" s="241"/>
      <c r="B4550" s="516"/>
      <c r="C4550" s="570"/>
      <c r="D4550" s="571"/>
      <c r="E4550" s="40"/>
      <c r="F4550" s="3"/>
      <c r="G4550" s="496"/>
      <c r="H4550" s="1287" t="s">
        <v>1946</v>
      </c>
      <c r="I4550" s="1287"/>
      <c r="J4550" s="1174"/>
      <c r="K4550" s="41">
        <f>SUM(K4545:K4549)</f>
        <v>54.733199999999997</v>
      </c>
      <c r="L4550" s="243" t="s">
        <v>6</v>
      </c>
      <c r="M4550" s="51"/>
      <c r="O4550" s="203"/>
      <c r="P4550" s="218"/>
      <c r="Q4550" s="68"/>
      <c r="R4550" s="217"/>
    </row>
    <row r="4551" spans="1:25" ht="30" customHeight="1" x14ac:dyDescent="0.35">
      <c r="A4551" s="241" t="s">
        <v>1591</v>
      </c>
      <c r="B4551" s="1031" t="s">
        <v>2481</v>
      </c>
      <c r="C4551" s="1032"/>
      <c r="D4551" s="1033"/>
      <c r="E4551" s="40"/>
      <c r="F4551" s="3"/>
      <c r="G4551" s="313">
        <v>-0.1</v>
      </c>
      <c r="H4551" s="497"/>
      <c r="I4551" s="658"/>
      <c r="J4551" s="659"/>
      <c r="K4551" s="41">
        <f>+G4551*K4550</f>
        <v>-5.4733200000000002</v>
      </c>
      <c r="L4551" s="676"/>
      <c r="O4551" s="203"/>
      <c r="P4551" s="218"/>
      <c r="Q4551" s="68"/>
      <c r="R4551" s="217"/>
      <c r="S4551" s="208"/>
    </row>
    <row r="4552" spans="1:25" ht="30" customHeight="1" x14ac:dyDescent="0.35">
      <c r="A4552" s="241"/>
      <c r="B4552" s="516"/>
      <c r="C4552" s="570"/>
      <c r="D4552" s="571"/>
      <c r="E4552" s="40"/>
      <c r="F4552" s="3"/>
      <c r="G4552" s="496"/>
      <c r="H4552" s="1287" t="s">
        <v>1947</v>
      </c>
      <c r="I4552" s="1287"/>
      <c r="J4552" s="1174"/>
      <c r="K4552" s="41">
        <f>SUM(K4550:K4551)</f>
        <v>49.259879999999995</v>
      </c>
      <c r="L4552" s="243" t="s">
        <v>6</v>
      </c>
      <c r="O4552" s="203"/>
      <c r="P4552" s="218"/>
      <c r="Q4552" s="68"/>
      <c r="R4552" s="217"/>
    </row>
    <row r="4553" spans="1:25" ht="30" customHeight="1" x14ac:dyDescent="0.35">
      <c r="A4553" s="241"/>
      <c r="B4553" s="506"/>
      <c r="C4553" s="506"/>
      <c r="D4553" s="506"/>
      <c r="E4553" s="453"/>
      <c r="F4553" s="1029" t="s">
        <v>302</v>
      </c>
      <c r="G4553" s="1058" t="s">
        <v>303</v>
      </c>
      <c r="H4553" s="1058"/>
      <c r="I4553" s="1058"/>
      <c r="J4553" s="1058"/>
      <c r="K4553" s="612">
        <v>1.07</v>
      </c>
      <c r="L4553" s="243"/>
      <c r="O4553" s="203"/>
      <c r="P4553" s="218"/>
      <c r="Q4553" s="68"/>
      <c r="R4553" s="217"/>
    </row>
    <row r="4554" spans="1:25" ht="30" customHeight="1" x14ac:dyDescent="0.35">
      <c r="A4554" s="241"/>
      <c r="B4554" s="506"/>
      <c r="C4554" s="506"/>
      <c r="D4554" s="506"/>
      <c r="E4554" s="453"/>
      <c r="F4554" s="1030"/>
      <c r="G4554" s="1073" t="s">
        <v>2374</v>
      </c>
      <c r="H4554" s="1073"/>
      <c r="I4554" s="1073"/>
      <c r="J4554" s="1073"/>
      <c r="K4554" s="612">
        <v>1.08</v>
      </c>
      <c r="L4554" s="243"/>
      <c r="O4554" s="203"/>
      <c r="P4554" s="218"/>
      <c r="Q4554" s="68"/>
      <c r="R4554" s="217"/>
    </row>
    <row r="4555" spans="1:25" ht="30" customHeight="1" x14ac:dyDescent="0.35">
      <c r="A4555" s="603"/>
      <c r="B4555" s="446"/>
      <c r="C4555" s="458"/>
      <c r="D4555" s="458"/>
      <c r="E4555" s="458"/>
      <c r="F4555" s="458"/>
      <c r="G4555" s="458"/>
      <c r="H4555" s="458"/>
      <c r="I4555" s="458"/>
      <c r="J4555" s="446" t="s">
        <v>2356</v>
      </c>
      <c r="K4555" s="680">
        <f>+K4552*K4553/K4554</f>
        <v>48.803769999999993</v>
      </c>
      <c r="L4555" s="243" t="s">
        <v>6</v>
      </c>
      <c r="M4555" s="173"/>
      <c r="O4555" s="203"/>
      <c r="P4555" s="218"/>
      <c r="Q4555" s="68"/>
      <c r="R4555" s="217"/>
    </row>
    <row r="4556" spans="1:25" ht="30" customHeight="1" x14ac:dyDescent="0.35">
      <c r="A4556" s="603"/>
      <c r="B4556" s="446"/>
      <c r="C4556" s="458"/>
      <c r="D4556" s="458"/>
      <c r="E4556" s="458"/>
      <c r="F4556" s="458"/>
      <c r="G4556" s="958" t="s">
        <v>2359</v>
      </c>
      <c r="H4556" s="458"/>
      <c r="I4556" s="458"/>
      <c r="J4556" s="583">
        <f>VLOOKUP(B4543,'Mil Cost Premiums for PUCs'!$A$4:$R$272,18,FALSE)</f>
        <v>1.0905505199999999</v>
      </c>
      <c r="K4556" s="680">
        <f>+K4555*J4556</f>
        <v>53.222976751460386</v>
      </c>
      <c r="L4556" s="243" t="s">
        <v>6</v>
      </c>
      <c r="N4556" s="68"/>
      <c r="O4556" s="203"/>
      <c r="P4556" s="218"/>
      <c r="Q4556" s="68"/>
      <c r="R4556" s="217"/>
    </row>
    <row r="4557" spans="1:25" ht="60" customHeight="1" x14ac:dyDescent="0.35">
      <c r="A4557" s="1064" t="s">
        <v>305</v>
      </c>
      <c r="B4557" s="1065"/>
      <c r="C4557" s="1065"/>
      <c r="D4557" s="1065"/>
      <c r="E4557" s="1065"/>
      <c r="F4557" s="1065"/>
      <c r="G4557" s="1065"/>
      <c r="H4557" s="1065"/>
      <c r="I4557" s="1065"/>
      <c r="J4557" s="1065"/>
      <c r="K4557" s="1065"/>
      <c r="L4557" s="1066"/>
      <c r="N4557" s="68"/>
      <c r="O4557" s="171"/>
      <c r="P4557" s="216"/>
      <c r="Q4557" s="419"/>
      <c r="R4557" s="219"/>
    </row>
    <row r="4558" spans="1:25" ht="30" customHeight="1" x14ac:dyDescent="0.35">
      <c r="A4558" s="1077" t="s">
        <v>306</v>
      </c>
      <c r="B4558" s="1042"/>
      <c r="C4558" s="1043"/>
      <c r="D4558" s="1067" t="s">
        <v>1948</v>
      </c>
      <c r="E4558" s="1065"/>
      <c r="F4558" s="1065"/>
      <c r="G4558" s="1065"/>
      <c r="H4558" s="1065"/>
      <c r="I4558" s="1065"/>
      <c r="J4558" s="1065"/>
      <c r="K4558" s="1065"/>
      <c r="L4558" s="1066"/>
      <c r="N4558" s="68"/>
      <c r="O4558" s="171"/>
      <c r="P4558" s="216"/>
      <c r="Q4558" s="419"/>
      <c r="R4558" s="219"/>
    </row>
    <row r="4559" spans="1:25" ht="30" customHeight="1" x14ac:dyDescent="0.35">
      <c r="A4559" s="1077" t="s">
        <v>307</v>
      </c>
      <c r="B4559" s="1042"/>
      <c r="C4559" s="1043"/>
      <c r="D4559" s="1067" t="s">
        <v>1949</v>
      </c>
      <c r="E4559" s="1065"/>
      <c r="F4559" s="1065"/>
      <c r="G4559" s="1065"/>
      <c r="H4559" s="1065"/>
      <c r="I4559" s="1065"/>
      <c r="J4559" s="1065"/>
      <c r="K4559" s="1065"/>
      <c r="L4559" s="1066"/>
      <c r="M4559" s="537"/>
      <c r="N4559" s="68"/>
      <c r="O4559" s="203"/>
      <c r="P4559" s="218"/>
      <c r="Q4559" s="68"/>
      <c r="R4559" s="217"/>
    </row>
    <row r="4560" spans="1:25" ht="30" customHeight="1" x14ac:dyDescent="0.35">
      <c r="A4560" s="1077" t="s">
        <v>308</v>
      </c>
      <c r="B4560" s="1042"/>
      <c r="C4560" s="1043"/>
      <c r="D4560" s="1067" t="s">
        <v>3177</v>
      </c>
      <c r="E4560" s="1065"/>
      <c r="F4560" s="1065"/>
      <c r="G4560" s="1065"/>
      <c r="H4560" s="1065"/>
      <c r="I4560" s="1065"/>
      <c r="J4560" s="1065"/>
      <c r="K4560" s="1065"/>
      <c r="L4560" s="1066"/>
      <c r="M4560" s="51"/>
      <c r="N4560" s="68"/>
      <c r="O4560" s="203"/>
      <c r="P4560" s="218"/>
      <c r="Q4560" s="68"/>
      <c r="R4560" s="217"/>
    </row>
    <row r="4561" spans="1:25" ht="30" customHeight="1" x14ac:dyDescent="0.35">
      <c r="A4561" s="1077" t="s">
        <v>309</v>
      </c>
      <c r="B4561" s="1042"/>
      <c r="C4561" s="1043"/>
      <c r="D4561" s="1067" t="s">
        <v>1950</v>
      </c>
      <c r="E4561" s="1065"/>
      <c r="F4561" s="1065"/>
      <c r="G4561" s="1065"/>
      <c r="H4561" s="1065"/>
      <c r="I4561" s="1065"/>
      <c r="J4561" s="1065"/>
      <c r="K4561" s="1065"/>
      <c r="L4561" s="1066"/>
      <c r="N4561" s="68"/>
      <c r="O4561" s="203"/>
      <c r="P4561" s="218"/>
      <c r="Q4561" s="68"/>
      <c r="R4561" s="217"/>
      <c r="T4561" s="208"/>
      <c r="U4561" s="208"/>
      <c r="V4561" s="208"/>
      <c r="W4561" s="208"/>
      <c r="X4561" s="208"/>
    </row>
    <row r="4562" spans="1:25" ht="30" customHeight="1" x14ac:dyDescent="0.35">
      <c r="A4562" s="1077" t="s">
        <v>311</v>
      </c>
      <c r="B4562" s="1042"/>
      <c r="C4562" s="1043"/>
      <c r="D4562" s="1067" t="s">
        <v>1951</v>
      </c>
      <c r="E4562" s="1065"/>
      <c r="F4562" s="1065"/>
      <c r="G4562" s="1065"/>
      <c r="H4562" s="1065"/>
      <c r="I4562" s="1065"/>
      <c r="J4562" s="1065"/>
      <c r="K4562" s="1065"/>
      <c r="L4562" s="1066"/>
      <c r="N4562" s="68"/>
      <c r="O4562" s="203"/>
      <c r="P4562" s="218"/>
      <c r="Q4562" s="68"/>
      <c r="R4562" s="217"/>
      <c r="Y4562" s="208"/>
    </row>
    <row r="4563" spans="1:25" ht="30" customHeight="1" x14ac:dyDescent="0.35">
      <c r="A4563" s="1077" t="s">
        <v>313</v>
      </c>
      <c r="B4563" s="1042"/>
      <c r="C4563" s="1043"/>
      <c r="D4563" s="1067" t="s">
        <v>1682</v>
      </c>
      <c r="E4563" s="1065"/>
      <c r="F4563" s="1065"/>
      <c r="G4563" s="1065"/>
      <c r="H4563" s="1065"/>
      <c r="I4563" s="1065"/>
      <c r="J4563" s="1065"/>
      <c r="K4563" s="1065"/>
      <c r="L4563" s="1066"/>
      <c r="M4563" s="368"/>
      <c r="N4563" s="68"/>
      <c r="O4563" s="208"/>
      <c r="P4563" s="218"/>
      <c r="Q4563" s="68"/>
      <c r="R4563" s="217"/>
      <c r="S4563" s="208"/>
    </row>
    <row r="4564" spans="1:25" ht="30" customHeight="1" x14ac:dyDescent="0.35">
      <c r="A4564" s="1077" t="s">
        <v>315</v>
      </c>
      <c r="B4564" s="1042"/>
      <c r="C4564" s="1043"/>
      <c r="D4564" s="1067" t="s">
        <v>1952</v>
      </c>
      <c r="E4564" s="1065"/>
      <c r="F4564" s="1065"/>
      <c r="G4564" s="1065"/>
      <c r="H4564" s="1065"/>
      <c r="I4564" s="1065"/>
      <c r="J4564" s="1065"/>
      <c r="K4564" s="1065"/>
      <c r="L4564" s="1066"/>
      <c r="N4564" s="68"/>
      <c r="O4564" s="203"/>
      <c r="P4564" s="218"/>
      <c r="Q4564" s="68"/>
      <c r="R4564" s="217"/>
    </row>
    <row r="4565" spans="1:25" s="208" customFormat="1" ht="30" customHeight="1" x14ac:dyDescent="0.35">
      <c r="A4565" s="1077" t="s">
        <v>316</v>
      </c>
      <c r="B4565" s="1042"/>
      <c r="C4565" s="1043"/>
      <c r="D4565" s="1067" t="s">
        <v>317</v>
      </c>
      <c r="E4565" s="1065"/>
      <c r="F4565" s="1065"/>
      <c r="G4565" s="1065"/>
      <c r="H4565" s="1065"/>
      <c r="I4565" s="1065"/>
      <c r="J4565" s="1065"/>
      <c r="K4565" s="1065"/>
      <c r="L4565" s="1066"/>
      <c r="M4565" s="57"/>
      <c r="N4565" s="68"/>
      <c r="O4565" s="171"/>
      <c r="P4565" s="218"/>
      <c r="Q4565" s="68"/>
      <c r="R4565" s="217"/>
      <c r="S4565" s="203"/>
      <c r="T4565" s="203"/>
      <c r="U4565" s="203"/>
      <c r="V4565" s="203"/>
      <c r="W4565" s="203"/>
      <c r="X4565" s="203"/>
      <c r="Y4565" s="203"/>
    </row>
    <row r="4566" spans="1:25" ht="90" customHeight="1" thickBot="1" x14ac:dyDescent="0.4">
      <c r="A4566" s="1078" t="s">
        <v>318</v>
      </c>
      <c r="B4566" s="1079"/>
      <c r="C4566" s="1080"/>
      <c r="D4566" s="1068" t="s">
        <v>2597</v>
      </c>
      <c r="E4566" s="1069"/>
      <c r="F4566" s="1069"/>
      <c r="G4566" s="1069"/>
      <c r="H4566" s="1069"/>
      <c r="I4566" s="1069"/>
      <c r="J4566" s="1069"/>
      <c r="K4566" s="1069"/>
      <c r="L4566" s="1070"/>
      <c r="N4566" s="419"/>
      <c r="O4566" s="171"/>
      <c r="P4566" s="218"/>
      <c r="Q4566" s="68"/>
      <c r="R4566" s="217"/>
    </row>
    <row r="4567" spans="1:25" ht="30" customHeight="1" thickBot="1" x14ac:dyDescent="0.4">
      <c r="A4567" s="489"/>
      <c r="B4567" s="490"/>
      <c r="C4567" s="490"/>
      <c r="D4567" s="490"/>
      <c r="E4567" s="490"/>
      <c r="F4567" s="490"/>
      <c r="G4567" s="490"/>
      <c r="H4567" s="490"/>
      <c r="I4567" s="490"/>
      <c r="J4567" s="490"/>
      <c r="K4567" s="490"/>
      <c r="L4567" s="491"/>
      <c r="N4567" s="419"/>
      <c r="O4567" s="203"/>
      <c r="P4567" s="218"/>
      <c r="Q4567" s="68"/>
      <c r="R4567" s="217"/>
    </row>
    <row r="4568" spans="1:25" ht="30" customHeight="1" x14ac:dyDescent="0.35">
      <c r="A4568" s="465" t="s">
        <v>278</v>
      </c>
      <c r="B4568" s="539">
        <v>8722</v>
      </c>
      <c r="C4568" s="1231" t="s">
        <v>1953</v>
      </c>
      <c r="D4568" s="1327"/>
      <c r="E4568" s="541" t="s">
        <v>280</v>
      </c>
      <c r="F4568" s="542" t="s">
        <v>6</v>
      </c>
      <c r="G4568" s="543" t="s">
        <v>285</v>
      </c>
      <c r="H4568" s="555">
        <v>5844</v>
      </c>
      <c r="I4568" s="541" t="s">
        <v>281</v>
      </c>
      <c r="J4568" s="1019" t="s">
        <v>2371</v>
      </c>
      <c r="K4568" s="1019"/>
      <c r="L4568" s="1020"/>
      <c r="O4568" s="203"/>
      <c r="P4568" s="218"/>
      <c r="Q4568" s="68"/>
      <c r="R4568" s="217"/>
    </row>
    <row r="4569" spans="1:25" ht="30" customHeight="1" x14ac:dyDescent="0.35">
      <c r="A4569" s="588" t="s">
        <v>298</v>
      </c>
      <c r="B4569" s="1038" t="s">
        <v>321</v>
      </c>
      <c r="C4569" s="1039"/>
      <c r="D4569" s="1040"/>
      <c r="E4569" s="23" t="s">
        <v>290</v>
      </c>
      <c r="F4569" s="23" t="s">
        <v>322</v>
      </c>
      <c r="G4569" s="1034" t="s">
        <v>323</v>
      </c>
      <c r="H4569" s="1035"/>
      <c r="I4569" s="509" t="s">
        <v>299</v>
      </c>
      <c r="J4569" s="509"/>
      <c r="K4569" s="1012" t="s">
        <v>292</v>
      </c>
      <c r="L4569" s="1013"/>
      <c r="N4569" s="419"/>
      <c r="O4569" s="203"/>
      <c r="P4569" s="218"/>
      <c r="Q4569" s="68"/>
      <c r="R4569" s="217"/>
    </row>
    <row r="4570" spans="1:25" ht="30" customHeight="1" x14ac:dyDescent="0.35">
      <c r="A4570" s="575" t="s">
        <v>1591</v>
      </c>
      <c r="B4570" s="1116" t="s">
        <v>2290</v>
      </c>
      <c r="C4570" s="1042"/>
      <c r="D4570" s="1043"/>
      <c r="E4570" s="315">
        <v>39.25</v>
      </c>
      <c r="F4570" s="309" t="s">
        <v>6</v>
      </c>
      <c r="G4570" s="132"/>
      <c r="H4570" s="70"/>
      <c r="I4570" s="548">
        <v>1.02</v>
      </c>
      <c r="J4570" s="548"/>
      <c r="K4570" s="316">
        <f>+E4570*I4570</f>
        <v>40.035000000000004</v>
      </c>
      <c r="L4570" s="969" t="s">
        <v>6</v>
      </c>
      <c r="O4570" s="203"/>
      <c r="P4570" s="218"/>
      <c r="Q4570" s="68"/>
      <c r="R4570" s="217"/>
    </row>
    <row r="4571" spans="1:25" ht="30" customHeight="1" x14ac:dyDescent="0.35">
      <c r="A4571" s="241" t="s">
        <v>1591</v>
      </c>
      <c r="B4571" s="1031" t="s">
        <v>1943</v>
      </c>
      <c r="C4571" s="1032"/>
      <c r="D4571" s="1033"/>
      <c r="E4571" s="40">
        <v>3.4</v>
      </c>
      <c r="F4571" s="3" t="s">
        <v>6</v>
      </c>
      <c r="G4571" s="496"/>
      <c r="H4571" s="498"/>
      <c r="I4571" s="548">
        <v>1.02</v>
      </c>
      <c r="J4571" s="446"/>
      <c r="K4571" s="41">
        <f>+E4571*I4571</f>
        <v>3.468</v>
      </c>
      <c r="L4571" s="676" t="s">
        <v>6</v>
      </c>
      <c r="N4571" s="419"/>
      <c r="O4571" s="203"/>
      <c r="P4571" s="218"/>
      <c r="Q4571" s="68"/>
      <c r="R4571" s="217"/>
    </row>
    <row r="4572" spans="1:25" ht="30" customHeight="1" x14ac:dyDescent="0.35">
      <c r="A4572" s="241" t="s">
        <v>1591</v>
      </c>
      <c r="B4572" s="1031" t="s">
        <v>1954</v>
      </c>
      <c r="C4572" s="1032"/>
      <c r="D4572" s="1033"/>
      <c r="E4572" s="40">
        <v>12.4</v>
      </c>
      <c r="F4572" s="3" t="s">
        <v>6</v>
      </c>
      <c r="G4572" s="496"/>
      <c r="H4572" s="498"/>
      <c r="I4572" s="548">
        <v>1.02</v>
      </c>
      <c r="J4572" s="446"/>
      <c r="K4572" s="41">
        <f>+E4572*I4572</f>
        <v>12.648000000000001</v>
      </c>
      <c r="L4572" s="676" t="s">
        <v>6</v>
      </c>
      <c r="O4572" s="203"/>
      <c r="P4572" s="218"/>
      <c r="Q4572" s="68"/>
      <c r="R4572" s="217"/>
    </row>
    <row r="4573" spans="1:25" ht="30" customHeight="1" x14ac:dyDescent="0.35">
      <c r="A4573" s="241" t="s">
        <v>1591</v>
      </c>
      <c r="B4573" s="1031" t="s">
        <v>2291</v>
      </c>
      <c r="C4573" s="1032"/>
      <c r="D4573" s="1033"/>
      <c r="E4573" s="40">
        <v>1830</v>
      </c>
      <c r="F4573" s="3" t="s">
        <v>10</v>
      </c>
      <c r="G4573" s="43">
        <v>1000</v>
      </c>
      <c r="H4573" s="498" t="s">
        <v>1944</v>
      </c>
      <c r="I4573" s="548">
        <v>1.02</v>
      </c>
      <c r="J4573" s="446"/>
      <c r="K4573" s="41">
        <f>+E4573/G4573*I4573</f>
        <v>1.8666</v>
      </c>
      <c r="L4573" s="676" t="s">
        <v>6</v>
      </c>
      <c r="N4573" s="419"/>
      <c r="O4573" s="203"/>
      <c r="P4573" s="216"/>
      <c r="Q4573" s="419"/>
      <c r="R4573" s="219"/>
    </row>
    <row r="4574" spans="1:25" ht="30" customHeight="1" x14ac:dyDescent="0.35">
      <c r="A4574" s="241" t="s">
        <v>1591</v>
      </c>
      <c r="B4574" s="1082" t="s">
        <v>1955</v>
      </c>
      <c r="C4574" s="1083"/>
      <c r="D4574" s="1093"/>
      <c r="E4574" s="40">
        <f>+(11100+13000)/2*1.3</f>
        <v>15665</v>
      </c>
      <c r="F4574" s="3" t="s">
        <v>10</v>
      </c>
      <c r="G4574" s="43">
        <v>1000</v>
      </c>
      <c r="H4574" s="498" t="s">
        <v>1944</v>
      </c>
      <c r="I4574" s="548">
        <v>1.02</v>
      </c>
      <c r="J4574" s="446"/>
      <c r="K4574" s="41">
        <f>+E4574/G4574*I4574</f>
        <v>15.978299999999999</v>
      </c>
      <c r="L4574" s="676" t="s">
        <v>6</v>
      </c>
      <c r="O4574" s="203"/>
      <c r="P4574" s="216"/>
      <c r="Q4574" s="419"/>
      <c r="R4574" s="219"/>
    </row>
    <row r="4575" spans="1:25" ht="30" customHeight="1" x14ac:dyDescent="0.35">
      <c r="A4575" s="241" t="s">
        <v>1591</v>
      </c>
      <c r="B4575" s="1082" t="s">
        <v>3160</v>
      </c>
      <c r="C4575" s="1083"/>
      <c r="D4575" s="1093"/>
      <c r="E4575" s="40">
        <f>+(0.82+1.58)/2*12</f>
        <v>14.399999999999999</v>
      </c>
      <c r="F4575" s="3" t="s">
        <v>6</v>
      </c>
      <c r="G4575" s="496"/>
      <c r="H4575" s="498"/>
      <c r="I4575" s="548">
        <v>1.02</v>
      </c>
      <c r="J4575" s="446"/>
      <c r="K4575" s="41">
        <f>+E4575*I4575</f>
        <v>14.687999999999999</v>
      </c>
      <c r="L4575" s="676" t="s">
        <v>6</v>
      </c>
      <c r="N4575" s="419"/>
      <c r="O4575" s="203"/>
      <c r="P4575" s="218"/>
      <c r="Q4575" s="68"/>
      <c r="R4575" s="217"/>
    </row>
    <row r="4576" spans="1:25" ht="30" customHeight="1" x14ac:dyDescent="0.35">
      <c r="A4576" s="603"/>
      <c r="B4576" s="1102"/>
      <c r="C4576" s="1102"/>
      <c r="D4576" s="1102"/>
      <c r="E4576" s="453"/>
      <c r="F4576" s="446"/>
      <c r="G4576" s="446"/>
      <c r="H4576" s="446"/>
      <c r="I4576" s="446"/>
      <c r="J4576" s="446" t="s">
        <v>362</v>
      </c>
      <c r="K4576" s="679">
        <f>SUM(K4570:K4575)</f>
        <v>88.683900000000008</v>
      </c>
      <c r="L4576" s="243" t="s">
        <v>6</v>
      </c>
      <c r="N4576" s="68"/>
      <c r="O4576" s="203"/>
      <c r="P4576" s="218"/>
      <c r="Q4576" s="68"/>
      <c r="R4576" s="217"/>
    </row>
    <row r="4577" spans="1:25" ht="30" customHeight="1" x14ac:dyDescent="0.35">
      <c r="A4577" s="603"/>
      <c r="B4577" s="1082" t="s">
        <v>2289</v>
      </c>
      <c r="C4577" s="1083"/>
      <c r="D4577" s="1093"/>
      <c r="E4577" s="453"/>
      <c r="F4577" s="446"/>
      <c r="G4577" s="446"/>
      <c r="H4577" s="446"/>
      <c r="I4577" s="446"/>
      <c r="J4577" s="446"/>
      <c r="K4577" s="679">
        <f>+K4576*0.85</f>
        <v>75.381315000000001</v>
      </c>
      <c r="L4577" s="243" t="s">
        <v>6</v>
      </c>
      <c r="N4577" s="68"/>
      <c r="O4577" s="203"/>
      <c r="P4577" s="218"/>
      <c r="Q4577" s="68"/>
      <c r="R4577" s="217"/>
      <c r="T4577" s="208"/>
      <c r="U4577" s="208"/>
      <c r="V4577" s="208"/>
      <c r="W4577" s="208"/>
      <c r="X4577" s="208"/>
    </row>
    <row r="4578" spans="1:25" ht="30" customHeight="1" x14ac:dyDescent="0.35">
      <c r="A4578" s="241"/>
      <c r="B4578" s="506"/>
      <c r="C4578" s="506"/>
      <c r="D4578" s="506"/>
      <c r="E4578" s="453"/>
      <c r="F4578" s="1029" t="s">
        <v>302</v>
      </c>
      <c r="G4578" s="1058" t="s">
        <v>303</v>
      </c>
      <c r="H4578" s="1058"/>
      <c r="I4578" s="1058"/>
      <c r="J4578" s="1058"/>
      <c r="K4578" s="612">
        <v>1.07</v>
      </c>
      <c r="L4578" s="243"/>
      <c r="N4578" s="68"/>
      <c r="O4578" s="203"/>
      <c r="P4578" s="218"/>
      <c r="Q4578" s="68"/>
      <c r="R4578" s="217"/>
      <c r="Y4578" s="208"/>
    </row>
    <row r="4579" spans="1:25" ht="30" customHeight="1" x14ac:dyDescent="0.35">
      <c r="A4579" s="241"/>
      <c r="B4579" s="506"/>
      <c r="C4579" s="506"/>
      <c r="D4579" s="506"/>
      <c r="E4579" s="453"/>
      <c r="F4579" s="1030"/>
      <c r="G4579" s="1073" t="s">
        <v>2374</v>
      </c>
      <c r="H4579" s="1073"/>
      <c r="I4579" s="1073"/>
      <c r="J4579" s="1073"/>
      <c r="K4579" s="612">
        <v>1.08</v>
      </c>
      <c r="L4579" s="243"/>
      <c r="M4579" s="173"/>
      <c r="N4579" s="68"/>
      <c r="O4579" s="208"/>
      <c r="P4579" s="218"/>
      <c r="Q4579" s="68"/>
      <c r="R4579" s="217"/>
      <c r="S4579" s="208"/>
    </row>
    <row r="4580" spans="1:25" ht="30" customHeight="1" x14ac:dyDescent="0.35">
      <c r="A4580" s="603"/>
      <c r="B4580" s="446"/>
      <c r="C4580" s="458"/>
      <c r="D4580" s="458"/>
      <c r="E4580" s="458"/>
      <c r="F4580" s="458"/>
      <c r="G4580" s="458"/>
      <c r="H4580" s="458"/>
      <c r="I4580" s="458"/>
      <c r="J4580" s="446" t="s">
        <v>2356</v>
      </c>
      <c r="K4580" s="680">
        <f>+K4577*K4578/K4579</f>
        <v>74.683339861111108</v>
      </c>
      <c r="L4580" s="243" t="s">
        <v>6</v>
      </c>
      <c r="N4580" s="68"/>
      <c r="O4580" s="203"/>
      <c r="P4580" s="218"/>
      <c r="Q4580" s="68"/>
      <c r="R4580" s="217"/>
    </row>
    <row r="4581" spans="1:25" s="208" customFormat="1" ht="30" customHeight="1" x14ac:dyDescent="0.35">
      <c r="A4581" s="603"/>
      <c r="B4581" s="446"/>
      <c r="C4581" s="458"/>
      <c r="D4581" s="458"/>
      <c r="E4581" s="458"/>
      <c r="F4581" s="458"/>
      <c r="G4581" s="613" t="s">
        <v>2359</v>
      </c>
      <c r="H4581" s="458"/>
      <c r="I4581" s="458"/>
      <c r="J4581" s="583">
        <f>VLOOKUP(B4568,'Mil Cost Premiums for PUCs'!$A$4:$R$272,18,FALSE)</f>
        <v>1.0905505199999999</v>
      </c>
      <c r="K4581" s="591">
        <f>+K4580*J4581</f>
        <v>81.445955120871432</v>
      </c>
      <c r="L4581" s="243" t="s">
        <v>6</v>
      </c>
      <c r="M4581" s="57"/>
      <c r="N4581" s="68"/>
      <c r="O4581" s="171"/>
      <c r="P4581" s="216"/>
      <c r="Q4581" s="419"/>
      <c r="R4581" s="219"/>
      <c r="S4581" s="203"/>
      <c r="T4581" s="203"/>
      <c r="U4581" s="203"/>
      <c r="V4581" s="203"/>
      <c r="W4581" s="203"/>
      <c r="X4581" s="203"/>
      <c r="Y4581" s="203"/>
    </row>
    <row r="4582" spans="1:25" ht="60" customHeight="1" x14ac:dyDescent="0.35">
      <c r="A4582" s="1064" t="s">
        <v>305</v>
      </c>
      <c r="B4582" s="1065"/>
      <c r="C4582" s="1065"/>
      <c r="D4582" s="1065"/>
      <c r="E4582" s="1065"/>
      <c r="F4582" s="1065"/>
      <c r="G4582" s="1065"/>
      <c r="H4582" s="1065"/>
      <c r="I4582" s="1065"/>
      <c r="J4582" s="1065"/>
      <c r="K4582" s="1065"/>
      <c r="L4582" s="1066"/>
      <c r="N4582" s="419"/>
      <c r="O4582" s="171"/>
      <c r="P4582" s="216"/>
      <c r="Q4582" s="419"/>
      <c r="R4582" s="219"/>
    </row>
    <row r="4583" spans="1:25" ht="30" customHeight="1" x14ac:dyDescent="0.35">
      <c r="A4583" s="1077" t="s">
        <v>306</v>
      </c>
      <c r="B4583" s="1042"/>
      <c r="C4583" s="1043"/>
      <c r="D4583" s="1067" t="s">
        <v>1956</v>
      </c>
      <c r="E4583" s="1065"/>
      <c r="F4583" s="1065"/>
      <c r="G4583" s="1065"/>
      <c r="H4583" s="1065"/>
      <c r="I4583" s="1065"/>
      <c r="J4583" s="1065"/>
      <c r="K4583" s="1065"/>
      <c r="L4583" s="1066"/>
      <c r="N4583" s="419"/>
      <c r="O4583" s="203"/>
      <c r="P4583" s="218"/>
      <c r="Q4583" s="68"/>
      <c r="R4583" s="217"/>
    </row>
    <row r="4584" spans="1:25" ht="30" customHeight="1" x14ac:dyDescent="0.35">
      <c r="A4584" s="1077" t="s">
        <v>307</v>
      </c>
      <c r="B4584" s="1042"/>
      <c r="C4584" s="1043"/>
      <c r="D4584" s="1067" t="s">
        <v>1957</v>
      </c>
      <c r="E4584" s="1065"/>
      <c r="F4584" s="1065"/>
      <c r="G4584" s="1065"/>
      <c r="H4584" s="1065"/>
      <c r="I4584" s="1065"/>
      <c r="J4584" s="1065"/>
      <c r="K4584" s="1065"/>
      <c r="L4584" s="1066"/>
      <c r="N4584" s="68"/>
      <c r="O4584" s="203"/>
      <c r="P4584" s="218"/>
      <c r="Q4584" s="68"/>
      <c r="R4584" s="217"/>
    </row>
    <row r="4585" spans="1:25" ht="30" customHeight="1" x14ac:dyDescent="0.35">
      <c r="A4585" s="1077" t="s">
        <v>308</v>
      </c>
      <c r="B4585" s="1042"/>
      <c r="C4585" s="1043"/>
      <c r="D4585" s="1067" t="s">
        <v>3176</v>
      </c>
      <c r="E4585" s="1065"/>
      <c r="F4585" s="1065"/>
      <c r="G4585" s="1065"/>
      <c r="H4585" s="1065"/>
      <c r="I4585" s="1065"/>
      <c r="J4585" s="1065"/>
      <c r="K4585" s="1065"/>
      <c r="L4585" s="1066"/>
      <c r="M4585" s="51"/>
      <c r="N4585" s="68"/>
      <c r="O4585" s="203"/>
      <c r="P4585" s="218"/>
      <c r="Q4585" s="68"/>
      <c r="R4585" s="217"/>
      <c r="T4585" s="208"/>
      <c r="U4585" s="208"/>
      <c r="V4585" s="208"/>
      <c r="W4585" s="208"/>
      <c r="X4585" s="208"/>
    </row>
    <row r="4586" spans="1:25" ht="30" customHeight="1" x14ac:dyDescent="0.35">
      <c r="A4586" s="1077" t="s">
        <v>309</v>
      </c>
      <c r="B4586" s="1042"/>
      <c r="C4586" s="1043"/>
      <c r="D4586" s="1067" t="s">
        <v>1958</v>
      </c>
      <c r="E4586" s="1065"/>
      <c r="F4586" s="1065"/>
      <c r="G4586" s="1065"/>
      <c r="H4586" s="1065"/>
      <c r="I4586" s="1065"/>
      <c r="J4586" s="1065"/>
      <c r="K4586" s="1065"/>
      <c r="L4586" s="1066"/>
      <c r="M4586" s="51"/>
      <c r="N4586" s="68"/>
      <c r="O4586" s="203"/>
      <c r="P4586" s="218"/>
      <c r="Q4586" s="68"/>
      <c r="R4586" s="217"/>
      <c r="Y4586" s="208"/>
    </row>
    <row r="4587" spans="1:25" ht="30" customHeight="1" x14ac:dyDescent="0.35">
      <c r="A4587" s="1077" t="s">
        <v>311</v>
      </c>
      <c r="B4587" s="1042"/>
      <c r="C4587" s="1043"/>
      <c r="D4587" s="1067" t="s">
        <v>1951</v>
      </c>
      <c r="E4587" s="1065"/>
      <c r="F4587" s="1065"/>
      <c r="G4587" s="1065"/>
      <c r="H4587" s="1065"/>
      <c r="I4587" s="1065"/>
      <c r="J4587" s="1065"/>
      <c r="K4587" s="1065"/>
      <c r="L4587" s="1066"/>
      <c r="N4587" s="68"/>
      <c r="O4587" s="208"/>
      <c r="P4587" s="218"/>
      <c r="Q4587" s="68"/>
      <c r="R4587" s="217"/>
      <c r="S4587" s="208"/>
    </row>
    <row r="4588" spans="1:25" ht="30" customHeight="1" x14ac:dyDescent="0.35">
      <c r="A4588" s="1077" t="s">
        <v>313</v>
      </c>
      <c r="B4588" s="1042"/>
      <c r="C4588" s="1043"/>
      <c r="D4588" s="1067" t="s">
        <v>1682</v>
      </c>
      <c r="E4588" s="1065"/>
      <c r="F4588" s="1065"/>
      <c r="G4588" s="1065"/>
      <c r="H4588" s="1065"/>
      <c r="I4588" s="1065"/>
      <c r="J4588" s="1065"/>
      <c r="K4588" s="1065"/>
      <c r="L4588" s="1066"/>
      <c r="N4588" s="68"/>
      <c r="O4588" s="203"/>
      <c r="P4588" s="218"/>
      <c r="Q4588" s="68"/>
      <c r="R4588" s="217"/>
    </row>
    <row r="4589" spans="1:25" s="208" customFormat="1" ht="30" customHeight="1" x14ac:dyDescent="0.35">
      <c r="A4589" s="1077" t="s">
        <v>315</v>
      </c>
      <c r="B4589" s="1042"/>
      <c r="C4589" s="1043"/>
      <c r="D4589" s="1067" t="s">
        <v>1959</v>
      </c>
      <c r="E4589" s="1065"/>
      <c r="F4589" s="1065"/>
      <c r="G4589" s="1065"/>
      <c r="H4589" s="1065"/>
      <c r="I4589" s="1065"/>
      <c r="J4589" s="1065"/>
      <c r="K4589" s="1065"/>
      <c r="L4589" s="1066"/>
      <c r="M4589" s="57"/>
      <c r="N4589" s="68"/>
      <c r="O4589" s="203"/>
      <c r="P4589" s="218"/>
      <c r="Q4589" s="68"/>
      <c r="R4589" s="217"/>
      <c r="S4589" s="203"/>
      <c r="T4589" s="203"/>
      <c r="U4589" s="203"/>
      <c r="V4589" s="203"/>
      <c r="W4589" s="203"/>
      <c r="X4589" s="203"/>
      <c r="Y4589" s="203"/>
    </row>
    <row r="4590" spans="1:25" ht="30" customHeight="1" x14ac:dyDescent="0.35">
      <c r="A4590" s="1077" t="s">
        <v>316</v>
      </c>
      <c r="B4590" s="1042"/>
      <c r="C4590" s="1043"/>
      <c r="D4590" s="1067" t="s">
        <v>317</v>
      </c>
      <c r="E4590" s="1065"/>
      <c r="F4590" s="1065"/>
      <c r="G4590" s="1065"/>
      <c r="H4590" s="1065"/>
      <c r="I4590" s="1065"/>
      <c r="J4590" s="1065"/>
      <c r="K4590" s="1065"/>
      <c r="L4590" s="1066"/>
      <c r="N4590" s="419"/>
      <c r="O4590" s="203"/>
      <c r="P4590" s="218"/>
      <c r="Q4590" s="68"/>
      <c r="R4590" s="217"/>
    </row>
    <row r="4591" spans="1:25" ht="90" customHeight="1" thickBot="1" x14ac:dyDescent="0.4">
      <c r="A4591" s="1078" t="s">
        <v>318</v>
      </c>
      <c r="B4591" s="1079"/>
      <c r="C4591" s="1080"/>
      <c r="D4591" s="1068" t="s">
        <v>3201</v>
      </c>
      <c r="E4591" s="1069"/>
      <c r="F4591" s="1069"/>
      <c r="G4591" s="1069"/>
      <c r="H4591" s="1069"/>
      <c r="I4591" s="1069"/>
      <c r="J4591" s="1069"/>
      <c r="K4591" s="1069"/>
      <c r="L4591" s="1070"/>
      <c r="N4591" s="419"/>
      <c r="O4591" s="171"/>
      <c r="P4591" s="216"/>
      <c r="Q4591" s="419"/>
      <c r="R4591" s="219"/>
    </row>
    <row r="4592" spans="1:25" ht="30" customHeight="1" thickBot="1" x14ac:dyDescent="0.4">
      <c r="A4592" s="489"/>
      <c r="B4592" s="490"/>
      <c r="C4592" s="490"/>
      <c r="D4592" s="490"/>
      <c r="E4592" s="490"/>
      <c r="F4592" s="490"/>
      <c r="G4592" s="490"/>
      <c r="H4592" s="490"/>
      <c r="I4592" s="490"/>
      <c r="J4592" s="490"/>
      <c r="K4592" s="490"/>
      <c r="L4592" s="491"/>
      <c r="N4592" s="68"/>
      <c r="O4592" s="171"/>
      <c r="P4592" s="216"/>
      <c r="Q4592" s="419"/>
      <c r="R4592" s="219"/>
    </row>
    <row r="4593" spans="1:25" ht="30" customHeight="1" x14ac:dyDescent="0.35">
      <c r="A4593" s="465" t="s">
        <v>278</v>
      </c>
      <c r="B4593" s="539">
        <v>8811</v>
      </c>
      <c r="C4593" s="1017" t="s">
        <v>2821</v>
      </c>
      <c r="D4593" s="1018"/>
      <c r="E4593" s="541" t="s">
        <v>280</v>
      </c>
      <c r="F4593" s="542" t="s">
        <v>10</v>
      </c>
      <c r="G4593" s="543" t="s">
        <v>285</v>
      </c>
      <c r="H4593" s="555">
        <v>1</v>
      </c>
      <c r="I4593" s="541" t="s">
        <v>281</v>
      </c>
      <c r="J4593" s="1019" t="s">
        <v>3150</v>
      </c>
      <c r="K4593" s="1019"/>
      <c r="L4593" s="1020"/>
      <c r="N4593" s="68"/>
      <c r="O4593" s="203"/>
      <c r="P4593" s="218"/>
      <c r="Q4593" s="68"/>
      <c r="R4593" s="217"/>
    </row>
    <row r="4594" spans="1:25" ht="30" customHeight="1" x14ac:dyDescent="0.35">
      <c r="A4594" s="545"/>
      <c r="B4594" s="1021" t="s">
        <v>2921</v>
      </c>
      <c r="C4594" s="1021"/>
      <c r="D4594" s="1021"/>
      <c r="E4594" s="509" t="s">
        <v>290</v>
      </c>
      <c r="F4594" s="509" t="s">
        <v>322</v>
      </c>
      <c r="G4594" s="1034" t="s">
        <v>323</v>
      </c>
      <c r="H4594" s="1035"/>
      <c r="I4594" s="509" t="s">
        <v>327</v>
      </c>
      <c r="J4594" s="509" t="s">
        <v>419</v>
      </c>
      <c r="K4594" s="1012" t="s">
        <v>2356</v>
      </c>
      <c r="L4594" s="1013"/>
      <c r="N4594" s="68"/>
      <c r="O4594" s="203"/>
      <c r="P4594" s="218"/>
      <c r="Q4594" s="68"/>
      <c r="R4594" s="217"/>
    </row>
    <row r="4595" spans="1:25" ht="30" customHeight="1" thickBot="1" x14ac:dyDescent="0.4">
      <c r="A4595" s="546"/>
      <c r="B4595" s="1014">
        <v>90306466.810000002</v>
      </c>
      <c r="C4595" s="1014"/>
      <c r="D4595" s="1014"/>
      <c r="E4595" s="547"/>
      <c r="F4595" s="548"/>
      <c r="G4595" s="1015"/>
      <c r="H4595" s="1016"/>
      <c r="I4595" s="549"/>
      <c r="J4595" s="550">
        <v>1.0202</v>
      </c>
      <c r="K4595" s="551">
        <f>B4595*J4595</f>
        <v>92130657.439562008</v>
      </c>
      <c r="L4595" s="552" t="s">
        <v>10</v>
      </c>
      <c r="N4595" s="68"/>
      <c r="O4595" s="203"/>
      <c r="P4595" s="218"/>
      <c r="Q4595" s="68"/>
      <c r="R4595" s="217"/>
      <c r="T4595" s="208"/>
      <c r="U4595" s="208"/>
      <c r="V4595" s="208"/>
      <c r="W4595" s="208"/>
      <c r="X4595" s="208"/>
    </row>
    <row r="4596" spans="1:25" ht="30" customHeight="1" thickBot="1" x14ac:dyDescent="0.4">
      <c r="A4596" s="489"/>
      <c r="B4596" s="490"/>
      <c r="C4596" s="490"/>
      <c r="D4596" s="490"/>
      <c r="E4596" s="490"/>
      <c r="F4596" s="490"/>
      <c r="G4596" s="490"/>
      <c r="H4596" s="490"/>
      <c r="I4596" s="490"/>
      <c r="J4596" s="490"/>
      <c r="K4596" s="490"/>
      <c r="L4596" s="491"/>
      <c r="N4596" s="68"/>
      <c r="O4596" s="203"/>
      <c r="P4596" s="218"/>
      <c r="Q4596" s="68"/>
      <c r="R4596" s="217"/>
      <c r="Y4596" s="208"/>
    </row>
    <row r="4597" spans="1:25" ht="30" customHeight="1" x14ac:dyDescent="0.35">
      <c r="A4597" s="465" t="s">
        <v>278</v>
      </c>
      <c r="B4597" s="539">
        <v>8812</v>
      </c>
      <c r="C4597" s="1017" t="s">
        <v>2820</v>
      </c>
      <c r="D4597" s="1018"/>
      <c r="E4597" s="541" t="s">
        <v>280</v>
      </c>
      <c r="F4597" s="542" t="s">
        <v>10</v>
      </c>
      <c r="G4597" s="543" t="s">
        <v>285</v>
      </c>
      <c r="H4597" s="555">
        <v>1</v>
      </c>
      <c r="I4597" s="541" t="s">
        <v>281</v>
      </c>
      <c r="J4597" s="1019" t="s">
        <v>3146</v>
      </c>
      <c r="K4597" s="1019"/>
      <c r="L4597" s="1020"/>
      <c r="N4597" s="68"/>
      <c r="O4597" s="208"/>
      <c r="P4597" s="218"/>
      <c r="Q4597" s="68"/>
      <c r="R4597" s="217"/>
      <c r="S4597" s="208"/>
    </row>
    <row r="4598" spans="1:25" ht="30" customHeight="1" x14ac:dyDescent="0.35">
      <c r="A4598" s="545"/>
      <c r="B4598" s="1021"/>
      <c r="C4598" s="1021"/>
      <c r="D4598" s="1021"/>
      <c r="E4598" s="509"/>
      <c r="F4598" s="509"/>
      <c r="G4598" s="1034"/>
      <c r="H4598" s="1035"/>
      <c r="I4598" s="509"/>
      <c r="J4598" s="509"/>
      <c r="K4598" s="1012" t="s">
        <v>2356</v>
      </c>
      <c r="L4598" s="1013"/>
      <c r="N4598" s="68"/>
      <c r="O4598" s="203"/>
      <c r="P4598" s="218"/>
      <c r="Q4598" s="68"/>
      <c r="R4598" s="217"/>
    </row>
    <row r="4599" spans="1:25" s="208" customFormat="1" ht="30" customHeight="1" thickBot="1" x14ac:dyDescent="0.4">
      <c r="A4599" s="546"/>
      <c r="B4599" s="1014"/>
      <c r="C4599" s="1014"/>
      <c r="D4599" s="1014"/>
      <c r="E4599" s="547"/>
      <c r="F4599" s="548"/>
      <c r="G4599" s="1015"/>
      <c r="H4599" s="1016"/>
      <c r="I4599" s="549"/>
      <c r="J4599" s="550"/>
      <c r="K4599" s="551">
        <f>K4595</f>
        <v>92130657.439562008</v>
      </c>
      <c r="L4599" s="552" t="s">
        <v>10</v>
      </c>
      <c r="M4599" s="173"/>
      <c r="N4599" s="68"/>
      <c r="O4599" s="203"/>
      <c r="P4599" s="218"/>
      <c r="Q4599" s="68"/>
      <c r="R4599" s="217"/>
      <c r="S4599" s="203"/>
      <c r="T4599" s="203"/>
      <c r="U4599" s="203"/>
      <c r="V4599" s="203"/>
      <c r="W4599" s="203"/>
      <c r="X4599" s="203"/>
      <c r="Y4599" s="203"/>
    </row>
    <row r="4600" spans="1:25" ht="30" customHeight="1" thickBot="1" x14ac:dyDescent="0.4">
      <c r="A4600" s="489"/>
      <c r="B4600" s="490"/>
      <c r="C4600" s="490"/>
      <c r="D4600" s="490"/>
      <c r="E4600" s="490"/>
      <c r="F4600" s="490"/>
      <c r="G4600" s="490"/>
      <c r="H4600" s="490"/>
      <c r="I4600" s="490"/>
      <c r="J4600" s="490"/>
      <c r="K4600" s="490"/>
      <c r="L4600" s="491"/>
      <c r="N4600" s="419"/>
      <c r="O4600" s="203"/>
      <c r="P4600" s="218"/>
      <c r="Q4600" s="68"/>
      <c r="R4600" s="217"/>
    </row>
    <row r="4601" spans="1:25" ht="30" customHeight="1" x14ac:dyDescent="0.35">
      <c r="A4601" s="465" t="s">
        <v>278</v>
      </c>
      <c r="B4601" s="539">
        <v>8813</v>
      </c>
      <c r="C4601" s="1017" t="s">
        <v>1960</v>
      </c>
      <c r="D4601" s="1018"/>
      <c r="E4601" s="541" t="s">
        <v>280</v>
      </c>
      <c r="F4601" s="542" t="s">
        <v>6</v>
      </c>
      <c r="G4601" s="543" t="s">
        <v>285</v>
      </c>
      <c r="H4601" s="555" t="s">
        <v>1961</v>
      </c>
      <c r="I4601" s="541" t="s">
        <v>281</v>
      </c>
      <c r="J4601" s="1019" t="s">
        <v>2371</v>
      </c>
      <c r="K4601" s="1019"/>
      <c r="L4601" s="1020"/>
      <c r="M4601" s="51"/>
      <c r="N4601" s="419"/>
      <c r="O4601" s="203"/>
      <c r="P4601" s="218"/>
      <c r="Q4601" s="68"/>
      <c r="R4601" s="217"/>
    </row>
    <row r="4602" spans="1:25" ht="30" customHeight="1" x14ac:dyDescent="0.35">
      <c r="A4602" s="588" t="s">
        <v>298</v>
      </c>
      <c r="B4602" s="1038" t="s">
        <v>321</v>
      </c>
      <c r="C4602" s="1039"/>
      <c r="D4602" s="1040"/>
      <c r="E4602" s="23" t="s">
        <v>290</v>
      </c>
      <c r="F4602" s="23" t="s">
        <v>322</v>
      </c>
      <c r="G4602" s="1034" t="s">
        <v>323</v>
      </c>
      <c r="H4602" s="1035"/>
      <c r="I4602" s="509" t="s">
        <v>299</v>
      </c>
      <c r="J4602" s="509"/>
      <c r="K4602" s="1012" t="s">
        <v>292</v>
      </c>
      <c r="L4602" s="1013"/>
      <c r="M4602" s="51"/>
      <c r="N4602" s="68"/>
      <c r="O4602" s="203"/>
      <c r="P4602" s="218"/>
      <c r="Q4602" s="68"/>
      <c r="R4602" s="217"/>
    </row>
    <row r="4603" spans="1:25" ht="30" customHeight="1" x14ac:dyDescent="0.35">
      <c r="A4603" s="241" t="s">
        <v>451</v>
      </c>
      <c r="B4603" s="1031" t="s">
        <v>1962</v>
      </c>
      <c r="C4603" s="1032"/>
      <c r="D4603" s="1033"/>
      <c r="E4603" s="38">
        <f>+(5.71+11.1)/2</f>
        <v>8.4049999999999994</v>
      </c>
      <c r="F4603" s="3" t="s">
        <v>3</v>
      </c>
      <c r="G4603" s="496">
        <v>1</v>
      </c>
      <c r="H4603" s="498" t="s">
        <v>498</v>
      </c>
      <c r="I4603" s="446">
        <v>1.05</v>
      </c>
      <c r="J4603" s="446"/>
      <c r="K4603" s="41">
        <f>+E4603*I4603</f>
        <v>8.8252500000000005</v>
      </c>
      <c r="L4603" s="676" t="s">
        <v>6</v>
      </c>
      <c r="N4603" s="68"/>
      <c r="O4603" s="203"/>
      <c r="P4603" s="218"/>
      <c r="Q4603" s="68"/>
      <c r="R4603" s="217"/>
    </row>
    <row r="4604" spans="1:25" ht="30" customHeight="1" x14ac:dyDescent="0.35">
      <c r="A4604" s="241" t="s">
        <v>451</v>
      </c>
      <c r="B4604" s="1031" t="s">
        <v>459</v>
      </c>
      <c r="C4604" s="1032"/>
      <c r="D4604" s="1033"/>
      <c r="E4604" s="40">
        <f>(86.5+261)/2</f>
        <v>173.75</v>
      </c>
      <c r="F4604" s="3" t="s">
        <v>3</v>
      </c>
      <c r="G4604" s="496">
        <v>1</v>
      </c>
      <c r="H4604" s="498" t="s">
        <v>498</v>
      </c>
      <c r="I4604" s="446">
        <v>1.05</v>
      </c>
      <c r="J4604" s="446"/>
      <c r="K4604" s="41">
        <f>+E4604*I4604</f>
        <v>182.4375</v>
      </c>
      <c r="L4604" s="676" t="s">
        <v>6</v>
      </c>
      <c r="N4604" s="68"/>
      <c r="O4604" s="203"/>
      <c r="P4604" s="218"/>
      <c r="Q4604" s="68"/>
      <c r="R4604" s="217"/>
    </row>
    <row r="4605" spans="1:25" ht="30" customHeight="1" x14ac:dyDescent="0.35">
      <c r="A4605" s="241" t="s">
        <v>451</v>
      </c>
      <c r="B4605" s="1031" t="s">
        <v>1963</v>
      </c>
      <c r="C4605" s="1032"/>
      <c r="D4605" s="1033"/>
      <c r="E4605" s="40">
        <f>(83.5+118)/2</f>
        <v>100.75</v>
      </c>
      <c r="F4605" s="3" t="s">
        <v>3</v>
      </c>
      <c r="G4605" s="496">
        <v>1</v>
      </c>
      <c r="H4605" s="498" t="s">
        <v>498</v>
      </c>
      <c r="I4605" s="446">
        <v>1.05</v>
      </c>
      <c r="J4605" s="446"/>
      <c r="K4605" s="41">
        <f>+E4605*I4605</f>
        <v>105.78750000000001</v>
      </c>
      <c r="L4605" s="676" t="s">
        <v>6</v>
      </c>
      <c r="N4605" s="68"/>
      <c r="O4605" s="203"/>
      <c r="P4605" s="218"/>
      <c r="Q4605" s="68"/>
      <c r="R4605" s="217"/>
    </row>
    <row r="4606" spans="1:25" ht="30" customHeight="1" x14ac:dyDescent="0.35">
      <c r="A4606" s="241" t="s">
        <v>451</v>
      </c>
      <c r="B4606" s="1031" t="s">
        <v>461</v>
      </c>
      <c r="C4606" s="1032"/>
      <c r="D4606" s="1033"/>
      <c r="E4606" s="40">
        <f>(0.65+4.8)/2</f>
        <v>2.7250000000000001</v>
      </c>
      <c r="F4606" s="3" t="s">
        <v>3</v>
      </c>
      <c r="G4606" s="496">
        <v>1</v>
      </c>
      <c r="H4606" s="498" t="s">
        <v>498</v>
      </c>
      <c r="I4606" s="446">
        <v>1.05</v>
      </c>
      <c r="J4606" s="446"/>
      <c r="K4606" s="41">
        <f>+E4606/G4606*I4606</f>
        <v>2.8612500000000001</v>
      </c>
      <c r="L4606" s="676" t="s">
        <v>6</v>
      </c>
      <c r="N4606" s="68"/>
      <c r="O4606" s="203"/>
      <c r="P4606" s="218"/>
      <c r="Q4606" s="68"/>
      <c r="R4606" s="217"/>
    </row>
    <row r="4607" spans="1:25" ht="30" customHeight="1" x14ac:dyDescent="0.35">
      <c r="A4607" s="241" t="s">
        <v>451</v>
      </c>
      <c r="B4607" s="1031" t="s">
        <v>1934</v>
      </c>
      <c r="C4607" s="1032"/>
      <c r="D4607" s="1033"/>
      <c r="E4607" s="40">
        <f>(10.5+18)/2</f>
        <v>14.25</v>
      </c>
      <c r="F4607" s="3" t="s">
        <v>3</v>
      </c>
      <c r="G4607" s="496">
        <v>1</v>
      </c>
      <c r="H4607" s="498" t="s">
        <v>498</v>
      </c>
      <c r="I4607" s="446">
        <v>1.05</v>
      </c>
      <c r="J4607" s="446"/>
      <c r="K4607" s="41">
        <f>+E4607/G4607*I4607</f>
        <v>14.9625</v>
      </c>
      <c r="L4607" s="676" t="s">
        <v>6</v>
      </c>
      <c r="M4607" s="173"/>
      <c r="N4607" s="68"/>
      <c r="O4607" s="203"/>
      <c r="P4607" s="218"/>
      <c r="Q4607" s="68"/>
      <c r="R4607" s="217"/>
    </row>
    <row r="4608" spans="1:25" ht="30" customHeight="1" x14ac:dyDescent="0.35">
      <c r="A4608" s="603"/>
      <c r="B4608" s="458" t="s">
        <v>1964</v>
      </c>
      <c r="C4608" s="506"/>
      <c r="D4608" s="506"/>
      <c r="E4608" s="453"/>
      <c r="F4608" s="446"/>
      <c r="G4608" s="446"/>
      <c r="H4608" s="446"/>
      <c r="I4608" s="446"/>
      <c r="J4608" s="446" t="s">
        <v>304</v>
      </c>
      <c r="K4608" s="679">
        <f>AVERAGE(K4603:K4607)</f>
        <v>62.974799999999995</v>
      </c>
      <c r="L4608" s="243" t="s">
        <v>6</v>
      </c>
      <c r="N4608" s="68"/>
      <c r="O4608" s="203"/>
      <c r="P4608" s="218"/>
      <c r="Q4608" s="68"/>
      <c r="R4608" s="217"/>
      <c r="S4608" s="208"/>
    </row>
    <row r="4609" spans="1:19" ht="30" customHeight="1" x14ac:dyDescent="0.35">
      <c r="A4609" s="241"/>
      <c r="B4609" s="506"/>
      <c r="C4609" s="506"/>
      <c r="D4609" s="506"/>
      <c r="E4609" s="453"/>
      <c r="F4609" s="1029" t="s">
        <v>302</v>
      </c>
      <c r="G4609" s="1058" t="s">
        <v>303</v>
      </c>
      <c r="H4609" s="1058"/>
      <c r="I4609" s="1058"/>
      <c r="J4609" s="1058"/>
      <c r="K4609" s="612">
        <v>1.07</v>
      </c>
      <c r="L4609" s="243"/>
      <c r="M4609" s="51"/>
      <c r="N4609" s="68"/>
      <c r="O4609" s="203"/>
      <c r="P4609" s="218"/>
      <c r="Q4609" s="68"/>
      <c r="R4609" s="217"/>
    </row>
    <row r="4610" spans="1:19" ht="30" customHeight="1" x14ac:dyDescent="0.35">
      <c r="A4610" s="241"/>
      <c r="B4610" s="506"/>
      <c r="C4610" s="506"/>
      <c r="D4610" s="506"/>
      <c r="E4610" s="453"/>
      <c r="F4610" s="1030"/>
      <c r="G4610" s="1073" t="s">
        <v>2374</v>
      </c>
      <c r="H4610" s="1073"/>
      <c r="I4610" s="1073"/>
      <c r="J4610" s="1073"/>
      <c r="K4610" s="612">
        <v>1.08</v>
      </c>
      <c r="L4610" s="243"/>
      <c r="M4610" s="51"/>
      <c r="N4610" s="68"/>
      <c r="O4610" s="203"/>
      <c r="P4610" s="218"/>
      <c r="Q4610" s="68"/>
      <c r="R4610" s="217"/>
    </row>
    <row r="4611" spans="1:19" ht="30" customHeight="1" x14ac:dyDescent="0.35">
      <c r="A4611" s="603"/>
      <c r="B4611" s="446"/>
      <c r="C4611" s="458"/>
      <c r="D4611" s="458"/>
      <c r="E4611" s="458"/>
      <c r="F4611" s="458"/>
      <c r="G4611" s="458"/>
      <c r="H4611" s="458"/>
      <c r="I4611" s="458"/>
      <c r="J4611" s="446" t="s">
        <v>2356</v>
      </c>
      <c r="K4611" s="591">
        <f>+K4608*K4609/K4610</f>
        <v>62.3917</v>
      </c>
      <c r="L4611" s="243" t="s">
        <v>6</v>
      </c>
      <c r="N4611" s="68"/>
      <c r="O4611" s="203"/>
      <c r="P4611" s="218"/>
      <c r="Q4611" s="68"/>
      <c r="R4611" s="217"/>
    </row>
    <row r="4612" spans="1:19" ht="30" customHeight="1" thickBot="1" x14ac:dyDescent="0.4">
      <c r="A4612" s="241"/>
      <c r="B4612" s="446"/>
      <c r="C4612" s="458"/>
      <c r="D4612" s="458"/>
      <c r="E4612" s="458"/>
      <c r="F4612" s="458"/>
      <c r="G4612" s="592" t="s">
        <v>2358</v>
      </c>
      <c r="H4612" s="458"/>
      <c r="I4612" s="458"/>
      <c r="J4612" s="583">
        <f>VLOOKUP(B4601,'Mil Cost Premiums for PUCs'!$A$4:$R$272,18,FALSE)</f>
        <v>1.0905505199999999</v>
      </c>
      <c r="K4612" s="591">
        <f>+K4611*J4612</f>
        <v>68.041300878683998</v>
      </c>
      <c r="L4612" s="243" t="s">
        <v>6</v>
      </c>
      <c r="N4612" s="68"/>
      <c r="O4612" s="203"/>
      <c r="P4612" s="218"/>
      <c r="Q4612" s="68"/>
      <c r="R4612" s="217"/>
      <c r="S4612" s="208"/>
    </row>
    <row r="4613" spans="1:19" ht="30" customHeight="1" thickBot="1" x14ac:dyDescent="0.4">
      <c r="A4613" s="1086"/>
      <c r="B4613" s="1087"/>
      <c r="C4613" s="1087"/>
      <c r="D4613" s="1087"/>
      <c r="E4613" s="1087"/>
      <c r="F4613" s="1087"/>
      <c r="G4613" s="1087"/>
      <c r="H4613" s="1087"/>
      <c r="I4613" s="1087"/>
      <c r="J4613" s="1087"/>
      <c r="K4613" s="1087"/>
      <c r="L4613" s="1088"/>
      <c r="M4613" s="368"/>
      <c r="N4613" s="68"/>
      <c r="O4613" s="203"/>
      <c r="P4613" s="218"/>
      <c r="Q4613" s="68"/>
      <c r="R4613" s="217"/>
    </row>
    <row r="4614" spans="1:19" ht="30" customHeight="1" x14ac:dyDescent="0.35">
      <c r="A4614" s="615" t="s">
        <v>278</v>
      </c>
      <c r="B4614" s="196">
        <v>8814</v>
      </c>
      <c r="C4614" s="1151" t="s">
        <v>2817</v>
      </c>
      <c r="D4614" s="1151"/>
      <c r="E4614" s="185" t="s">
        <v>280</v>
      </c>
      <c r="F4614" s="188" t="s">
        <v>6</v>
      </c>
      <c r="G4614" s="488" t="s">
        <v>285</v>
      </c>
      <c r="H4614" s="415" t="s">
        <v>1961</v>
      </c>
      <c r="I4614" s="185" t="s">
        <v>281</v>
      </c>
      <c r="J4614" s="1152" t="s">
        <v>3147</v>
      </c>
      <c r="K4614" s="1152"/>
      <c r="L4614" s="1153"/>
      <c r="N4614" s="68"/>
      <c r="O4614" s="203"/>
      <c r="P4614" s="218"/>
      <c r="Q4614" s="68"/>
      <c r="R4614" s="217"/>
    </row>
    <row r="4615" spans="1:19" ht="30" customHeight="1" x14ac:dyDescent="0.35">
      <c r="A4615" s="545"/>
      <c r="B4615" s="1021"/>
      <c r="C4615" s="1021"/>
      <c r="D4615" s="1021"/>
      <c r="E4615" s="509"/>
      <c r="F4615" s="509"/>
      <c r="G4615" s="1022"/>
      <c r="H4615" s="1022"/>
      <c r="I4615" s="509"/>
      <c r="J4615" s="509"/>
      <c r="K4615" s="1022" t="s">
        <v>2356</v>
      </c>
      <c r="L4615" s="1023"/>
      <c r="N4615" s="68"/>
      <c r="O4615" s="203"/>
      <c r="P4615" s="216"/>
      <c r="Q4615" s="419"/>
      <c r="R4615" s="219"/>
    </row>
    <row r="4616" spans="1:19" ht="30" customHeight="1" thickBot="1" x14ac:dyDescent="0.4">
      <c r="A4616" s="649"/>
      <c r="B4616" s="1024"/>
      <c r="C4616" s="1024"/>
      <c r="D4616" s="1024"/>
      <c r="E4616" s="523"/>
      <c r="F4616" s="524"/>
      <c r="G4616" s="1025"/>
      <c r="H4616" s="1025"/>
      <c r="I4616" s="525"/>
      <c r="J4616" s="970"/>
      <c r="K4616" s="527">
        <f>K4511</f>
        <v>869.13587994437489</v>
      </c>
      <c r="L4616" s="650" t="s">
        <v>6</v>
      </c>
      <c r="N4616" s="68"/>
      <c r="O4616" s="203"/>
      <c r="P4616" s="216"/>
      <c r="Q4616" s="419"/>
      <c r="R4616" s="219"/>
    </row>
    <row r="4617" spans="1:19" ht="30" customHeight="1" thickBot="1" x14ac:dyDescent="0.4">
      <c r="A4617" s="1086"/>
      <c r="B4617" s="1087"/>
      <c r="C4617" s="1087"/>
      <c r="D4617" s="1087"/>
      <c r="E4617" s="1087"/>
      <c r="F4617" s="1087"/>
      <c r="G4617" s="1087"/>
      <c r="H4617" s="1087"/>
      <c r="I4617" s="1087"/>
      <c r="J4617" s="1087"/>
      <c r="K4617" s="1087"/>
      <c r="L4617" s="1088"/>
      <c r="M4617" s="368"/>
      <c r="N4617" s="68"/>
      <c r="O4617" s="203"/>
      <c r="P4617" s="218"/>
      <c r="Q4617" s="68"/>
      <c r="R4617" s="217"/>
    </row>
    <row r="4618" spans="1:19" ht="30" customHeight="1" x14ac:dyDescent="0.35">
      <c r="A4618" s="615" t="s">
        <v>278</v>
      </c>
      <c r="B4618" s="196">
        <v>8821</v>
      </c>
      <c r="C4618" s="1151" t="s">
        <v>3164</v>
      </c>
      <c r="D4618" s="1151"/>
      <c r="E4618" s="185" t="s">
        <v>280</v>
      </c>
      <c r="F4618" s="188" t="s">
        <v>10</v>
      </c>
      <c r="G4618" s="488" t="s">
        <v>285</v>
      </c>
      <c r="H4618" s="415"/>
      <c r="I4618" s="185" t="s">
        <v>281</v>
      </c>
      <c r="J4618" s="1152" t="s">
        <v>3165</v>
      </c>
      <c r="K4618" s="1152"/>
      <c r="L4618" s="1153"/>
      <c r="N4618" s="68"/>
      <c r="O4618" s="203"/>
      <c r="P4618" s="218"/>
      <c r="Q4618" s="68"/>
      <c r="R4618" s="217"/>
    </row>
    <row r="4619" spans="1:19" ht="30" customHeight="1" x14ac:dyDescent="0.35">
      <c r="A4619" s="545"/>
      <c r="B4619" s="1021"/>
      <c r="C4619" s="1021"/>
      <c r="D4619" s="1021"/>
      <c r="E4619" s="509"/>
      <c r="F4619" s="509"/>
      <c r="G4619" s="1022"/>
      <c r="H4619" s="1022"/>
      <c r="I4619" s="509"/>
      <c r="J4619" s="509"/>
      <c r="K4619" s="1022" t="s">
        <v>2356</v>
      </c>
      <c r="L4619" s="1023"/>
      <c r="N4619" s="68"/>
      <c r="O4619" s="203"/>
      <c r="P4619" s="218"/>
      <c r="Q4619" s="68"/>
      <c r="R4619" s="217"/>
    </row>
    <row r="4620" spans="1:19" ht="30" customHeight="1" thickBot="1" x14ac:dyDescent="0.4">
      <c r="A4620" s="649"/>
      <c r="B4620" s="1024"/>
      <c r="C4620" s="1024"/>
      <c r="D4620" s="1024"/>
      <c r="E4620" s="523"/>
      <c r="F4620" s="524"/>
      <c r="G4620" s="1025"/>
      <c r="H4620" s="1025"/>
      <c r="I4620" s="525"/>
      <c r="J4620" s="970"/>
      <c r="K4620" s="527">
        <f>+K4511*500</f>
        <v>434567.93997218745</v>
      </c>
      <c r="L4620" s="650" t="s">
        <v>10</v>
      </c>
      <c r="N4620" s="68"/>
      <c r="O4620" s="203"/>
      <c r="P4620" s="218"/>
      <c r="Q4620" s="68"/>
      <c r="R4620" s="217"/>
    </row>
    <row r="4621" spans="1:19" ht="30" customHeight="1" x14ac:dyDescent="0.35">
      <c r="A4621" s="473"/>
      <c r="B4621" s="474"/>
      <c r="C4621" s="474"/>
      <c r="D4621" s="474"/>
      <c r="E4621" s="474"/>
      <c r="F4621" s="474"/>
      <c r="G4621" s="474"/>
      <c r="H4621" s="474"/>
      <c r="I4621" s="474"/>
      <c r="J4621" s="474"/>
      <c r="K4621" s="474"/>
      <c r="L4621" s="475"/>
      <c r="N4621" s="68"/>
      <c r="O4621" s="203"/>
      <c r="P4621" s="218"/>
      <c r="Q4621" s="68"/>
      <c r="R4621" s="217"/>
    </row>
    <row r="4622" spans="1:19" ht="30" customHeight="1" x14ac:dyDescent="0.35">
      <c r="A4622" s="593" t="s">
        <v>278</v>
      </c>
      <c r="B4622" s="433">
        <v>8822</v>
      </c>
      <c r="C4622" s="1026" t="s">
        <v>2819</v>
      </c>
      <c r="D4622" s="1026"/>
      <c r="E4622" s="434" t="s">
        <v>280</v>
      </c>
      <c r="F4622" s="435" t="s">
        <v>6</v>
      </c>
      <c r="G4622" s="436" t="s">
        <v>285</v>
      </c>
      <c r="H4622" s="437" t="s">
        <v>1961</v>
      </c>
      <c r="I4622" s="434" t="s">
        <v>281</v>
      </c>
      <c r="J4622" s="1027" t="s">
        <v>3151</v>
      </c>
      <c r="K4622" s="1027"/>
      <c r="L4622" s="1028"/>
      <c r="M4622" s="51"/>
      <c r="N4622" s="68"/>
      <c r="O4622" s="203"/>
      <c r="P4622" s="218"/>
      <c r="Q4622" s="68"/>
      <c r="R4622" s="217"/>
    </row>
    <row r="4623" spans="1:19" ht="30" customHeight="1" x14ac:dyDescent="0.35">
      <c r="A4623" s="545"/>
      <c r="B4623" s="1021"/>
      <c r="C4623" s="1021"/>
      <c r="D4623" s="1021"/>
      <c r="E4623" s="509"/>
      <c r="F4623" s="509"/>
      <c r="G4623" s="1022"/>
      <c r="H4623" s="1022"/>
      <c r="I4623" s="509"/>
      <c r="J4623" s="509"/>
      <c r="K4623" s="1022" t="s">
        <v>2356</v>
      </c>
      <c r="L4623" s="1023"/>
      <c r="M4623" s="51"/>
      <c r="N4623" s="68"/>
      <c r="O4623" s="203"/>
      <c r="P4623" s="218"/>
      <c r="Q4623" s="68"/>
      <c r="R4623" s="217"/>
    </row>
    <row r="4624" spans="1:19" ht="30" customHeight="1" thickBot="1" x14ac:dyDescent="0.4">
      <c r="A4624" s="649"/>
      <c r="B4624" s="1024"/>
      <c r="C4624" s="1024"/>
      <c r="D4624" s="1024"/>
      <c r="E4624" s="523"/>
      <c r="F4624" s="524"/>
      <c r="G4624" s="1025"/>
      <c r="H4624" s="1025"/>
      <c r="I4624" s="525"/>
      <c r="J4624" s="970"/>
      <c r="K4624" s="527">
        <f>K4511</f>
        <v>869.13587994437489</v>
      </c>
      <c r="L4624" s="650" t="s">
        <v>6</v>
      </c>
      <c r="N4624" s="68"/>
      <c r="O4624" s="203"/>
      <c r="P4624" s="218"/>
      <c r="Q4624" s="68"/>
      <c r="R4624" s="217"/>
    </row>
    <row r="4625" spans="1:25" ht="30" customHeight="1" thickBot="1" x14ac:dyDescent="0.4">
      <c r="A4625" s="1086"/>
      <c r="B4625" s="1087"/>
      <c r="C4625" s="1087"/>
      <c r="D4625" s="1087"/>
      <c r="E4625" s="1087"/>
      <c r="F4625" s="1087"/>
      <c r="G4625" s="1087"/>
      <c r="H4625" s="1087"/>
      <c r="I4625" s="1087"/>
      <c r="J4625" s="1087"/>
      <c r="K4625" s="1087"/>
      <c r="L4625" s="1088"/>
      <c r="N4625" s="68"/>
      <c r="O4625" s="203"/>
      <c r="P4625" s="218"/>
      <c r="Q4625" s="68"/>
      <c r="R4625" s="217"/>
    </row>
    <row r="4626" spans="1:25" ht="30" customHeight="1" x14ac:dyDescent="0.35">
      <c r="A4626" s="615" t="s">
        <v>278</v>
      </c>
      <c r="B4626" s="196">
        <v>8831</v>
      </c>
      <c r="C4626" s="1151" t="s">
        <v>2818</v>
      </c>
      <c r="D4626" s="1151"/>
      <c r="E4626" s="185" t="s">
        <v>280</v>
      </c>
      <c r="F4626" s="188" t="s">
        <v>10</v>
      </c>
      <c r="G4626" s="488" t="s">
        <v>285</v>
      </c>
      <c r="H4626" s="415" t="s">
        <v>1961</v>
      </c>
      <c r="I4626" s="185" t="s">
        <v>281</v>
      </c>
      <c r="J4626" s="1152" t="s">
        <v>3161</v>
      </c>
      <c r="K4626" s="1152"/>
      <c r="L4626" s="1153"/>
      <c r="N4626" s="68"/>
      <c r="O4626" s="203"/>
      <c r="P4626" s="218"/>
      <c r="Q4626" s="68"/>
      <c r="R4626" s="217"/>
      <c r="T4626" s="208"/>
      <c r="U4626" s="208"/>
      <c r="V4626" s="208"/>
      <c r="W4626" s="208"/>
      <c r="X4626" s="208"/>
    </row>
    <row r="4627" spans="1:25" ht="30" customHeight="1" x14ac:dyDescent="0.35">
      <c r="A4627" s="545"/>
      <c r="B4627" s="1021"/>
      <c r="C4627" s="1021"/>
      <c r="D4627" s="1021"/>
      <c r="E4627" s="509"/>
      <c r="F4627" s="509"/>
      <c r="G4627" s="1022"/>
      <c r="H4627" s="1022"/>
      <c r="I4627" s="509"/>
      <c r="J4627" s="509"/>
      <c r="K4627" s="1022" t="s">
        <v>2356</v>
      </c>
      <c r="L4627" s="1023"/>
      <c r="N4627" s="68"/>
      <c r="O4627" s="203"/>
      <c r="P4627" s="218"/>
      <c r="Q4627" s="68"/>
      <c r="R4627" s="217"/>
      <c r="Y4627" s="208"/>
    </row>
    <row r="4628" spans="1:25" ht="30" customHeight="1" x14ac:dyDescent="0.35">
      <c r="A4628" s="546"/>
      <c r="B4628" s="1014"/>
      <c r="C4628" s="1014"/>
      <c r="D4628" s="1014"/>
      <c r="E4628" s="547"/>
      <c r="F4628" s="548"/>
      <c r="G4628" s="1261"/>
      <c r="H4628" s="1261"/>
      <c r="I4628" s="549"/>
      <c r="J4628" s="513"/>
      <c r="K4628" s="551">
        <f>+K4511*400</f>
        <v>347654.35197774996</v>
      </c>
      <c r="L4628" s="552" t="str">
        <f>+F4626</f>
        <v>EA</v>
      </c>
      <c r="M4628" s="173"/>
      <c r="N4628" s="68"/>
      <c r="O4628" s="208"/>
      <c r="P4628" s="218"/>
      <c r="Q4628" s="68"/>
      <c r="R4628" s="217"/>
      <c r="S4628" s="208"/>
    </row>
    <row r="4629" spans="1:25" ht="30" customHeight="1" thickBot="1" x14ac:dyDescent="0.4">
      <c r="A4629" s="476"/>
      <c r="B4629" s="477"/>
      <c r="C4629" s="477"/>
      <c r="D4629" s="477"/>
      <c r="E4629" s="477"/>
      <c r="F4629" s="477"/>
      <c r="G4629" s="477"/>
      <c r="H4629" s="477"/>
      <c r="I4629" s="477"/>
      <c r="J4629" s="477"/>
      <c r="K4629" s="477"/>
      <c r="L4629" s="478"/>
      <c r="N4629" s="68"/>
      <c r="O4629" s="203"/>
      <c r="P4629" s="218"/>
      <c r="Q4629" s="68"/>
      <c r="R4629" s="217"/>
      <c r="S4629" s="208"/>
    </row>
    <row r="4630" spans="1:25" s="208" customFormat="1" ht="30" customHeight="1" x14ac:dyDescent="0.35">
      <c r="A4630" s="465" t="s">
        <v>278</v>
      </c>
      <c r="B4630" s="539">
        <v>8840</v>
      </c>
      <c r="C4630" s="1017" t="s">
        <v>2184</v>
      </c>
      <c r="D4630" s="1018"/>
      <c r="E4630" s="541" t="s">
        <v>280</v>
      </c>
      <c r="F4630" s="542" t="s">
        <v>10</v>
      </c>
      <c r="G4630" s="543" t="s">
        <v>285</v>
      </c>
      <c r="H4630" s="555">
        <v>46</v>
      </c>
      <c r="I4630" s="541" t="s">
        <v>281</v>
      </c>
      <c r="J4630" s="1019" t="s">
        <v>2371</v>
      </c>
      <c r="K4630" s="1019"/>
      <c r="L4630" s="1020"/>
      <c r="M4630" s="57"/>
      <c r="N4630" s="68"/>
      <c r="O4630" s="171"/>
      <c r="P4630" s="218"/>
      <c r="Q4630" s="68"/>
      <c r="R4630" s="217"/>
      <c r="S4630" s="203"/>
      <c r="T4630" s="203"/>
      <c r="U4630" s="203"/>
      <c r="V4630" s="203"/>
      <c r="W4630" s="203"/>
      <c r="X4630" s="203"/>
      <c r="Y4630" s="203"/>
    </row>
    <row r="4631" spans="1:25" ht="30" customHeight="1" x14ac:dyDescent="0.35">
      <c r="A4631" s="861" t="s">
        <v>298</v>
      </c>
      <c r="B4631" s="1330" t="s">
        <v>321</v>
      </c>
      <c r="C4631" s="1331"/>
      <c r="D4631" s="1332"/>
      <c r="E4631" s="284" t="s">
        <v>290</v>
      </c>
      <c r="F4631" s="284" t="s">
        <v>322</v>
      </c>
      <c r="G4631" s="1333" t="s">
        <v>323</v>
      </c>
      <c r="H4631" s="1334"/>
      <c r="I4631" s="1052" t="s">
        <v>299</v>
      </c>
      <c r="J4631" s="1353"/>
      <c r="K4631" s="486" t="s">
        <v>292</v>
      </c>
      <c r="L4631" s="971"/>
      <c r="N4631" s="419"/>
      <c r="O4631" s="171"/>
      <c r="P4631" s="218"/>
      <c r="Q4631" s="68"/>
      <c r="R4631" s="217"/>
    </row>
    <row r="4632" spans="1:25" ht="30" customHeight="1" x14ac:dyDescent="0.35">
      <c r="A4632" s="241" t="s">
        <v>475</v>
      </c>
      <c r="B4632" s="1031" t="s">
        <v>2185</v>
      </c>
      <c r="C4632" s="1032"/>
      <c r="D4632" s="1033"/>
      <c r="E4632" s="453">
        <v>37</v>
      </c>
      <c r="F4632" s="446" t="s">
        <v>333</v>
      </c>
      <c r="G4632" s="639">
        <v>130</v>
      </c>
      <c r="H4632" s="453" t="s">
        <v>476</v>
      </c>
      <c r="I4632" s="1154">
        <v>1.04</v>
      </c>
      <c r="J4632" s="1155"/>
      <c r="K4632" s="693">
        <f>+E4632*G4632*I4632</f>
        <v>5002.4000000000005</v>
      </c>
      <c r="L4632" s="243" t="s">
        <v>10</v>
      </c>
      <c r="N4632" s="68"/>
      <c r="O4632" s="203"/>
      <c r="P4632" s="218"/>
      <c r="Q4632" s="68"/>
      <c r="R4632" s="217"/>
    </row>
    <row r="4633" spans="1:25" ht="30" customHeight="1" x14ac:dyDescent="0.35">
      <c r="A4633" s="241"/>
      <c r="B4633" s="506"/>
      <c r="C4633" s="506"/>
      <c r="D4633" s="506"/>
      <c r="E4633" s="453"/>
      <c r="F4633" s="1029" t="s">
        <v>302</v>
      </c>
      <c r="G4633" s="1058" t="s">
        <v>303</v>
      </c>
      <c r="H4633" s="1058"/>
      <c r="I4633" s="1058"/>
      <c r="J4633" s="1058"/>
      <c r="K4633" s="612">
        <v>1.07</v>
      </c>
      <c r="L4633" s="243"/>
      <c r="N4633" s="68"/>
      <c r="O4633" s="203"/>
      <c r="P4633" s="218"/>
      <c r="Q4633" s="68"/>
      <c r="R4633" s="217"/>
      <c r="S4633" s="208"/>
    </row>
    <row r="4634" spans="1:25" s="208" customFormat="1" ht="30" customHeight="1" x14ac:dyDescent="0.35">
      <c r="A4634" s="241"/>
      <c r="B4634" s="506"/>
      <c r="C4634" s="506"/>
      <c r="D4634" s="506"/>
      <c r="E4634" s="453"/>
      <c r="F4634" s="1030"/>
      <c r="G4634" s="1073" t="s">
        <v>2374</v>
      </c>
      <c r="H4634" s="1073"/>
      <c r="I4634" s="1073"/>
      <c r="J4634" s="1073"/>
      <c r="K4634" s="612">
        <v>1.08</v>
      </c>
      <c r="L4634" s="243"/>
      <c r="M4634" s="368"/>
      <c r="N4634" s="68"/>
      <c r="O4634" s="203"/>
      <c r="P4634" s="218"/>
      <c r="Q4634" s="68"/>
      <c r="R4634" s="217"/>
      <c r="S4634" s="203"/>
      <c r="T4634" s="203"/>
      <c r="U4634" s="203"/>
      <c r="V4634" s="203"/>
      <c r="W4634" s="203"/>
      <c r="X4634" s="203"/>
      <c r="Y4634" s="203"/>
    </row>
    <row r="4635" spans="1:25" ht="30" customHeight="1" x14ac:dyDescent="0.35">
      <c r="A4635" s="241"/>
      <c r="B4635" s="446"/>
      <c r="C4635" s="458"/>
      <c r="D4635" s="458"/>
      <c r="E4635" s="458"/>
      <c r="F4635" s="458"/>
      <c r="G4635" s="458"/>
      <c r="H4635" s="458"/>
      <c r="I4635" s="458"/>
      <c r="J4635" s="446" t="s">
        <v>2356</v>
      </c>
      <c r="K4635" s="591">
        <f>+K4632*K4633/K4634</f>
        <v>4956.0814814814821</v>
      </c>
      <c r="L4635" s="243" t="s">
        <v>10</v>
      </c>
      <c r="N4635" s="68"/>
      <c r="O4635" s="203"/>
      <c r="P4635" s="218"/>
      <c r="Q4635" s="68"/>
      <c r="R4635" s="217"/>
    </row>
    <row r="4636" spans="1:25" ht="30" customHeight="1" thickBot="1" x14ac:dyDescent="0.4">
      <c r="A4636" s="241"/>
      <c r="B4636" s="446"/>
      <c r="C4636" s="458"/>
      <c r="D4636" s="458"/>
      <c r="E4636" s="458"/>
      <c r="F4636" s="458"/>
      <c r="G4636" s="592" t="s">
        <v>2358</v>
      </c>
      <c r="H4636" s="458"/>
      <c r="I4636" s="458"/>
      <c r="J4636" s="583">
        <v>1.0209999999999999</v>
      </c>
      <c r="K4636" s="591">
        <f>+K4635*J4636</f>
        <v>5060.1591925925932</v>
      </c>
      <c r="L4636" s="243" t="s">
        <v>10</v>
      </c>
      <c r="N4636" s="68"/>
      <c r="O4636" s="203"/>
      <c r="P4636" s="218"/>
      <c r="Q4636" s="68"/>
      <c r="R4636" s="217"/>
    </row>
    <row r="4637" spans="1:25" ht="30" customHeight="1" thickBot="1" x14ac:dyDescent="0.4">
      <c r="A4637" s="489"/>
      <c r="B4637" s="490"/>
      <c r="C4637" s="490"/>
      <c r="D4637" s="490"/>
      <c r="E4637" s="490"/>
      <c r="F4637" s="490"/>
      <c r="G4637" s="490"/>
      <c r="H4637" s="490"/>
      <c r="I4637" s="490"/>
      <c r="J4637" s="490"/>
      <c r="K4637" s="490"/>
      <c r="L4637" s="491"/>
      <c r="N4637" s="68"/>
      <c r="O4637" s="203"/>
      <c r="P4637" s="218"/>
      <c r="Q4637" s="68"/>
      <c r="R4637" s="217"/>
      <c r="S4637" s="208"/>
    </row>
    <row r="4638" spans="1:25" ht="30" customHeight="1" x14ac:dyDescent="0.35">
      <c r="A4638" s="856" t="s">
        <v>278</v>
      </c>
      <c r="B4638" s="857">
        <v>8910</v>
      </c>
      <c r="C4638" s="1348" t="s">
        <v>1965</v>
      </c>
      <c r="D4638" s="1349"/>
      <c r="E4638" s="858" t="s">
        <v>280</v>
      </c>
      <c r="F4638" s="872" t="s">
        <v>8</v>
      </c>
      <c r="G4638" s="543" t="s">
        <v>285</v>
      </c>
      <c r="H4638" s="860">
        <v>1402</v>
      </c>
      <c r="I4638" s="858" t="s">
        <v>281</v>
      </c>
      <c r="J4638" s="1019" t="s">
        <v>2371</v>
      </c>
      <c r="K4638" s="1019"/>
      <c r="L4638" s="1020"/>
      <c r="M4638" s="368"/>
      <c r="N4638" s="68"/>
      <c r="O4638" s="203"/>
      <c r="P4638" s="218"/>
      <c r="Q4638" s="68"/>
      <c r="R4638" s="217"/>
    </row>
    <row r="4639" spans="1:25" ht="30" customHeight="1" x14ac:dyDescent="0.35">
      <c r="A4639" s="861" t="s">
        <v>298</v>
      </c>
      <c r="B4639" s="1330" t="s">
        <v>321</v>
      </c>
      <c r="C4639" s="1331"/>
      <c r="D4639" s="1332"/>
      <c r="E4639" s="284" t="s">
        <v>290</v>
      </c>
      <c r="F4639" s="284" t="s">
        <v>322</v>
      </c>
      <c r="G4639" s="1333" t="s">
        <v>323</v>
      </c>
      <c r="H4639" s="1334"/>
      <c r="I4639" s="509" t="s">
        <v>299</v>
      </c>
      <c r="J4639" s="509" t="s">
        <v>405</v>
      </c>
      <c r="K4639" s="595" t="s">
        <v>292</v>
      </c>
      <c r="L4639" s="739"/>
      <c r="N4639" s="68"/>
      <c r="O4639" s="203"/>
      <c r="P4639" s="218"/>
      <c r="Q4639" s="68"/>
      <c r="R4639" s="217"/>
    </row>
    <row r="4640" spans="1:25" ht="30" customHeight="1" x14ac:dyDescent="0.35">
      <c r="A4640" s="869" t="s">
        <v>1421</v>
      </c>
      <c r="B4640" s="1165" t="s">
        <v>2483</v>
      </c>
      <c r="C4640" s="1166"/>
      <c r="D4640" s="1167"/>
      <c r="E4640" s="291">
        <v>61.5</v>
      </c>
      <c r="F4640" s="285" t="s">
        <v>8</v>
      </c>
      <c r="G4640" s="292"/>
      <c r="H4640" s="287"/>
      <c r="I4640" s="865">
        <v>1.05</v>
      </c>
      <c r="J4640" s="178">
        <f>+'2021 MILCON Inflation Table'!$F$14</f>
        <v>1.1198495748855462</v>
      </c>
      <c r="K4640" s="871">
        <f>+E4640*I4640*J4640</f>
        <v>72.314286298234151</v>
      </c>
      <c r="L4640" s="885" t="s">
        <v>8</v>
      </c>
      <c r="N4640" s="68"/>
      <c r="O4640" s="203"/>
      <c r="P4640" s="218"/>
      <c r="Q4640" s="68"/>
      <c r="R4640" s="217"/>
      <c r="T4640" s="208"/>
      <c r="U4640" s="208"/>
      <c r="V4640" s="208"/>
      <c r="W4640" s="208"/>
      <c r="X4640" s="208"/>
    </row>
    <row r="4641" spans="1:24" ht="30" customHeight="1" x14ac:dyDescent="0.35">
      <c r="A4641" s="863" t="s">
        <v>360</v>
      </c>
      <c r="B4641" s="1165" t="s">
        <v>1966</v>
      </c>
      <c r="C4641" s="1166"/>
      <c r="D4641" s="1167"/>
      <c r="E4641" s="864">
        <v>5.52</v>
      </c>
      <c r="F4641" s="285" t="s">
        <v>8</v>
      </c>
      <c r="G4641" s="886"/>
      <c r="H4641" s="887"/>
      <c r="I4641" s="865">
        <v>1.03</v>
      </c>
      <c r="J4641" s="285"/>
      <c r="K4641" s="871">
        <f>+E4641*I4641</f>
        <v>5.6856</v>
      </c>
      <c r="L4641" s="885" t="s">
        <v>8</v>
      </c>
      <c r="N4641" s="68"/>
      <c r="O4641" s="203"/>
      <c r="P4641" s="218"/>
      <c r="Q4641" s="68"/>
      <c r="R4641" s="217"/>
      <c r="S4641" s="208"/>
    </row>
    <row r="4642" spans="1:24" ht="30" customHeight="1" x14ac:dyDescent="0.35">
      <c r="A4642" s="241" t="s">
        <v>360</v>
      </c>
      <c r="B4642" s="1082" t="s">
        <v>929</v>
      </c>
      <c r="C4642" s="1083"/>
      <c r="D4642" s="1093"/>
      <c r="E4642" s="591">
        <f>0.15*E4641</f>
        <v>0.82799999999999996</v>
      </c>
      <c r="F4642" s="285" t="s">
        <v>8</v>
      </c>
      <c r="G4642" s="886"/>
      <c r="H4642" s="887"/>
      <c r="I4642" s="865">
        <v>1.03</v>
      </c>
      <c r="J4642" s="285"/>
      <c r="K4642" s="871">
        <f>+E4642*I4642</f>
        <v>0.85283999999999993</v>
      </c>
      <c r="L4642" s="885" t="s">
        <v>8</v>
      </c>
      <c r="M4642" s="368"/>
      <c r="N4642" s="68"/>
      <c r="O4642" s="208"/>
      <c r="P4642" s="218"/>
      <c r="Q4642" s="68"/>
      <c r="R4642" s="217"/>
    </row>
    <row r="4643" spans="1:24" ht="30" customHeight="1" x14ac:dyDescent="0.35">
      <c r="A4643" s="241" t="s">
        <v>360</v>
      </c>
      <c r="B4643" s="1082" t="s">
        <v>930</v>
      </c>
      <c r="C4643" s="1083"/>
      <c r="D4643" s="1093"/>
      <c r="E4643" s="591">
        <f xml:space="preserve"> 0.58+((1.15+1.71)/2)</f>
        <v>2.0099999999999998</v>
      </c>
      <c r="F4643" s="285" t="s">
        <v>8</v>
      </c>
      <c r="G4643" s="886"/>
      <c r="H4643" s="887"/>
      <c r="I4643" s="865">
        <v>1.03</v>
      </c>
      <c r="J4643" s="285"/>
      <c r="K4643" s="871">
        <f>+E4643*I4643</f>
        <v>2.0703</v>
      </c>
      <c r="L4643" s="885" t="s">
        <v>8</v>
      </c>
      <c r="N4643" s="68"/>
      <c r="O4643" s="203"/>
      <c r="P4643" s="218"/>
      <c r="Q4643" s="68"/>
      <c r="R4643" s="217"/>
    </row>
    <row r="4644" spans="1:24" ht="30" customHeight="1" x14ac:dyDescent="0.35">
      <c r="A4644" s="736"/>
      <c r="B4644" s="171"/>
      <c r="C4644" s="171"/>
      <c r="D4644" s="171"/>
      <c r="E4644" s="171"/>
      <c r="F4644" s="865"/>
      <c r="G4644" s="865"/>
      <c r="H4644" s="865"/>
      <c r="I4644" s="865"/>
      <c r="J4644" s="865" t="s">
        <v>335</v>
      </c>
      <c r="K4644" s="864">
        <f>SUM(K4640:K4643)</f>
        <v>80.923026298234149</v>
      </c>
      <c r="L4644" s="866" t="s">
        <v>8</v>
      </c>
      <c r="N4644" s="68"/>
      <c r="O4644" s="203"/>
      <c r="P4644" s="218"/>
      <c r="Q4644" s="68"/>
      <c r="R4644" s="217"/>
      <c r="T4644" s="208"/>
      <c r="U4644" s="208"/>
      <c r="V4644" s="208"/>
      <c r="W4644" s="208"/>
      <c r="X4644" s="208"/>
    </row>
    <row r="4645" spans="1:24" ht="30" customHeight="1" x14ac:dyDescent="0.35">
      <c r="A4645" s="736"/>
      <c r="B4645" s="171"/>
      <c r="C4645" s="171"/>
      <c r="D4645" s="171"/>
      <c r="E4645" s="171"/>
      <c r="F4645" s="1029" t="s">
        <v>302</v>
      </c>
      <c r="G4645" s="1058" t="s">
        <v>303</v>
      </c>
      <c r="H4645" s="1058"/>
      <c r="I4645" s="1058"/>
      <c r="J4645" s="1058"/>
      <c r="K4645" s="612">
        <v>1.07</v>
      </c>
      <c r="L4645" s="243"/>
      <c r="N4645" s="68"/>
      <c r="O4645" s="203"/>
      <c r="P4645" s="218"/>
      <c r="Q4645" s="68"/>
      <c r="R4645" s="217"/>
    </row>
    <row r="4646" spans="1:24" ht="30" customHeight="1" x14ac:dyDescent="0.35">
      <c r="A4646" s="241"/>
      <c r="B4646" s="506"/>
      <c r="C4646" s="506"/>
      <c r="D4646" s="506"/>
      <c r="E4646" s="453"/>
      <c r="F4646" s="1030"/>
      <c r="G4646" s="1073" t="s">
        <v>2374</v>
      </c>
      <c r="H4646" s="1073"/>
      <c r="I4646" s="1073"/>
      <c r="J4646" s="1073"/>
      <c r="K4646" s="612">
        <v>1.08</v>
      </c>
      <c r="L4646" s="243"/>
      <c r="M4646" s="368"/>
      <c r="N4646" s="68"/>
      <c r="O4646" s="208"/>
      <c r="P4646" s="218"/>
      <c r="Q4646" s="68"/>
      <c r="R4646" s="217"/>
    </row>
    <row r="4647" spans="1:24" ht="30" customHeight="1" x14ac:dyDescent="0.35">
      <c r="A4647" s="869"/>
      <c r="B4647" s="865"/>
      <c r="C4647" s="870"/>
      <c r="D4647" s="870"/>
      <c r="E4647" s="870"/>
      <c r="F4647" s="870"/>
      <c r="G4647" s="870"/>
      <c r="H4647" s="870"/>
      <c r="I4647" s="870"/>
      <c r="J4647" s="865" t="s">
        <v>2356</v>
      </c>
      <c r="K4647" s="871">
        <f>+K4644*K4645/K4646</f>
        <v>80.173739017694942</v>
      </c>
      <c r="L4647" s="866" t="s">
        <v>8</v>
      </c>
      <c r="N4647" s="68"/>
      <c r="O4647" s="203"/>
      <c r="P4647" s="218"/>
      <c r="Q4647" s="68"/>
      <c r="R4647" s="217"/>
    </row>
    <row r="4648" spans="1:24" ht="30" customHeight="1" x14ac:dyDescent="0.35">
      <c r="A4648" s="869"/>
      <c r="B4648" s="865"/>
      <c r="C4648" s="870"/>
      <c r="D4648" s="870"/>
      <c r="E4648" s="870"/>
      <c r="F4648" s="870"/>
      <c r="G4648" s="972" t="s">
        <v>2359</v>
      </c>
      <c r="H4648" s="870"/>
      <c r="I4648" s="870"/>
      <c r="J4648" s="583">
        <f>VLOOKUP(B4638,'Mil Cost Premiums for PUCs'!$A$4:$R$272,18,FALSE)</f>
        <v>1.1323590634842093</v>
      </c>
      <c r="K4648" s="871">
        <f>+K4647*J4648</f>
        <v>90.78546003010446</v>
      </c>
      <c r="L4648" s="866" t="s">
        <v>8</v>
      </c>
      <c r="N4648" s="419"/>
      <c r="O4648" s="203"/>
      <c r="P4648" s="218"/>
      <c r="Q4648" s="68"/>
      <c r="R4648" s="217"/>
    </row>
    <row r="4649" spans="1:24" ht="60" customHeight="1" x14ac:dyDescent="0.35">
      <c r="A4649" s="1198" t="s">
        <v>2327</v>
      </c>
      <c r="B4649" s="1083"/>
      <c r="C4649" s="1083"/>
      <c r="D4649" s="1083"/>
      <c r="E4649" s="1083"/>
      <c r="F4649" s="1083"/>
      <c r="G4649" s="1083"/>
      <c r="H4649" s="1083"/>
      <c r="I4649" s="1083"/>
      <c r="J4649" s="1083"/>
      <c r="K4649" s="1083"/>
      <c r="L4649" s="1084"/>
      <c r="N4649" s="68"/>
      <c r="O4649" s="203"/>
      <c r="P4649" s="218"/>
      <c r="Q4649" s="68"/>
      <c r="R4649" s="217"/>
    </row>
    <row r="4650" spans="1:24" ht="45" customHeight="1" x14ac:dyDescent="0.35">
      <c r="A4650" s="1077" t="s">
        <v>306</v>
      </c>
      <c r="B4650" s="1042"/>
      <c r="C4650" s="1043"/>
      <c r="D4650" s="1067" t="s">
        <v>1967</v>
      </c>
      <c r="E4650" s="1065"/>
      <c r="F4650" s="1065"/>
      <c r="G4650" s="1065"/>
      <c r="H4650" s="1065"/>
      <c r="I4650" s="1065"/>
      <c r="J4650" s="1065"/>
      <c r="K4650" s="1065"/>
      <c r="L4650" s="1066"/>
      <c r="N4650" s="68"/>
      <c r="O4650" s="203"/>
      <c r="P4650" s="218"/>
      <c r="Q4650" s="68"/>
      <c r="R4650" s="217"/>
    </row>
    <row r="4651" spans="1:24" ht="30" customHeight="1" x14ac:dyDescent="0.35">
      <c r="A4651" s="1077" t="s">
        <v>307</v>
      </c>
      <c r="B4651" s="1042"/>
      <c r="C4651" s="1043"/>
      <c r="D4651" s="1067" t="s">
        <v>1968</v>
      </c>
      <c r="E4651" s="1065"/>
      <c r="F4651" s="1065"/>
      <c r="G4651" s="1065"/>
      <c r="H4651" s="1065"/>
      <c r="I4651" s="1065"/>
      <c r="J4651" s="1065"/>
      <c r="K4651" s="1065"/>
      <c r="L4651" s="1066"/>
      <c r="N4651" s="68"/>
      <c r="O4651" s="203"/>
      <c r="P4651" s="218"/>
      <c r="Q4651" s="68"/>
      <c r="R4651" s="217"/>
    </row>
    <row r="4652" spans="1:24" ht="30" customHeight="1" x14ac:dyDescent="0.35">
      <c r="A4652" s="1077" t="s">
        <v>308</v>
      </c>
      <c r="B4652" s="1042"/>
      <c r="C4652" s="1043"/>
      <c r="D4652" s="1067" t="s">
        <v>2498</v>
      </c>
      <c r="E4652" s="1065"/>
      <c r="F4652" s="1065"/>
      <c r="G4652" s="1065"/>
      <c r="H4652" s="1065"/>
      <c r="I4652" s="1065"/>
      <c r="J4652" s="1065"/>
      <c r="K4652" s="1065"/>
      <c r="L4652" s="1066"/>
      <c r="M4652" s="51"/>
      <c r="N4652" s="68"/>
      <c r="O4652" s="171"/>
      <c r="P4652" s="216"/>
      <c r="Q4652" s="419"/>
      <c r="R4652" s="219"/>
    </row>
    <row r="4653" spans="1:24" ht="45" customHeight="1" x14ac:dyDescent="0.35">
      <c r="A4653" s="1077" t="s">
        <v>309</v>
      </c>
      <c r="B4653" s="1042"/>
      <c r="C4653" s="1043"/>
      <c r="D4653" s="1067" t="s">
        <v>1969</v>
      </c>
      <c r="E4653" s="1065"/>
      <c r="F4653" s="1065"/>
      <c r="G4653" s="1065"/>
      <c r="H4653" s="1065"/>
      <c r="I4653" s="1065"/>
      <c r="J4653" s="1065"/>
      <c r="K4653" s="1065"/>
      <c r="L4653" s="1066"/>
      <c r="N4653" s="68"/>
      <c r="O4653" s="171"/>
      <c r="P4653" s="216"/>
      <c r="Q4653" s="419"/>
      <c r="R4653" s="219"/>
    </row>
    <row r="4654" spans="1:24" ht="30" customHeight="1" x14ac:dyDescent="0.35">
      <c r="A4654" s="1077" t="s">
        <v>311</v>
      </c>
      <c r="B4654" s="1042"/>
      <c r="C4654" s="1043"/>
      <c r="D4654" s="1067" t="s">
        <v>1225</v>
      </c>
      <c r="E4654" s="1065"/>
      <c r="F4654" s="1065"/>
      <c r="G4654" s="1065"/>
      <c r="H4654" s="1065"/>
      <c r="I4654" s="1065"/>
      <c r="J4654" s="1065"/>
      <c r="K4654" s="1065"/>
      <c r="L4654" s="1066"/>
      <c r="M4654" s="173"/>
      <c r="N4654" s="68"/>
      <c r="O4654" s="203"/>
      <c r="P4654" s="218"/>
      <c r="Q4654" s="68"/>
      <c r="R4654" s="217"/>
    </row>
    <row r="4655" spans="1:24" ht="30" customHeight="1" x14ac:dyDescent="0.35">
      <c r="A4655" s="1077" t="s">
        <v>313</v>
      </c>
      <c r="B4655" s="1042"/>
      <c r="C4655" s="1043"/>
      <c r="D4655" s="1067" t="s">
        <v>1970</v>
      </c>
      <c r="E4655" s="1065"/>
      <c r="F4655" s="1065"/>
      <c r="G4655" s="1065"/>
      <c r="H4655" s="1065"/>
      <c r="I4655" s="1065"/>
      <c r="J4655" s="1065"/>
      <c r="K4655" s="1065"/>
      <c r="L4655" s="1066"/>
      <c r="N4655" s="68"/>
      <c r="O4655" s="203"/>
      <c r="P4655" s="218"/>
      <c r="Q4655" s="68"/>
      <c r="R4655" s="217"/>
    </row>
    <row r="4656" spans="1:24" ht="30" customHeight="1" x14ac:dyDescent="0.35">
      <c r="A4656" s="1077" t="s">
        <v>315</v>
      </c>
      <c r="B4656" s="1042"/>
      <c r="C4656" s="1043"/>
      <c r="D4656" s="1067" t="s">
        <v>1971</v>
      </c>
      <c r="E4656" s="1065"/>
      <c r="F4656" s="1065"/>
      <c r="G4656" s="1065"/>
      <c r="H4656" s="1065"/>
      <c r="I4656" s="1065"/>
      <c r="J4656" s="1065"/>
      <c r="K4656" s="1065"/>
      <c r="L4656" s="1066"/>
      <c r="N4656" s="68"/>
      <c r="O4656" s="203"/>
      <c r="P4656" s="218"/>
      <c r="Q4656" s="68"/>
      <c r="R4656" s="217"/>
      <c r="T4656" s="208"/>
      <c r="U4656" s="208"/>
      <c r="V4656" s="208"/>
      <c r="W4656" s="208"/>
      <c r="X4656" s="208"/>
    </row>
    <row r="4657" spans="1:25" ht="75" customHeight="1" x14ac:dyDescent="0.35">
      <c r="A4657" s="1077" t="s">
        <v>316</v>
      </c>
      <c r="B4657" s="1042"/>
      <c r="C4657" s="1043"/>
      <c r="D4657" s="1067" t="s">
        <v>373</v>
      </c>
      <c r="E4657" s="1065"/>
      <c r="F4657" s="1065"/>
      <c r="G4657" s="1065"/>
      <c r="H4657" s="1065"/>
      <c r="I4657" s="1065"/>
      <c r="J4657" s="1065"/>
      <c r="K4657" s="1065"/>
      <c r="L4657" s="1066"/>
      <c r="N4657" s="68"/>
      <c r="O4657" s="203"/>
      <c r="P4657" s="218"/>
      <c r="Q4657" s="68"/>
      <c r="R4657" s="217"/>
      <c r="Y4657" s="208"/>
    </row>
    <row r="4658" spans="1:25" ht="45" customHeight="1" thickBot="1" x14ac:dyDescent="0.4">
      <c r="A4658" s="1078" t="s">
        <v>318</v>
      </c>
      <c r="B4658" s="1079"/>
      <c r="C4658" s="1080"/>
      <c r="D4658" s="1068" t="s">
        <v>3180</v>
      </c>
      <c r="E4658" s="1069"/>
      <c r="F4658" s="1069"/>
      <c r="G4658" s="1069"/>
      <c r="H4658" s="1069"/>
      <c r="I4658" s="1069"/>
      <c r="J4658" s="1069"/>
      <c r="K4658" s="1069"/>
      <c r="L4658" s="1070"/>
      <c r="M4658" s="51"/>
      <c r="N4658" s="68"/>
      <c r="O4658" s="208"/>
      <c r="P4658" s="218"/>
      <c r="Q4658" s="68"/>
      <c r="R4658" s="217"/>
      <c r="S4658" s="208"/>
    </row>
    <row r="4659" spans="1:25" ht="30" customHeight="1" thickBot="1" x14ac:dyDescent="0.4">
      <c r="A4659" s="489"/>
      <c r="B4659" s="490"/>
      <c r="C4659" s="490"/>
      <c r="D4659" s="490"/>
      <c r="E4659" s="490"/>
      <c r="F4659" s="490"/>
      <c r="G4659" s="490"/>
      <c r="H4659" s="490"/>
      <c r="I4659" s="490"/>
      <c r="J4659" s="490"/>
      <c r="K4659" s="490"/>
      <c r="L4659" s="491"/>
      <c r="M4659" s="51"/>
      <c r="N4659" s="68"/>
      <c r="O4659" s="203"/>
      <c r="P4659" s="218"/>
      <c r="Q4659" s="68"/>
      <c r="R4659" s="217"/>
    </row>
    <row r="4660" spans="1:25" s="208" customFormat="1" ht="30" customHeight="1" x14ac:dyDescent="0.35">
      <c r="A4660" s="465" t="s">
        <v>278</v>
      </c>
      <c r="B4660" s="539">
        <v>8921</v>
      </c>
      <c r="C4660" s="1017" t="s">
        <v>1972</v>
      </c>
      <c r="D4660" s="1018"/>
      <c r="E4660" s="541" t="s">
        <v>280</v>
      </c>
      <c r="F4660" s="542" t="s">
        <v>10</v>
      </c>
      <c r="G4660" s="553" t="s">
        <v>279</v>
      </c>
      <c r="H4660" s="555">
        <v>1</v>
      </c>
      <c r="I4660" s="541" t="s">
        <v>281</v>
      </c>
      <c r="J4660" s="1019" t="s">
        <v>2371</v>
      </c>
      <c r="K4660" s="1019"/>
      <c r="L4660" s="1020"/>
      <c r="M4660" s="57"/>
      <c r="N4660" s="68"/>
      <c r="O4660" s="203"/>
      <c r="P4660" s="218"/>
      <c r="Q4660" s="68"/>
      <c r="R4660" s="217"/>
      <c r="S4660" s="203"/>
      <c r="T4660" s="203"/>
      <c r="U4660" s="203"/>
      <c r="V4660" s="203"/>
      <c r="W4660" s="203"/>
      <c r="X4660" s="203"/>
      <c r="Y4660" s="203"/>
    </row>
    <row r="4661" spans="1:25" ht="30" customHeight="1" x14ac:dyDescent="0.35">
      <c r="A4661" s="588" t="s">
        <v>298</v>
      </c>
      <c r="B4661" s="1038" t="s">
        <v>321</v>
      </c>
      <c r="C4661" s="1039"/>
      <c r="D4661" s="1040"/>
      <c r="E4661" s="23" t="s">
        <v>290</v>
      </c>
      <c r="F4661" s="23" t="s">
        <v>322</v>
      </c>
      <c r="G4661" s="1034" t="s">
        <v>323</v>
      </c>
      <c r="H4661" s="1035"/>
      <c r="I4661" s="509" t="s">
        <v>299</v>
      </c>
      <c r="J4661" s="509"/>
      <c r="K4661" s="1012" t="s">
        <v>292</v>
      </c>
      <c r="L4661" s="1013"/>
      <c r="N4661" s="419"/>
      <c r="O4661" s="203"/>
      <c r="P4661" s="218"/>
      <c r="Q4661" s="68"/>
      <c r="R4661" s="217"/>
    </row>
    <row r="4662" spans="1:25" ht="30" customHeight="1" x14ac:dyDescent="0.35">
      <c r="A4662" s="241" t="s">
        <v>324</v>
      </c>
      <c r="B4662" s="1082" t="s">
        <v>1973</v>
      </c>
      <c r="C4662" s="1083"/>
      <c r="D4662" s="1093"/>
      <c r="E4662" s="40">
        <v>99</v>
      </c>
      <c r="F4662" s="3" t="s">
        <v>8</v>
      </c>
      <c r="G4662" s="43">
        <v>1105</v>
      </c>
      <c r="H4662" s="498" t="s">
        <v>325</v>
      </c>
      <c r="I4662" s="446">
        <v>1.03</v>
      </c>
      <c r="J4662" s="446"/>
      <c r="K4662" s="40">
        <f>+E4662*G4662*I4662</f>
        <v>112676.85</v>
      </c>
      <c r="L4662" s="676" t="s">
        <v>10</v>
      </c>
      <c r="N4662" s="419"/>
      <c r="O4662" s="171"/>
      <c r="P4662" s="216"/>
      <c r="Q4662" s="419"/>
      <c r="R4662" s="219"/>
    </row>
    <row r="4663" spans="1:25" ht="30" customHeight="1" x14ac:dyDescent="0.35">
      <c r="A4663" s="832" t="s">
        <v>982</v>
      </c>
      <c r="B4663" s="1082" t="s">
        <v>1974</v>
      </c>
      <c r="C4663" s="1083"/>
      <c r="D4663" s="1093"/>
      <c r="E4663" s="40">
        <v>24.7</v>
      </c>
      <c r="F4663" s="3" t="s">
        <v>8</v>
      </c>
      <c r="G4663" s="43">
        <v>1105</v>
      </c>
      <c r="H4663" s="498" t="s">
        <v>325</v>
      </c>
      <c r="I4663" s="446">
        <v>1.03</v>
      </c>
      <c r="J4663" s="446"/>
      <c r="K4663" s="38">
        <f>+E4663*G4663*I4663</f>
        <v>28112.305</v>
      </c>
      <c r="L4663" s="676" t="s">
        <v>10</v>
      </c>
      <c r="N4663" s="68"/>
      <c r="O4663" s="171"/>
      <c r="P4663" s="216"/>
      <c r="Q4663" s="419"/>
      <c r="R4663" s="219"/>
    </row>
    <row r="4664" spans="1:25" ht="30" customHeight="1" x14ac:dyDescent="0.35">
      <c r="A4664" s="832" t="s">
        <v>1754</v>
      </c>
      <c r="B4664" s="1082" t="s">
        <v>1755</v>
      </c>
      <c r="C4664" s="1083"/>
      <c r="D4664" s="1093"/>
      <c r="E4664" s="40">
        <f>+(10500+12500)/2</f>
        <v>11500</v>
      </c>
      <c r="F4664" s="3" t="s">
        <v>10</v>
      </c>
      <c r="G4664" s="78"/>
      <c r="H4664" s="498"/>
      <c r="I4664" s="665">
        <v>1.05</v>
      </c>
      <c r="J4664" s="446"/>
      <c r="K4664" s="38">
        <f>+E4664*I4664</f>
        <v>12075</v>
      </c>
      <c r="L4664" s="676" t="s">
        <v>10</v>
      </c>
      <c r="M4664" s="173"/>
      <c r="N4664" s="68"/>
      <c r="O4664" s="203"/>
      <c r="P4664" s="218"/>
      <c r="Q4664" s="68"/>
      <c r="R4664" s="217"/>
    </row>
    <row r="4665" spans="1:25" ht="30" customHeight="1" x14ac:dyDescent="0.35">
      <c r="A4665" s="832" t="s">
        <v>355</v>
      </c>
      <c r="B4665" s="1082" t="s">
        <v>1975</v>
      </c>
      <c r="C4665" s="1083"/>
      <c r="D4665" s="1093"/>
      <c r="E4665" s="40">
        <v>125000</v>
      </c>
      <c r="F4665" s="3" t="s">
        <v>10</v>
      </c>
      <c r="G4665" s="78"/>
      <c r="H4665" s="498"/>
      <c r="I4665" s="665">
        <v>1.02</v>
      </c>
      <c r="J4665" s="446"/>
      <c r="K4665" s="38">
        <f>+E4665*I4665</f>
        <v>127500</v>
      </c>
      <c r="L4665" s="676" t="s">
        <v>10</v>
      </c>
      <c r="N4665" s="68"/>
      <c r="O4665" s="203"/>
      <c r="P4665" s="218"/>
      <c r="Q4665" s="68"/>
      <c r="R4665" s="217"/>
    </row>
    <row r="4666" spans="1:25" ht="30" customHeight="1" x14ac:dyDescent="0.35">
      <c r="A4666" s="717"/>
      <c r="B4666" s="1031" t="s">
        <v>3152</v>
      </c>
      <c r="C4666" s="1032"/>
      <c r="D4666" s="1033"/>
      <c r="E4666" s="453"/>
      <c r="F4666" s="446"/>
      <c r="G4666" s="446"/>
      <c r="H4666" s="446"/>
      <c r="I4666" s="446"/>
      <c r="J4666" s="446" t="s">
        <v>362</v>
      </c>
      <c r="K4666" s="453">
        <f>SUM(K4662:K4665)</f>
        <v>280364.15500000003</v>
      </c>
      <c r="L4666" s="243" t="s">
        <v>10</v>
      </c>
      <c r="M4666" s="51"/>
      <c r="N4666" s="68"/>
      <c r="O4666" s="203"/>
      <c r="P4666" s="218"/>
      <c r="Q4666" s="68"/>
      <c r="R4666" s="217"/>
      <c r="T4666" s="208"/>
      <c r="U4666" s="208"/>
      <c r="V4666" s="208"/>
      <c r="W4666" s="208"/>
      <c r="X4666" s="208"/>
    </row>
    <row r="4667" spans="1:25" ht="30" customHeight="1" x14ac:dyDescent="0.35">
      <c r="A4667" s="241"/>
      <c r="B4667" s="506"/>
      <c r="C4667" s="506"/>
      <c r="D4667" s="506"/>
      <c r="E4667" s="453"/>
      <c r="F4667" s="1029" t="s">
        <v>302</v>
      </c>
      <c r="G4667" s="1058" t="s">
        <v>303</v>
      </c>
      <c r="H4667" s="1058"/>
      <c r="I4667" s="1058"/>
      <c r="J4667" s="1058"/>
      <c r="K4667" s="612">
        <v>1.07</v>
      </c>
      <c r="L4667" s="243"/>
      <c r="M4667" s="51"/>
      <c r="N4667" s="68"/>
      <c r="O4667" s="203"/>
      <c r="P4667" s="218"/>
      <c r="Q4667" s="68"/>
      <c r="R4667" s="217"/>
      <c r="Y4667" s="208"/>
    </row>
    <row r="4668" spans="1:25" ht="30" customHeight="1" x14ac:dyDescent="0.35">
      <c r="A4668" s="241"/>
      <c r="B4668" s="506"/>
      <c r="C4668" s="506"/>
      <c r="D4668" s="506"/>
      <c r="E4668" s="453"/>
      <c r="F4668" s="1030"/>
      <c r="G4668" s="1073" t="s">
        <v>2374</v>
      </c>
      <c r="H4668" s="1073"/>
      <c r="I4668" s="1073"/>
      <c r="J4668" s="1073"/>
      <c r="K4668" s="612">
        <v>1.08</v>
      </c>
      <c r="L4668" s="243"/>
      <c r="N4668" s="68"/>
      <c r="O4668" s="208"/>
      <c r="P4668" s="218"/>
      <c r="Q4668" s="68"/>
      <c r="R4668" s="217"/>
      <c r="S4668" s="208"/>
    </row>
    <row r="4669" spans="1:25" ht="30" customHeight="1" x14ac:dyDescent="0.35">
      <c r="A4669" s="241"/>
      <c r="B4669" s="446"/>
      <c r="C4669" s="458"/>
      <c r="D4669" s="458"/>
      <c r="E4669" s="458"/>
      <c r="F4669" s="458"/>
      <c r="G4669" s="458"/>
      <c r="H4669" s="458"/>
      <c r="I4669" s="458"/>
      <c r="J4669" s="446" t="s">
        <v>2356</v>
      </c>
      <c r="K4669" s="591">
        <f>+K4666*K4667/K4668</f>
        <v>277768.19060185185</v>
      </c>
      <c r="L4669" s="243" t="s">
        <v>10</v>
      </c>
      <c r="N4669" s="68"/>
      <c r="O4669" s="203"/>
      <c r="P4669" s="218"/>
      <c r="Q4669" s="68"/>
      <c r="R4669" s="217"/>
    </row>
    <row r="4670" spans="1:25" s="208" customFormat="1" ht="30" customHeight="1" thickBot="1" x14ac:dyDescent="0.4">
      <c r="A4670" s="241"/>
      <c r="B4670" s="446"/>
      <c r="C4670" s="458"/>
      <c r="D4670" s="458"/>
      <c r="E4670" s="458"/>
      <c r="F4670" s="458"/>
      <c r="G4670" s="592" t="s">
        <v>2358</v>
      </c>
      <c r="H4670" s="458"/>
      <c r="I4670" s="458"/>
      <c r="J4670" s="583">
        <f>VLOOKUP(B4660,'Mil Cost Premiums for PUCs'!$A$4:$R$272,18,FALSE)</f>
        <v>1.1199953840399997</v>
      </c>
      <c r="K4670" s="591">
        <f>+K4669*J4670</f>
        <v>311099.09130721691</v>
      </c>
      <c r="L4670" s="243" t="s">
        <v>10</v>
      </c>
      <c r="M4670" s="57"/>
      <c r="N4670" s="68"/>
      <c r="O4670" s="203"/>
      <c r="P4670" s="218"/>
      <c r="Q4670" s="68"/>
      <c r="R4670" s="217"/>
      <c r="S4670" s="203"/>
      <c r="T4670" s="203"/>
      <c r="U4670" s="203"/>
      <c r="V4670" s="203"/>
      <c r="W4670" s="203"/>
      <c r="X4670" s="203"/>
      <c r="Y4670" s="203"/>
    </row>
    <row r="4671" spans="1:25" ht="30" customHeight="1" thickBot="1" x14ac:dyDescent="0.4">
      <c r="A4671" s="489"/>
      <c r="B4671" s="490"/>
      <c r="C4671" s="490"/>
      <c r="D4671" s="490"/>
      <c r="E4671" s="490"/>
      <c r="F4671" s="490"/>
      <c r="G4671" s="490"/>
      <c r="H4671" s="490"/>
      <c r="I4671" s="490"/>
      <c r="J4671" s="490"/>
      <c r="K4671" s="490"/>
      <c r="L4671" s="491"/>
      <c r="N4671" s="419"/>
      <c r="O4671" s="203"/>
      <c r="P4671" s="218"/>
      <c r="Q4671" s="68"/>
      <c r="R4671" s="217"/>
    </row>
    <row r="4672" spans="1:25" ht="30" customHeight="1" x14ac:dyDescent="0.35">
      <c r="A4672" s="465" t="s">
        <v>278</v>
      </c>
      <c r="B4672" s="539">
        <v>8922</v>
      </c>
      <c r="C4672" s="1017" t="s">
        <v>1976</v>
      </c>
      <c r="D4672" s="1018"/>
      <c r="E4672" s="541" t="s">
        <v>280</v>
      </c>
      <c r="F4672" s="542" t="s">
        <v>10</v>
      </c>
      <c r="G4672" s="553" t="s">
        <v>279</v>
      </c>
      <c r="H4672" s="555">
        <v>1</v>
      </c>
      <c r="I4672" s="541" t="s">
        <v>281</v>
      </c>
      <c r="J4672" s="1019" t="s">
        <v>2371</v>
      </c>
      <c r="K4672" s="1019"/>
      <c r="L4672" s="1020"/>
      <c r="M4672" s="173"/>
      <c r="N4672" s="419"/>
      <c r="O4672" s="171"/>
      <c r="P4672" s="216"/>
      <c r="Q4672" s="419"/>
      <c r="R4672" s="219"/>
    </row>
    <row r="4673" spans="1:25" ht="30" customHeight="1" x14ac:dyDescent="0.35">
      <c r="A4673" s="588" t="s">
        <v>298</v>
      </c>
      <c r="B4673" s="1038" t="s">
        <v>321</v>
      </c>
      <c r="C4673" s="1039"/>
      <c r="D4673" s="1040"/>
      <c r="E4673" s="23" t="s">
        <v>290</v>
      </c>
      <c r="F4673" s="23" t="s">
        <v>322</v>
      </c>
      <c r="G4673" s="1034" t="s">
        <v>323</v>
      </c>
      <c r="H4673" s="1035"/>
      <c r="I4673" s="509" t="s">
        <v>299</v>
      </c>
      <c r="J4673" s="509"/>
      <c r="K4673" s="1012" t="s">
        <v>292</v>
      </c>
      <c r="L4673" s="1013"/>
      <c r="N4673" s="68"/>
      <c r="O4673" s="171"/>
      <c r="P4673" s="216"/>
      <c r="Q4673" s="419"/>
      <c r="R4673" s="219"/>
    </row>
    <row r="4674" spans="1:25" ht="30" customHeight="1" x14ac:dyDescent="0.35">
      <c r="A4674" s="241" t="s">
        <v>355</v>
      </c>
      <c r="B4674" s="1082" t="s">
        <v>1977</v>
      </c>
      <c r="C4674" s="1083"/>
      <c r="D4674" s="1093"/>
      <c r="E4674" s="40">
        <v>83250</v>
      </c>
      <c r="F4674" s="3"/>
      <c r="G4674" s="80"/>
      <c r="H4674" s="498"/>
      <c r="I4674" s="665">
        <v>1.02</v>
      </c>
      <c r="J4674" s="3"/>
      <c r="K4674" s="591">
        <f>+E4674*I4674</f>
        <v>84915</v>
      </c>
      <c r="L4674" s="676" t="s">
        <v>10</v>
      </c>
      <c r="N4674" s="68"/>
      <c r="O4674" s="203"/>
      <c r="P4674" s="218"/>
      <c r="Q4674" s="68"/>
      <c r="R4674" s="217"/>
    </row>
    <row r="4675" spans="1:25" ht="30" customHeight="1" x14ac:dyDescent="0.35">
      <c r="A4675" s="241"/>
      <c r="B4675" s="506"/>
      <c r="C4675" s="506"/>
      <c r="D4675" s="506"/>
      <c r="E4675" s="453"/>
      <c r="F4675" s="1029" t="s">
        <v>302</v>
      </c>
      <c r="G4675" s="1058" t="s">
        <v>303</v>
      </c>
      <c r="H4675" s="1058"/>
      <c r="I4675" s="1058"/>
      <c r="J4675" s="1058"/>
      <c r="K4675" s="612">
        <v>1.07</v>
      </c>
      <c r="L4675" s="243"/>
      <c r="N4675" s="68"/>
      <c r="O4675" s="203"/>
      <c r="P4675" s="218"/>
      <c r="Q4675" s="68"/>
      <c r="R4675" s="217"/>
    </row>
    <row r="4676" spans="1:25" ht="30" customHeight="1" x14ac:dyDescent="0.35">
      <c r="A4676" s="241"/>
      <c r="B4676" s="506"/>
      <c r="C4676" s="506"/>
      <c r="D4676" s="506"/>
      <c r="E4676" s="453"/>
      <c r="F4676" s="1030"/>
      <c r="G4676" s="1073" t="s">
        <v>2374</v>
      </c>
      <c r="H4676" s="1073"/>
      <c r="I4676" s="1073"/>
      <c r="J4676" s="1073"/>
      <c r="K4676" s="612">
        <v>1.08</v>
      </c>
      <c r="L4676" s="243"/>
      <c r="N4676" s="68"/>
      <c r="O4676" s="68"/>
      <c r="T4676" s="208"/>
      <c r="U4676" s="208"/>
      <c r="V4676" s="208"/>
      <c r="W4676" s="208"/>
      <c r="X4676" s="208"/>
    </row>
    <row r="4677" spans="1:25" ht="30" customHeight="1" x14ac:dyDescent="0.35">
      <c r="A4677" s="717"/>
      <c r="B4677" s="604"/>
      <c r="C4677" s="605"/>
      <c r="D4677" s="606"/>
      <c r="E4677" s="453"/>
      <c r="F4677" s="3"/>
      <c r="G4677" s="639"/>
      <c r="H4677" s="659"/>
      <c r="I4677" s="446"/>
      <c r="J4677" s="446" t="s">
        <v>2356</v>
      </c>
      <c r="K4677" s="591">
        <f>+K4674*K4675/K4676</f>
        <v>84128.75</v>
      </c>
      <c r="L4677" s="243" t="s">
        <v>10</v>
      </c>
      <c r="N4677" s="68"/>
      <c r="O4677" s="203"/>
      <c r="P4677" s="218"/>
      <c r="Q4677" s="68"/>
      <c r="R4677" s="217"/>
      <c r="Y4677" s="208"/>
    </row>
    <row r="4678" spans="1:25" ht="30" customHeight="1" thickBot="1" x14ac:dyDescent="0.4">
      <c r="A4678" s="241"/>
      <c r="B4678" s="446"/>
      <c r="C4678" s="458"/>
      <c r="D4678" s="458"/>
      <c r="E4678" s="458"/>
      <c r="F4678" s="458"/>
      <c r="G4678" s="592" t="s">
        <v>2358</v>
      </c>
      <c r="H4678" s="458"/>
      <c r="I4678" s="458"/>
      <c r="J4678" s="583">
        <f>VLOOKUP(B4672,'Mil Cost Premiums for PUCs'!$A$4:$R$272,18,FALSE)</f>
        <v>1.0209999999999999</v>
      </c>
      <c r="K4678" s="591">
        <f>+K4677*J4678</f>
        <v>85895.453749999986</v>
      </c>
      <c r="L4678" s="243" t="s">
        <v>10</v>
      </c>
      <c r="N4678" s="68"/>
      <c r="O4678" s="208"/>
      <c r="P4678" s="218"/>
      <c r="Q4678" s="68"/>
      <c r="R4678" s="217"/>
      <c r="S4678" s="208"/>
    </row>
    <row r="4679" spans="1:25" ht="30" customHeight="1" thickBot="1" x14ac:dyDescent="0.4">
      <c r="A4679" s="489"/>
      <c r="B4679" s="490"/>
      <c r="C4679" s="490"/>
      <c r="D4679" s="490"/>
      <c r="E4679" s="490"/>
      <c r="F4679" s="490"/>
      <c r="G4679" s="490"/>
      <c r="H4679" s="490"/>
      <c r="I4679" s="490"/>
      <c r="J4679" s="490"/>
      <c r="K4679" s="490"/>
      <c r="L4679" s="491"/>
      <c r="N4679" s="68"/>
      <c r="O4679" s="203"/>
      <c r="P4679" s="218"/>
      <c r="Q4679" s="68"/>
      <c r="R4679" s="217"/>
    </row>
    <row r="4680" spans="1:25" s="208" customFormat="1" ht="30" customHeight="1" x14ac:dyDescent="0.35">
      <c r="A4680" s="465" t="s">
        <v>278</v>
      </c>
      <c r="B4680" s="539">
        <v>8923</v>
      </c>
      <c r="C4680" s="1017" t="s">
        <v>1978</v>
      </c>
      <c r="D4680" s="1018"/>
      <c r="E4680" s="541" t="s">
        <v>280</v>
      </c>
      <c r="F4680" s="542" t="s">
        <v>10</v>
      </c>
      <c r="G4680" s="553" t="s">
        <v>279</v>
      </c>
      <c r="H4680" s="555">
        <v>1</v>
      </c>
      <c r="I4680" s="541" t="s">
        <v>281</v>
      </c>
      <c r="J4680" s="1019" t="s">
        <v>2371</v>
      </c>
      <c r="K4680" s="1019"/>
      <c r="L4680" s="1020"/>
      <c r="M4680" s="51"/>
      <c r="N4680" s="68"/>
      <c r="O4680" s="203"/>
      <c r="P4680" s="218"/>
      <c r="Q4680" s="68"/>
      <c r="R4680" s="217"/>
      <c r="S4680" s="203"/>
      <c r="T4680" s="203"/>
      <c r="U4680" s="203"/>
      <c r="V4680" s="203"/>
      <c r="W4680" s="203"/>
      <c r="X4680" s="203"/>
      <c r="Y4680" s="203"/>
    </row>
    <row r="4681" spans="1:25" ht="30" customHeight="1" x14ac:dyDescent="0.35">
      <c r="A4681" s="588" t="s">
        <v>298</v>
      </c>
      <c r="B4681" s="1038" t="s">
        <v>321</v>
      </c>
      <c r="C4681" s="1039"/>
      <c r="D4681" s="1040"/>
      <c r="E4681" s="23" t="s">
        <v>290</v>
      </c>
      <c r="F4681" s="23" t="s">
        <v>322</v>
      </c>
      <c r="G4681" s="1034" t="s">
        <v>323</v>
      </c>
      <c r="H4681" s="1035"/>
      <c r="I4681" s="509" t="s">
        <v>299</v>
      </c>
      <c r="J4681" s="509"/>
      <c r="K4681" s="1012" t="s">
        <v>292</v>
      </c>
      <c r="L4681" s="1013"/>
      <c r="M4681" s="51"/>
      <c r="N4681" s="419"/>
      <c r="O4681" s="203"/>
      <c r="P4681" s="218"/>
      <c r="Q4681" s="68"/>
      <c r="R4681" s="217"/>
    </row>
    <row r="4682" spans="1:25" ht="30" customHeight="1" x14ac:dyDescent="0.35">
      <c r="A4682" s="241" t="s">
        <v>1922</v>
      </c>
      <c r="B4682" s="1082" t="s">
        <v>2488</v>
      </c>
      <c r="C4682" s="1083"/>
      <c r="D4682" s="1093"/>
      <c r="E4682" s="40">
        <v>55250</v>
      </c>
      <c r="F4682" s="3" t="s">
        <v>10</v>
      </c>
      <c r="G4682" s="80"/>
      <c r="H4682" s="498"/>
      <c r="I4682" s="446">
        <v>1.06</v>
      </c>
      <c r="J4682" s="3"/>
      <c r="K4682" s="591">
        <f>+E4682*I4682</f>
        <v>58565</v>
      </c>
      <c r="L4682" s="676" t="s">
        <v>10</v>
      </c>
      <c r="N4682" s="419"/>
      <c r="O4682" s="203"/>
      <c r="P4682" s="218"/>
      <c r="Q4682" s="68"/>
      <c r="R4682" s="217"/>
    </row>
    <row r="4683" spans="1:25" ht="30" customHeight="1" x14ac:dyDescent="0.35">
      <c r="A4683" s="241"/>
      <c r="B4683" s="506"/>
      <c r="C4683" s="506"/>
      <c r="D4683" s="506"/>
      <c r="E4683" s="453"/>
      <c r="F4683" s="1029" t="s">
        <v>302</v>
      </c>
      <c r="G4683" s="1058" t="s">
        <v>303</v>
      </c>
      <c r="H4683" s="1058"/>
      <c r="I4683" s="1058"/>
      <c r="J4683" s="1058"/>
      <c r="K4683" s="612">
        <v>1.07</v>
      </c>
      <c r="L4683" s="243"/>
      <c r="N4683" s="68"/>
      <c r="O4683" s="171"/>
      <c r="P4683" s="216"/>
      <c r="Q4683" s="419"/>
      <c r="R4683" s="219"/>
    </row>
    <row r="4684" spans="1:25" ht="30" customHeight="1" x14ac:dyDescent="0.35">
      <c r="A4684" s="241"/>
      <c r="B4684" s="506"/>
      <c r="C4684" s="506"/>
      <c r="D4684" s="506"/>
      <c r="E4684" s="453"/>
      <c r="F4684" s="1030"/>
      <c r="G4684" s="1073" t="s">
        <v>2374</v>
      </c>
      <c r="H4684" s="1073"/>
      <c r="I4684" s="1073"/>
      <c r="J4684" s="1073"/>
      <c r="K4684" s="612">
        <v>1.08</v>
      </c>
      <c r="L4684" s="243"/>
      <c r="N4684" s="68"/>
      <c r="O4684" s="203"/>
      <c r="P4684" s="218"/>
      <c r="Q4684" s="68"/>
      <c r="R4684" s="217"/>
    </row>
    <row r="4685" spans="1:25" ht="30" customHeight="1" x14ac:dyDescent="0.35">
      <c r="A4685" s="717"/>
      <c r="B4685" s="604"/>
      <c r="C4685" s="605"/>
      <c r="D4685" s="606"/>
      <c r="E4685" s="453"/>
      <c r="F4685" s="3"/>
      <c r="G4685" s="639"/>
      <c r="H4685" s="659"/>
      <c r="I4685" s="446"/>
      <c r="J4685" s="446" t="s">
        <v>2356</v>
      </c>
      <c r="K4685" s="591">
        <f>+K4682*K4683/K4684</f>
        <v>58022.731481481482</v>
      </c>
      <c r="L4685" s="243" t="s">
        <v>10</v>
      </c>
      <c r="N4685" s="68"/>
      <c r="O4685" s="171"/>
      <c r="P4685" s="216"/>
      <c r="Q4685" s="419"/>
      <c r="R4685" s="219"/>
    </row>
    <row r="4686" spans="1:25" ht="30" customHeight="1" thickBot="1" x14ac:dyDescent="0.4">
      <c r="A4686" s="241"/>
      <c r="B4686" s="446"/>
      <c r="C4686" s="458"/>
      <c r="D4686" s="458"/>
      <c r="E4686" s="458"/>
      <c r="F4686" s="458"/>
      <c r="G4686" s="592" t="s">
        <v>2358</v>
      </c>
      <c r="H4686" s="458"/>
      <c r="I4686" s="458"/>
      <c r="J4686" s="583">
        <f>VLOOKUP(B4680,'Mil Cost Premiums for PUCs'!$A$4:$R$272,18,FALSE)</f>
        <v>1.0240629999999997</v>
      </c>
      <c r="K4686" s="591">
        <f>+K4685*J4686</f>
        <v>59418.932469120351</v>
      </c>
      <c r="L4686" s="243" t="s">
        <v>10</v>
      </c>
      <c r="M4686" s="173"/>
      <c r="N4686" s="205"/>
      <c r="O4686" s="203"/>
      <c r="P4686" s="218"/>
      <c r="Q4686" s="68"/>
      <c r="R4686" s="217"/>
    </row>
    <row r="4687" spans="1:25" ht="30" customHeight="1" thickBot="1" x14ac:dyDescent="0.4">
      <c r="A4687" s="489"/>
      <c r="B4687" s="490"/>
      <c r="C4687" s="490"/>
      <c r="D4687" s="490"/>
      <c r="E4687" s="490"/>
      <c r="F4687" s="490"/>
      <c r="G4687" s="490"/>
      <c r="H4687" s="490"/>
      <c r="I4687" s="490"/>
      <c r="J4687" s="490"/>
      <c r="K4687" s="490"/>
      <c r="L4687" s="491"/>
      <c r="N4687" s="205"/>
      <c r="O4687" s="203"/>
      <c r="P4687" s="218"/>
      <c r="Q4687" s="68"/>
      <c r="R4687" s="217"/>
    </row>
    <row r="4688" spans="1:25" ht="30" customHeight="1" x14ac:dyDescent="0.35">
      <c r="A4688" s="465" t="s">
        <v>278</v>
      </c>
      <c r="B4688" s="539">
        <v>8924</v>
      </c>
      <c r="C4688" s="586" t="s">
        <v>1979</v>
      </c>
      <c r="D4688" s="587"/>
      <c r="E4688" s="541" t="s">
        <v>280</v>
      </c>
      <c r="F4688" s="542" t="s">
        <v>10</v>
      </c>
      <c r="G4688" s="553" t="s">
        <v>279</v>
      </c>
      <c r="H4688" s="555">
        <v>1</v>
      </c>
      <c r="I4688" s="541" t="s">
        <v>281</v>
      </c>
      <c r="J4688" s="1019" t="s">
        <v>2371</v>
      </c>
      <c r="K4688" s="1019"/>
      <c r="L4688" s="1020"/>
      <c r="N4688" s="218"/>
      <c r="O4688" s="203"/>
      <c r="P4688" s="218"/>
      <c r="Q4688" s="68"/>
      <c r="R4688" s="217"/>
    </row>
    <row r="4689" spans="1:25" ht="30" customHeight="1" x14ac:dyDescent="0.35">
      <c r="A4689" s="588" t="s">
        <v>288</v>
      </c>
      <c r="B4689" s="1038" t="s">
        <v>321</v>
      </c>
      <c r="C4689" s="1039"/>
      <c r="D4689" s="1040"/>
      <c r="E4689" s="23" t="s">
        <v>290</v>
      </c>
      <c r="F4689" s="23" t="s">
        <v>322</v>
      </c>
      <c r="G4689" s="1425" t="s">
        <v>323</v>
      </c>
      <c r="H4689" s="1425"/>
      <c r="I4689" s="509" t="s">
        <v>299</v>
      </c>
      <c r="J4689" s="509"/>
      <c r="K4689" s="1012" t="s">
        <v>292</v>
      </c>
      <c r="L4689" s="1013"/>
      <c r="N4689" s="290"/>
      <c r="O4689" s="203"/>
      <c r="P4689" s="218"/>
      <c r="Q4689" s="68"/>
      <c r="R4689" s="217"/>
    </row>
    <row r="4690" spans="1:25" ht="30" customHeight="1" x14ac:dyDescent="0.35">
      <c r="A4690" s="241" t="s">
        <v>1740</v>
      </c>
      <c r="B4690" s="1082" t="s">
        <v>2292</v>
      </c>
      <c r="C4690" s="1083"/>
      <c r="D4690" s="1093"/>
      <c r="E4690" s="453">
        <v>14500</v>
      </c>
      <c r="F4690" s="446" t="s">
        <v>10</v>
      </c>
      <c r="G4690" s="639"/>
      <c r="H4690" s="606"/>
      <c r="I4690" s="704">
        <v>1.04</v>
      </c>
      <c r="J4690" s="446"/>
      <c r="K4690" s="453">
        <f>+E4690*I4690</f>
        <v>15080</v>
      </c>
      <c r="L4690" s="243" t="s">
        <v>10</v>
      </c>
      <c r="M4690" s="51"/>
      <c r="N4690" s="68"/>
      <c r="O4690" s="203"/>
      <c r="P4690" s="218"/>
      <c r="Q4690" s="68"/>
      <c r="R4690" s="217"/>
    </row>
    <row r="4691" spans="1:25" ht="30" customHeight="1" x14ac:dyDescent="0.35">
      <c r="A4691" s="241" t="s">
        <v>451</v>
      </c>
      <c r="B4691" s="1082" t="s">
        <v>2489</v>
      </c>
      <c r="C4691" s="1083"/>
      <c r="D4691" s="1093"/>
      <c r="E4691" s="38">
        <v>28.5</v>
      </c>
      <c r="F4691" s="3" t="s">
        <v>208</v>
      </c>
      <c r="G4691" s="496">
        <v>64</v>
      </c>
      <c r="H4691" s="498" t="s">
        <v>842</v>
      </c>
      <c r="I4691" s="446">
        <v>1.05</v>
      </c>
      <c r="J4691" s="446"/>
      <c r="K4691" s="453">
        <f>+E4691*I4691</f>
        <v>29.925000000000001</v>
      </c>
      <c r="L4691" s="676" t="s">
        <v>10</v>
      </c>
      <c r="M4691" s="51"/>
      <c r="N4691" s="68"/>
      <c r="O4691" s="203"/>
      <c r="P4691" s="218"/>
      <c r="Q4691" s="68"/>
      <c r="R4691" s="217"/>
    </row>
    <row r="4692" spans="1:25" ht="30" customHeight="1" x14ac:dyDescent="0.35">
      <c r="A4692" s="241"/>
      <c r="B4692" s="446"/>
      <c r="C4692" s="458"/>
      <c r="D4692" s="458"/>
      <c r="E4692" s="458"/>
      <c r="F4692" s="458"/>
      <c r="G4692" s="458"/>
      <c r="H4692" s="458"/>
      <c r="I4692" s="458"/>
      <c r="J4692" s="458" t="s">
        <v>335</v>
      </c>
      <c r="K4692" s="591">
        <f>SUM(K4690:K4691)</f>
        <v>15109.924999999999</v>
      </c>
      <c r="L4692" s="243" t="s">
        <v>10</v>
      </c>
      <c r="N4692" s="421"/>
      <c r="O4692" s="203"/>
      <c r="P4692" s="218"/>
      <c r="Q4692" s="68"/>
      <c r="R4692" s="217"/>
    </row>
    <row r="4693" spans="1:25" ht="30" customHeight="1" x14ac:dyDescent="0.35">
      <c r="A4693" s="241"/>
      <c r="B4693" s="506"/>
      <c r="C4693" s="506"/>
      <c r="D4693" s="506"/>
      <c r="E4693" s="453"/>
      <c r="F4693" s="1029" t="s">
        <v>302</v>
      </c>
      <c r="G4693" s="1058" t="s">
        <v>303</v>
      </c>
      <c r="H4693" s="1058"/>
      <c r="I4693" s="1058"/>
      <c r="J4693" s="1058"/>
      <c r="K4693" s="612">
        <v>1.07</v>
      </c>
      <c r="L4693" s="243"/>
      <c r="N4693" s="419"/>
      <c r="O4693" s="203"/>
      <c r="P4693" s="218"/>
      <c r="Q4693" s="68"/>
      <c r="R4693" s="217"/>
    </row>
    <row r="4694" spans="1:25" ht="30" customHeight="1" x14ac:dyDescent="0.35">
      <c r="A4694" s="241"/>
      <c r="B4694" s="506"/>
      <c r="C4694" s="506"/>
      <c r="D4694" s="506"/>
      <c r="E4694" s="453"/>
      <c r="F4694" s="1030"/>
      <c r="G4694" s="1073" t="s">
        <v>2374</v>
      </c>
      <c r="H4694" s="1073"/>
      <c r="I4694" s="1073"/>
      <c r="J4694" s="1073"/>
      <c r="K4694" s="612">
        <v>1.08</v>
      </c>
      <c r="L4694" s="243"/>
      <c r="M4694" s="536"/>
      <c r="N4694" s="68"/>
      <c r="O4694" s="203"/>
      <c r="P4694" s="218"/>
      <c r="Q4694" s="68"/>
      <c r="R4694" s="217"/>
    </row>
    <row r="4695" spans="1:25" ht="30" customHeight="1" x14ac:dyDescent="0.35">
      <c r="A4695" s="241"/>
      <c r="B4695" s="446"/>
      <c r="C4695" s="458"/>
      <c r="D4695" s="458"/>
      <c r="E4695" s="458"/>
      <c r="F4695" s="458"/>
      <c r="G4695" s="458"/>
      <c r="H4695" s="458"/>
      <c r="I4695" s="458"/>
      <c r="J4695" s="458" t="s">
        <v>2356</v>
      </c>
      <c r="K4695" s="591">
        <f>+K4692*K4693/K4694</f>
        <v>14970.018287037035</v>
      </c>
      <c r="L4695" s="243" t="s">
        <v>10</v>
      </c>
      <c r="M4695" s="536"/>
      <c r="N4695" s="68"/>
      <c r="O4695" s="203"/>
      <c r="P4695" s="218"/>
      <c r="Q4695" s="68"/>
      <c r="R4695" s="217"/>
    </row>
    <row r="4696" spans="1:25" ht="30" customHeight="1" thickBot="1" x14ac:dyDescent="0.4">
      <c r="A4696" s="241"/>
      <c r="B4696" s="446"/>
      <c r="C4696" s="458"/>
      <c r="D4696" s="458"/>
      <c r="E4696" s="458"/>
      <c r="F4696" s="458"/>
      <c r="G4696" s="592" t="s">
        <v>2358</v>
      </c>
      <c r="H4696" s="458"/>
      <c r="I4696" s="458"/>
      <c r="J4696" s="583">
        <f>VLOOKUP(B4688,'Mil Cost Premiums for PUCs'!$A$4:$R$272,18,FALSE)</f>
        <v>1.0240629999999997</v>
      </c>
      <c r="K4696" s="591">
        <f>+K4695*J4696</f>
        <v>15330.241837078003</v>
      </c>
      <c r="L4696" s="243" t="s">
        <v>10</v>
      </c>
      <c r="M4696" s="173"/>
      <c r="O4696" s="203"/>
      <c r="P4696" s="218"/>
      <c r="Q4696" s="68"/>
      <c r="R4696" s="217"/>
    </row>
    <row r="4697" spans="1:25" ht="30" customHeight="1" thickBot="1" x14ac:dyDescent="0.4">
      <c r="A4697" s="489"/>
      <c r="B4697" s="490"/>
      <c r="C4697" s="490"/>
      <c r="D4697" s="490"/>
      <c r="E4697" s="490"/>
      <c r="F4697" s="490"/>
      <c r="G4697" s="490"/>
      <c r="H4697" s="490"/>
      <c r="I4697" s="490"/>
      <c r="J4697" s="490"/>
      <c r="K4697" s="490"/>
      <c r="L4697" s="491"/>
      <c r="O4697" s="203"/>
      <c r="P4697" s="218"/>
      <c r="Q4697" s="68"/>
      <c r="R4697" s="217"/>
    </row>
    <row r="4698" spans="1:25" ht="30" customHeight="1" x14ac:dyDescent="0.35">
      <c r="A4698" s="465" t="s">
        <v>278</v>
      </c>
      <c r="B4698" s="539">
        <v>8926</v>
      </c>
      <c r="C4698" s="1060" t="s">
        <v>1980</v>
      </c>
      <c r="D4698" s="1061"/>
      <c r="E4698" s="541" t="s">
        <v>280</v>
      </c>
      <c r="F4698" s="542" t="s">
        <v>10</v>
      </c>
      <c r="G4698" s="553" t="s">
        <v>279</v>
      </c>
      <c r="H4698" s="555">
        <v>1</v>
      </c>
      <c r="I4698" s="541" t="s">
        <v>281</v>
      </c>
      <c r="J4698" s="1019" t="s">
        <v>2371</v>
      </c>
      <c r="K4698" s="1019"/>
      <c r="L4698" s="1020"/>
      <c r="N4698" s="68"/>
      <c r="O4698" s="203"/>
      <c r="P4698" s="218"/>
      <c r="Q4698" s="68"/>
      <c r="R4698" s="217"/>
    </row>
    <row r="4699" spans="1:25" ht="30" customHeight="1" x14ac:dyDescent="0.35">
      <c r="A4699" s="588" t="s">
        <v>298</v>
      </c>
      <c r="B4699" s="1038" t="s">
        <v>321</v>
      </c>
      <c r="C4699" s="1039"/>
      <c r="D4699" s="1040"/>
      <c r="E4699" s="23" t="s">
        <v>290</v>
      </c>
      <c r="F4699" s="23" t="s">
        <v>322</v>
      </c>
      <c r="G4699" s="1034" t="s">
        <v>323</v>
      </c>
      <c r="H4699" s="1035"/>
      <c r="I4699" s="509" t="s">
        <v>299</v>
      </c>
      <c r="J4699" s="509"/>
      <c r="K4699" s="1012" t="s">
        <v>292</v>
      </c>
      <c r="L4699" s="1013"/>
      <c r="O4699" s="203"/>
      <c r="P4699" s="218"/>
      <c r="Q4699" s="68"/>
      <c r="R4699" s="217"/>
    </row>
    <row r="4700" spans="1:25" ht="30" customHeight="1" x14ac:dyDescent="0.35">
      <c r="A4700" s="588"/>
      <c r="B4700" s="973" t="s">
        <v>1981</v>
      </c>
      <c r="C4700" s="787"/>
      <c r="D4700" s="636"/>
      <c r="E4700" s="23"/>
      <c r="F4700" s="23"/>
      <c r="G4700" s="486"/>
      <c r="H4700" s="487"/>
      <c r="I4700" s="511"/>
      <c r="J4700" s="509"/>
      <c r="K4700" s="23"/>
      <c r="L4700" s="715"/>
      <c r="M4700" s="51"/>
      <c r="N4700" s="68"/>
      <c r="O4700" s="203"/>
      <c r="P4700" s="218"/>
      <c r="Q4700" s="68"/>
      <c r="R4700" s="217"/>
      <c r="T4700" s="208"/>
      <c r="U4700" s="208"/>
      <c r="V4700" s="208"/>
      <c r="W4700" s="208"/>
      <c r="X4700" s="208"/>
    </row>
    <row r="4701" spans="1:25" ht="30" customHeight="1" x14ac:dyDescent="0.35">
      <c r="A4701" s="241" t="s">
        <v>1982</v>
      </c>
      <c r="B4701" s="1354" t="s">
        <v>1983</v>
      </c>
      <c r="C4701" s="1355"/>
      <c r="D4701" s="1164"/>
      <c r="E4701" s="38">
        <v>46</v>
      </c>
      <c r="F4701" s="3" t="s">
        <v>8</v>
      </c>
      <c r="G4701" s="496">
        <v>5000</v>
      </c>
      <c r="H4701" s="498" t="s">
        <v>325</v>
      </c>
      <c r="I4701" s="434">
        <v>1.03</v>
      </c>
      <c r="J4701" s="446"/>
      <c r="K4701" s="198">
        <f>+E4701*G4701*I4701</f>
        <v>236900</v>
      </c>
      <c r="L4701" s="243" t="s">
        <v>10</v>
      </c>
      <c r="M4701" s="51"/>
      <c r="N4701" s="68"/>
      <c r="O4701" s="203"/>
      <c r="P4701" s="218"/>
      <c r="Q4701" s="68"/>
      <c r="R4701" s="217"/>
      <c r="Y4701" s="208"/>
    </row>
    <row r="4702" spans="1:25" ht="30" customHeight="1" x14ac:dyDescent="0.35">
      <c r="A4702" s="848" t="s">
        <v>380</v>
      </c>
      <c r="B4702" s="1082" t="s">
        <v>2296</v>
      </c>
      <c r="C4702" s="1083"/>
      <c r="D4702" s="1093"/>
      <c r="E4702" s="40">
        <f>+(785+1160)/2</f>
        <v>972.5</v>
      </c>
      <c r="F4702" s="3" t="s">
        <v>1984</v>
      </c>
      <c r="G4702" s="496">
        <v>100</v>
      </c>
      <c r="H4702" s="70" t="s">
        <v>1985</v>
      </c>
      <c r="I4702" s="434">
        <v>1.03</v>
      </c>
      <c r="J4702" s="446"/>
      <c r="K4702" s="198">
        <f>+E4702*G4702*I4702</f>
        <v>100167.5</v>
      </c>
      <c r="L4702" s="676"/>
      <c r="N4702" s="68"/>
      <c r="O4702" s="208"/>
      <c r="P4702" s="218"/>
      <c r="Q4702" s="68"/>
      <c r="R4702" s="217"/>
      <c r="S4702" s="208"/>
    </row>
    <row r="4703" spans="1:25" ht="30" customHeight="1" x14ac:dyDescent="0.35">
      <c r="A4703" s="848" t="s">
        <v>360</v>
      </c>
      <c r="B4703" s="1082" t="s">
        <v>1986</v>
      </c>
      <c r="C4703" s="1083"/>
      <c r="D4703" s="1093"/>
      <c r="E4703" s="40">
        <v>3.71</v>
      </c>
      <c r="F4703" s="3" t="s">
        <v>1403</v>
      </c>
      <c r="G4703" s="496">
        <v>1.1499999999999999</v>
      </c>
      <c r="H4703" s="70" t="s">
        <v>1987</v>
      </c>
      <c r="I4703" s="434">
        <v>1.03</v>
      </c>
      <c r="J4703" s="446"/>
      <c r="K4703" s="198">
        <f>5000*E4703*G4703*I4703</f>
        <v>21972.475000000002</v>
      </c>
      <c r="L4703" s="676"/>
      <c r="N4703" s="68"/>
      <c r="O4703" s="203"/>
      <c r="P4703" s="218"/>
      <c r="Q4703" s="68"/>
      <c r="R4703" s="217"/>
    </row>
    <row r="4704" spans="1:25" s="208" customFormat="1" ht="30" customHeight="1" x14ac:dyDescent="0.35">
      <c r="A4704" s="848" t="s">
        <v>377</v>
      </c>
      <c r="B4704" s="1082" t="s">
        <v>2293</v>
      </c>
      <c r="C4704" s="1083"/>
      <c r="D4704" s="1093"/>
      <c r="E4704" s="40">
        <f>+(20.3+31.5)/2</f>
        <v>25.9</v>
      </c>
      <c r="F4704" s="3" t="s">
        <v>1128</v>
      </c>
      <c r="G4704" s="496">
        <v>81</v>
      </c>
      <c r="H4704" s="70"/>
      <c r="I4704" s="434">
        <v>1.03</v>
      </c>
      <c r="J4704" s="446"/>
      <c r="K4704" s="198">
        <f t="shared" ref="K4704:K4709" si="82">+E4704*G4704*I4704</f>
        <v>2160.837</v>
      </c>
      <c r="L4704" s="676"/>
      <c r="M4704" s="57"/>
      <c r="N4704" s="68"/>
      <c r="O4704" s="203"/>
      <c r="P4704" s="218"/>
      <c r="Q4704" s="68"/>
      <c r="R4704" s="217"/>
      <c r="S4704" s="203"/>
      <c r="T4704" s="203"/>
      <c r="U4704" s="203"/>
      <c r="V4704" s="203"/>
      <c r="W4704" s="203"/>
      <c r="X4704" s="203"/>
      <c r="Y4704" s="203"/>
    </row>
    <row r="4705" spans="1:18" ht="30" customHeight="1" x14ac:dyDescent="0.35">
      <c r="A4705" s="848" t="s">
        <v>377</v>
      </c>
      <c r="B4705" s="1082" t="s">
        <v>1004</v>
      </c>
      <c r="C4705" s="1083"/>
      <c r="D4705" s="1093"/>
      <c r="E4705" s="40">
        <f>+(1710+2420)/2</f>
        <v>2065</v>
      </c>
      <c r="F4705" s="3" t="s">
        <v>1988</v>
      </c>
      <c r="G4705" s="496">
        <v>1</v>
      </c>
      <c r="H4705" s="70"/>
      <c r="I4705" s="434">
        <v>1.03</v>
      </c>
      <c r="J4705" s="446"/>
      <c r="K4705" s="198">
        <f t="shared" si="82"/>
        <v>2126.9500000000003</v>
      </c>
      <c r="L4705" s="676"/>
      <c r="M4705" s="173"/>
      <c r="N4705" s="68"/>
      <c r="O4705" s="203"/>
      <c r="P4705" s="218"/>
      <c r="Q4705" s="68"/>
      <c r="R4705" s="217"/>
    </row>
    <row r="4706" spans="1:18" ht="30" customHeight="1" x14ac:dyDescent="0.35">
      <c r="A4706" s="848" t="s">
        <v>380</v>
      </c>
      <c r="B4706" s="1082" t="s">
        <v>2294</v>
      </c>
      <c r="C4706" s="1083"/>
      <c r="D4706" s="1093"/>
      <c r="E4706" s="40">
        <f>+(34.5+82)/2</f>
        <v>58.25</v>
      </c>
      <c r="F4706" s="3" t="s">
        <v>6</v>
      </c>
      <c r="G4706" s="496">
        <v>10</v>
      </c>
      <c r="H4706" s="70"/>
      <c r="I4706" s="434">
        <v>1.03</v>
      </c>
      <c r="J4706" s="446"/>
      <c r="K4706" s="198">
        <f t="shared" si="82"/>
        <v>599.97500000000002</v>
      </c>
      <c r="L4706" s="676"/>
      <c r="N4706" s="68"/>
      <c r="O4706" s="203"/>
      <c r="P4706" s="218"/>
      <c r="Q4706" s="68"/>
      <c r="R4706" s="217"/>
    </row>
    <row r="4707" spans="1:18" ht="30" customHeight="1" x14ac:dyDescent="0.35">
      <c r="A4707" s="848" t="s">
        <v>380</v>
      </c>
      <c r="B4707" s="1082" t="s">
        <v>383</v>
      </c>
      <c r="C4707" s="1083"/>
      <c r="D4707" s="1093"/>
      <c r="E4707" s="40">
        <f>+(6450+12300)/2</f>
        <v>9375</v>
      </c>
      <c r="F4707" s="3" t="s">
        <v>1988</v>
      </c>
      <c r="G4707" s="496">
        <v>1</v>
      </c>
      <c r="H4707" s="70"/>
      <c r="I4707" s="434">
        <v>1.03</v>
      </c>
      <c r="J4707" s="446"/>
      <c r="K4707" s="198">
        <f t="shared" si="82"/>
        <v>9656.25</v>
      </c>
      <c r="L4707" s="676"/>
      <c r="M4707" s="293"/>
      <c r="N4707" s="68"/>
      <c r="O4707" s="203"/>
      <c r="P4707" s="218"/>
      <c r="Q4707" s="68"/>
      <c r="R4707" s="217"/>
    </row>
    <row r="4708" spans="1:18" ht="30" customHeight="1" x14ac:dyDescent="0.35">
      <c r="A4708" s="848" t="s">
        <v>380</v>
      </c>
      <c r="B4708" s="1354" t="s">
        <v>2295</v>
      </c>
      <c r="C4708" s="1355"/>
      <c r="D4708" s="1164"/>
      <c r="E4708" s="40">
        <f>+(660+1010)/2</f>
        <v>835</v>
      </c>
      <c r="F4708" s="3" t="s">
        <v>1988</v>
      </c>
      <c r="G4708" s="496">
        <v>1</v>
      </c>
      <c r="H4708" s="70"/>
      <c r="I4708" s="434">
        <v>1.03</v>
      </c>
      <c r="J4708" s="446"/>
      <c r="K4708" s="198">
        <f t="shared" si="82"/>
        <v>860.05000000000007</v>
      </c>
      <c r="L4708" s="676"/>
      <c r="M4708" s="293"/>
      <c r="N4708" s="68"/>
      <c r="O4708" s="203"/>
      <c r="P4708" s="218"/>
      <c r="Q4708" s="68"/>
      <c r="R4708" s="217"/>
    </row>
    <row r="4709" spans="1:18" ht="30" customHeight="1" x14ac:dyDescent="0.35">
      <c r="A4709" s="848" t="s">
        <v>380</v>
      </c>
      <c r="B4709" s="1082" t="s">
        <v>385</v>
      </c>
      <c r="C4709" s="1083"/>
      <c r="D4709" s="1093"/>
      <c r="E4709" s="40">
        <f>+(1160+3475)/2</f>
        <v>2317.5</v>
      </c>
      <c r="F4709" s="3" t="s">
        <v>1988</v>
      </c>
      <c r="G4709" s="496">
        <v>1</v>
      </c>
      <c r="H4709" s="70"/>
      <c r="I4709" s="434">
        <v>1.03</v>
      </c>
      <c r="J4709" s="446"/>
      <c r="K4709" s="198">
        <f t="shared" si="82"/>
        <v>2387.0250000000001</v>
      </c>
      <c r="L4709" s="676"/>
      <c r="N4709" s="68"/>
      <c r="O4709" s="203"/>
      <c r="P4709" s="218"/>
      <c r="Q4709" s="68"/>
      <c r="R4709" s="217"/>
    </row>
    <row r="4710" spans="1:18" ht="30" customHeight="1" x14ac:dyDescent="0.35">
      <c r="A4710" s="603"/>
      <c r="B4710" s="1379" t="s">
        <v>1989</v>
      </c>
      <c r="C4710" s="1380"/>
      <c r="D4710" s="1381"/>
      <c r="E4710" s="458"/>
      <c r="F4710" s="458"/>
      <c r="G4710" s="458"/>
      <c r="H4710" s="458"/>
      <c r="I4710" s="434"/>
      <c r="J4710" s="446"/>
      <c r="K4710" s="441"/>
      <c r="L4710" s="574"/>
      <c r="N4710" s="68"/>
      <c r="O4710" s="171"/>
      <c r="P4710" s="216"/>
      <c r="Q4710" s="419"/>
      <c r="R4710" s="219"/>
    </row>
    <row r="4711" spans="1:18" ht="30" customHeight="1" x14ac:dyDescent="0.35">
      <c r="A4711" s="241" t="s">
        <v>380</v>
      </c>
      <c r="B4711" s="1122" t="s">
        <v>2490</v>
      </c>
      <c r="C4711" s="1364"/>
      <c r="D4711" s="1365"/>
      <c r="E4711" s="591">
        <f>+(1180+2070)/2</f>
        <v>1625</v>
      </c>
      <c r="F4711" s="446" t="s">
        <v>10</v>
      </c>
      <c r="G4711" s="458">
        <v>1</v>
      </c>
      <c r="H4711" s="458" t="s">
        <v>10</v>
      </c>
      <c r="I4711" s="434">
        <v>1.03</v>
      </c>
      <c r="J4711" s="446"/>
      <c r="K4711" s="441">
        <f>+E4711*G4711*I4711</f>
        <v>1673.75</v>
      </c>
      <c r="L4711" s="574"/>
      <c r="N4711" s="68"/>
      <c r="O4711" s="171"/>
      <c r="P4711" s="216"/>
      <c r="Q4711" s="419"/>
      <c r="R4711" s="219"/>
    </row>
    <row r="4712" spans="1:18" ht="30" customHeight="1" x14ac:dyDescent="0.35">
      <c r="A4712" s="241" t="s">
        <v>380</v>
      </c>
      <c r="B4712" s="1122" t="s">
        <v>1990</v>
      </c>
      <c r="C4712" s="1364"/>
      <c r="D4712" s="1365"/>
      <c r="E4712" s="591">
        <f>+(940+1320)/2</f>
        <v>1130</v>
      </c>
      <c r="F4712" s="446" t="s">
        <v>10</v>
      </c>
      <c r="G4712" s="458">
        <v>1</v>
      </c>
      <c r="H4712" s="458" t="s">
        <v>10</v>
      </c>
      <c r="I4712" s="434">
        <v>1.03</v>
      </c>
      <c r="J4712" s="446"/>
      <c r="K4712" s="441">
        <f>+E4712*G4712*I4712</f>
        <v>1163.9000000000001</v>
      </c>
      <c r="L4712" s="574"/>
      <c r="N4712" s="68"/>
      <c r="O4712" s="203"/>
      <c r="P4712" s="218"/>
      <c r="Q4712" s="68"/>
      <c r="R4712" s="217"/>
    </row>
    <row r="4713" spans="1:18" ht="30" customHeight="1" x14ac:dyDescent="0.35">
      <c r="A4713" s="603"/>
      <c r="B4713" s="1102"/>
      <c r="C4713" s="1102"/>
      <c r="D4713" s="1102"/>
      <c r="E4713" s="453"/>
      <c r="F4713" s="446"/>
      <c r="G4713" s="446"/>
      <c r="H4713" s="446"/>
      <c r="I4713" s="434"/>
      <c r="J4713" s="446" t="s">
        <v>362</v>
      </c>
      <c r="K4713" s="441">
        <f>SUM(K4701:K4712)</f>
        <v>379668.712</v>
      </c>
      <c r="L4713" s="243" t="s">
        <v>10</v>
      </c>
      <c r="N4713" s="68"/>
      <c r="O4713" s="203"/>
      <c r="P4713" s="218"/>
      <c r="Q4713" s="68"/>
      <c r="R4713" s="217"/>
    </row>
    <row r="4714" spans="1:18" ht="30" customHeight="1" x14ac:dyDescent="0.35">
      <c r="A4714" s="241"/>
      <c r="B4714" s="506"/>
      <c r="C4714" s="506"/>
      <c r="D4714" s="506"/>
      <c r="E4714" s="453"/>
      <c r="F4714" s="1029" t="s">
        <v>302</v>
      </c>
      <c r="G4714" s="1058" t="s">
        <v>303</v>
      </c>
      <c r="H4714" s="1058"/>
      <c r="I4714" s="1058"/>
      <c r="J4714" s="1058"/>
      <c r="K4714" s="612">
        <v>1.07</v>
      </c>
      <c r="L4714" s="243"/>
      <c r="N4714" s="68"/>
      <c r="O4714" s="203"/>
      <c r="P4714" s="218"/>
      <c r="Q4714" s="68"/>
      <c r="R4714" s="217"/>
    </row>
    <row r="4715" spans="1:18" ht="30" customHeight="1" x14ac:dyDescent="0.35">
      <c r="A4715" s="241"/>
      <c r="B4715" s="506"/>
      <c r="C4715" s="506"/>
      <c r="D4715" s="506"/>
      <c r="E4715" s="453"/>
      <c r="F4715" s="1030"/>
      <c r="G4715" s="1073" t="s">
        <v>2374</v>
      </c>
      <c r="H4715" s="1073"/>
      <c r="I4715" s="1073"/>
      <c r="J4715" s="1073"/>
      <c r="K4715" s="612">
        <v>1.08</v>
      </c>
      <c r="L4715" s="243"/>
      <c r="N4715" s="68"/>
      <c r="O4715" s="203"/>
      <c r="P4715" s="218"/>
      <c r="Q4715" s="68"/>
      <c r="R4715" s="217"/>
    </row>
    <row r="4716" spans="1:18" ht="30" customHeight="1" x14ac:dyDescent="0.35">
      <c r="A4716" s="603"/>
      <c r="B4716" s="446"/>
      <c r="C4716" s="458"/>
      <c r="D4716" s="458"/>
      <c r="E4716" s="458"/>
      <c r="F4716" s="458"/>
      <c r="G4716" s="458"/>
      <c r="H4716" s="458"/>
      <c r="I4716" s="434"/>
      <c r="J4716" s="446" t="s">
        <v>2356</v>
      </c>
      <c r="K4716" s="441">
        <f>+K4713*K4714/K4715</f>
        <v>376153.26096296293</v>
      </c>
      <c r="L4716" s="243" t="s">
        <v>10</v>
      </c>
      <c r="N4716" s="68"/>
      <c r="O4716" s="203"/>
      <c r="P4716" s="218"/>
      <c r="Q4716" s="68"/>
      <c r="R4716" s="217"/>
    </row>
    <row r="4717" spans="1:18" ht="30" customHeight="1" x14ac:dyDescent="0.35">
      <c r="A4717" s="603"/>
      <c r="B4717" s="446"/>
      <c r="C4717" s="458"/>
      <c r="D4717" s="458"/>
      <c r="E4717" s="458"/>
      <c r="F4717" s="458"/>
      <c r="G4717" s="613" t="s">
        <v>2359</v>
      </c>
      <c r="H4717" s="458"/>
      <c r="I4717" s="434"/>
      <c r="J4717" s="583">
        <f>VLOOKUP(B4698,'Mil Cost Premiums for PUCs'!$A$4:$R$272,18,FALSE)</f>
        <v>1.0517127009999996</v>
      </c>
      <c r="K4717" s="441">
        <f>+K4716*J4717</f>
        <v>395605.16207731544</v>
      </c>
      <c r="L4717" s="243" t="s">
        <v>10</v>
      </c>
      <c r="N4717" s="68"/>
      <c r="O4717" s="203"/>
      <c r="P4717" s="218"/>
      <c r="Q4717" s="68"/>
      <c r="R4717" s="217"/>
    </row>
    <row r="4718" spans="1:18" ht="60" customHeight="1" x14ac:dyDescent="0.35">
      <c r="A4718" s="1064" t="s">
        <v>305</v>
      </c>
      <c r="B4718" s="1065"/>
      <c r="C4718" s="1065"/>
      <c r="D4718" s="1065"/>
      <c r="E4718" s="1065"/>
      <c r="F4718" s="1065"/>
      <c r="G4718" s="1065"/>
      <c r="H4718" s="1065"/>
      <c r="I4718" s="1065"/>
      <c r="J4718" s="1065"/>
      <c r="K4718" s="1065"/>
      <c r="L4718" s="1066"/>
      <c r="N4718" s="68"/>
      <c r="O4718" s="203"/>
      <c r="P4718" s="218"/>
      <c r="Q4718" s="68"/>
      <c r="R4718" s="217"/>
    </row>
    <row r="4719" spans="1:18" ht="30" customHeight="1" x14ac:dyDescent="0.35">
      <c r="A4719" s="1077" t="s">
        <v>306</v>
      </c>
      <c r="B4719" s="1042"/>
      <c r="C4719" s="1043"/>
      <c r="D4719" s="1067" t="s">
        <v>1991</v>
      </c>
      <c r="E4719" s="1065"/>
      <c r="F4719" s="1065"/>
      <c r="G4719" s="1065"/>
      <c r="H4719" s="1065"/>
      <c r="I4719" s="1065"/>
      <c r="J4719" s="1065"/>
      <c r="K4719" s="1065"/>
      <c r="L4719" s="1066"/>
      <c r="N4719" s="419"/>
      <c r="O4719" s="203"/>
      <c r="P4719" s="218"/>
      <c r="Q4719" s="68"/>
      <c r="R4719" s="217"/>
    </row>
    <row r="4720" spans="1:18" ht="30" customHeight="1" x14ac:dyDescent="0.35">
      <c r="A4720" s="1077" t="s">
        <v>307</v>
      </c>
      <c r="B4720" s="1042"/>
      <c r="C4720" s="1043"/>
      <c r="D4720" s="1067" t="s">
        <v>1992</v>
      </c>
      <c r="E4720" s="1065"/>
      <c r="F4720" s="1065"/>
      <c r="G4720" s="1065"/>
      <c r="H4720" s="1065"/>
      <c r="I4720" s="1065"/>
      <c r="J4720" s="1065"/>
      <c r="K4720" s="1065"/>
      <c r="L4720" s="1066"/>
      <c r="N4720" s="419"/>
      <c r="O4720" s="203"/>
      <c r="P4720" s="218"/>
      <c r="Q4720" s="68"/>
      <c r="R4720" s="217"/>
    </row>
    <row r="4721" spans="1:25" ht="30" customHeight="1" x14ac:dyDescent="0.35">
      <c r="A4721" s="1077" t="s">
        <v>308</v>
      </c>
      <c r="B4721" s="1042"/>
      <c r="C4721" s="1043"/>
      <c r="D4721" s="1067" t="s">
        <v>1993</v>
      </c>
      <c r="E4721" s="1065"/>
      <c r="F4721" s="1065"/>
      <c r="G4721" s="1065"/>
      <c r="H4721" s="1065"/>
      <c r="I4721" s="1065"/>
      <c r="J4721" s="1065"/>
      <c r="K4721" s="1065"/>
      <c r="L4721" s="1066"/>
      <c r="N4721" s="68"/>
      <c r="O4721" s="203"/>
      <c r="P4721" s="218"/>
      <c r="Q4721" s="68"/>
      <c r="R4721" s="217"/>
    </row>
    <row r="4722" spans="1:25" ht="30" customHeight="1" x14ac:dyDescent="0.35">
      <c r="A4722" s="1077" t="s">
        <v>309</v>
      </c>
      <c r="B4722" s="1042"/>
      <c r="C4722" s="1043"/>
      <c r="D4722" s="1067" t="s">
        <v>1994</v>
      </c>
      <c r="E4722" s="1065"/>
      <c r="F4722" s="1065"/>
      <c r="G4722" s="1065"/>
      <c r="H4722" s="1065"/>
      <c r="I4722" s="1065"/>
      <c r="J4722" s="1065"/>
      <c r="K4722" s="1065"/>
      <c r="L4722" s="1066"/>
      <c r="N4722" s="68"/>
      <c r="O4722" s="203"/>
      <c r="P4722" s="218"/>
      <c r="Q4722" s="68"/>
      <c r="R4722" s="217"/>
    </row>
    <row r="4723" spans="1:25" ht="30" customHeight="1" x14ac:dyDescent="0.35">
      <c r="A4723" s="1077" t="s">
        <v>311</v>
      </c>
      <c r="B4723" s="1042"/>
      <c r="C4723" s="1043"/>
      <c r="D4723" s="1067" t="s">
        <v>1995</v>
      </c>
      <c r="E4723" s="1065"/>
      <c r="F4723" s="1065"/>
      <c r="G4723" s="1065"/>
      <c r="H4723" s="1065"/>
      <c r="I4723" s="1065"/>
      <c r="J4723" s="1065"/>
      <c r="K4723" s="1065"/>
      <c r="L4723" s="1066"/>
      <c r="N4723" s="68"/>
    </row>
    <row r="4724" spans="1:25" ht="30" customHeight="1" x14ac:dyDescent="0.35">
      <c r="A4724" s="1077" t="s">
        <v>313</v>
      </c>
      <c r="B4724" s="1042"/>
      <c r="C4724" s="1043"/>
      <c r="D4724" s="1067" t="s">
        <v>1682</v>
      </c>
      <c r="E4724" s="1065"/>
      <c r="F4724" s="1065"/>
      <c r="G4724" s="1065"/>
      <c r="H4724" s="1065"/>
      <c r="I4724" s="1065"/>
      <c r="J4724" s="1065"/>
      <c r="K4724" s="1065"/>
      <c r="L4724" s="1066"/>
      <c r="N4724" s="68"/>
    </row>
    <row r="4725" spans="1:25" ht="30" customHeight="1" x14ac:dyDescent="0.35">
      <c r="A4725" s="1077" t="s">
        <v>315</v>
      </c>
      <c r="B4725" s="1042"/>
      <c r="C4725" s="1043"/>
      <c r="D4725" s="1067" t="s">
        <v>1996</v>
      </c>
      <c r="E4725" s="1065"/>
      <c r="F4725" s="1065"/>
      <c r="G4725" s="1065"/>
      <c r="H4725" s="1065"/>
      <c r="I4725" s="1065"/>
      <c r="J4725" s="1065"/>
      <c r="K4725" s="1065"/>
      <c r="L4725" s="1066"/>
      <c r="N4725" s="68"/>
    </row>
    <row r="4726" spans="1:25" ht="60" customHeight="1" x14ac:dyDescent="0.35">
      <c r="A4726" s="1077" t="s">
        <v>316</v>
      </c>
      <c r="B4726" s="1042"/>
      <c r="C4726" s="1043"/>
      <c r="D4726" s="1067" t="s">
        <v>853</v>
      </c>
      <c r="E4726" s="1065"/>
      <c r="F4726" s="1065"/>
      <c r="G4726" s="1065"/>
      <c r="H4726" s="1065"/>
      <c r="I4726" s="1065"/>
      <c r="J4726" s="1065"/>
      <c r="K4726" s="1065"/>
      <c r="L4726" s="1066"/>
      <c r="N4726" s="68"/>
    </row>
    <row r="4727" spans="1:25" ht="90" customHeight="1" thickBot="1" x14ac:dyDescent="0.4">
      <c r="A4727" s="1078" t="s">
        <v>318</v>
      </c>
      <c r="B4727" s="1079"/>
      <c r="C4727" s="1080"/>
      <c r="D4727" s="1068" t="s">
        <v>2324</v>
      </c>
      <c r="E4727" s="1069"/>
      <c r="F4727" s="1069"/>
      <c r="G4727" s="1069"/>
      <c r="H4727" s="1069"/>
      <c r="I4727" s="1069"/>
      <c r="J4727" s="1069"/>
      <c r="K4727" s="1069"/>
      <c r="L4727" s="1070"/>
      <c r="N4727" s="68"/>
    </row>
    <row r="4728" spans="1:25" ht="30" customHeight="1" thickBot="1" x14ac:dyDescent="0.4">
      <c r="A4728" s="489"/>
      <c r="B4728" s="490"/>
      <c r="C4728" s="490"/>
      <c r="D4728" s="490"/>
      <c r="E4728" s="490"/>
      <c r="F4728" s="490"/>
      <c r="G4728" s="490"/>
      <c r="H4728" s="490"/>
      <c r="I4728" s="490"/>
      <c r="J4728" s="490"/>
      <c r="K4728" s="490"/>
      <c r="L4728" s="491"/>
      <c r="N4728" s="68"/>
    </row>
    <row r="4729" spans="1:25" ht="30" customHeight="1" x14ac:dyDescent="0.35">
      <c r="A4729" s="465" t="s">
        <v>278</v>
      </c>
      <c r="B4729" s="539">
        <v>8927</v>
      </c>
      <c r="C4729" s="1017" t="s">
        <v>1997</v>
      </c>
      <c r="D4729" s="1018"/>
      <c r="E4729" s="541" t="s">
        <v>280</v>
      </c>
      <c r="F4729" s="542" t="s">
        <v>10</v>
      </c>
      <c r="G4729" s="553" t="s">
        <v>279</v>
      </c>
      <c r="H4729" s="555">
        <v>1</v>
      </c>
      <c r="I4729" s="541" t="s">
        <v>281</v>
      </c>
      <c r="J4729" s="1019" t="s">
        <v>2371</v>
      </c>
      <c r="K4729" s="1019"/>
      <c r="L4729" s="1020"/>
      <c r="N4729" s="68"/>
      <c r="X4729" s="205"/>
    </row>
    <row r="4730" spans="1:25" ht="30" customHeight="1" x14ac:dyDescent="0.35">
      <c r="A4730" s="588" t="s">
        <v>298</v>
      </c>
      <c r="B4730" s="1038" t="s">
        <v>321</v>
      </c>
      <c r="C4730" s="1039"/>
      <c r="D4730" s="1040"/>
      <c r="E4730" s="23" t="s">
        <v>290</v>
      </c>
      <c r="F4730" s="23" t="s">
        <v>322</v>
      </c>
      <c r="G4730" s="1034" t="s">
        <v>323</v>
      </c>
      <c r="H4730" s="1035"/>
      <c r="I4730" s="509" t="s">
        <v>299</v>
      </c>
      <c r="J4730" s="509"/>
      <c r="K4730" s="1012" t="s">
        <v>292</v>
      </c>
      <c r="L4730" s="1013"/>
      <c r="M4730" s="173"/>
      <c r="N4730" s="68"/>
      <c r="X4730" s="205"/>
      <c r="Y4730" s="205"/>
    </row>
    <row r="4731" spans="1:25" ht="30" customHeight="1" x14ac:dyDescent="0.35">
      <c r="A4731" s="241" t="s">
        <v>451</v>
      </c>
      <c r="B4731" s="1082" t="s">
        <v>2375</v>
      </c>
      <c r="C4731" s="1083"/>
      <c r="D4731" s="1093"/>
      <c r="E4731" s="38">
        <v>28.5</v>
      </c>
      <c r="F4731" s="3" t="s">
        <v>208</v>
      </c>
      <c r="G4731" s="496">
        <v>900</v>
      </c>
      <c r="H4731" s="498" t="s">
        <v>842</v>
      </c>
      <c r="I4731" s="446">
        <v>1.05</v>
      </c>
      <c r="J4731" s="446"/>
      <c r="K4731" s="41">
        <f>+E4731*G4731*I4731</f>
        <v>26932.5</v>
      </c>
      <c r="L4731" s="676" t="s">
        <v>10</v>
      </c>
      <c r="N4731" s="68"/>
      <c r="X4731" s="205"/>
      <c r="Y4731" s="205"/>
    </row>
    <row r="4732" spans="1:25" ht="30" customHeight="1" x14ac:dyDescent="0.35">
      <c r="A4732" s="241"/>
      <c r="B4732" s="1031" t="s">
        <v>2297</v>
      </c>
      <c r="C4732" s="1032"/>
      <c r="D4732" s="1033"/>
      <c r="E4732" s="40"/>
      <c r="F4732" s="3"/>
      <c r="G4732" s="496"/>
      <c r="H4732" s="498"/>
      <c r="I4732" s="446"/>
      <c r="J4732" s="446"/>
      <c r="K4732" s="41"/>
      <c r="L4732" s="676"/>
      <c r="N4732" s="68"/>
      <c r="Y4732" s="205"/>
    </row>
    <row r="4733" spans="1:25" s="205" customFormat="1" ht="30" customHeight="1" x14ac:dyDescent="0.35">
      <c r="A4733" s="603"/>
      <c r="B4733" s="1102"/>
      <c r="C4733" s="1102"/>
      <c r="D4733" s="1102"/>
      <c r="E4733" s="453"/>
      <c r="F4733" s="446"/>
      <c r="G4733" s="446"/>
      <c r="H4733" s="446"/>
      <c r="I4733" s="446"/>
      <c r="J4733" s="446" t="s">
        <v>335</v>
      </c>
      <c r="K4733" s="679">
        <f>SUM(K4731:K4732)</f>
        <v>26932.5</v>
      </c>
      <c r="L4733" s="243" t="s">
        <v>10</v>
      </c>
      <c r="M4733" s="57"/>
      <c r="N4733" s="68"/>
      <c r="P4733" s="203"/>
      <c r="Q4733" s="203"/>
      <c r="R4733" s="203"/>
      <c r="S4733" s="203"/>
      <c r="T4733" s="203"/>
      <c r="U4733" s="203"/>
      <c r="V4733" s="203"/>
      <c r="W4733" s="203"/>
      <c r="X4733" s="203"/>
      <c r="Y4733" s="203"/>
    </row>
    <row r="4734" spans="1:25" s="205" customFormat="1" ht="30" customHeight="1" x14ac:dyDescent="0.35">
      <c r="A4734" s="241"/>
      <c r="B4734" s="506"/>
      <c r="C4734" s="506"/>
      <c r="D4734" s="506"/>
      <c r="E4734" s="453"/>
      <c r="F4734" s="1029" t="s">
        <v>302</v>
      </c>
      <c r="G4734" s="1058" t="s">
        <v>303</v>
      </c>
      <c r="H4734" s="1058"/>
      <c r="I4734" s="1058"/>
      <c r="J4734" s="1058"/>
      <c r="K4734" s="612">
        <v>1.07</v>
      </c>
      <c r="L4734" s="243"/>
      <c r="M4734" s="57"/>
      <c r="N4734" s="203"/>
      <c r="P4734" s="203"/>
      <c r="Q4734" s="203"/>
      <c r="R4734" s="203"/>
      <c r="S4734" s="203"/>
      <c r="T4734" s="203"/>
      <c r="U4734" s="203"/>
      <c r="V4734" s="203"/>
      <c r="W4734" s="203"/>
      <c r="X4734" s="203"/>
      <c r="Y4734" s="203"/>
    </row>
    <row r="4735" spans="1:25" s="205" customFormat="1" ht="30" customHeight="1" x14ac:dyDescent="0.35">
      <c r="A4735" s="241"/>
      <c r="B4735" s="506"/>
      <c r="C4735" s="506"/>
      <c r="D4735" s="506"/>
      <c r="E4735" s="453"/>
      <c r="F4735" s="1030"/>
      <c r="G4735" s="1073" t="s">
        <v>2374</v>
      </c>
      <c r="H4735" s="1073"/>
      <c r="I4735" s="1073"/>
      <c r="J4735" s="1073"/>
      <c r="K4735" s="612">
        <v>1.08</v>
      </c>
      <c r="L4735" s="243"/>
      <c r="M4735" s="57"/>
      <c r="N4735" s="203"/>
      <c r="P4735" s="203"/>
      <c r="Q4735" s="203"/>
      <c r="R4735" s="203"/>
      <c r="S4735" s="203"/>
      <c r="T4735" s="203"/>
      <c r="U4735" s="203"/>
      <c r="V4735" s="203"/>
      <c r="W4735" s="203"/>
      <c r="X4735" s="203"/>
      <c r="Y4735" s="203"/>
    </row>
    <row r="4736" spans="1:25" ht="30" customHeight="1" x14ac:dyDescent="0.35">
      <c r="A4736" s="603"/>
      <c r="B4736" s="446"/>
      <c r="C4736" s="458"/>
      <c r="D4736" s="458"/>
      <c r="E4736" s="458"/>
      <c r="F4736" s="458"/>
      <c r="G4736" s="458"/>
      <c r="H4736" s="458"/>
      <c r="I4736" s="458"/>
      <c r="J4736" s="446" t="s">
        <v>2356</v>
      </c>
      <c r="K4736" s="591">
        <f>+K4733*K4734/K4735</f>
        <v>26683.125</v>
      </c>
      <c r="L4736" s="243" t="s">
        <v>10</v>
      </c>
    </row>
    <row r="4737" spans="1:13" ht="30" customHeight="1" thickBot="1" x14ac:dyDescent="0.4">
      <c r="A4737" s="241"/>
      <c r="B4737" s="446"/>
      <c r="C4737" s="458"/>
      <c r="D4737" s="458"/>
      <c r="E4737" s="458"/>
      <c r="F4737" s="458"/>
      <c r="G4737" s="592" t="s">
        <v>2358</v>
      </c>
      <c r="H4737" s="458"/>
      <c r="I4737" s="458"/>
      <c r="J4737" s="583">
        <f>VLOOKUP(B4729,'Mil Cost Premiums for PUCs'!$A$4:$R$272,18,FALSE)</f>
        <v>1.0209999999999999</v>
      </c>
      <c r="K4737" s="591">
        <f>+K4736*J4737</f>
        <v>27243.470624999998</v>
      </c>
      <c r="L4737" s="243" t="s">
        <v>10</v>
      </c>
    </row>
    <row r="4738" spans="1:13" ht="30" customHeight="1" thickBot="1" x14ac:dyDescent="0.4">
      <c r="A4738" s="489"/>
      <c r="B4738" s="490"/>
      <c r="C4738" s="490"/>
      <c r="D4738" s="490"/>
      <c r="E4738" s="490"/>
      <c r="F4738" s="490"/>
      <c r="G4738" s="490"/>
      <c r="H4738" s="490"/>
      <c r="I4738" s="490"/>
      <c r="J4738" s="490"/>
      <c r="K4738" s="490"/>
      <c r="L4738" s="491"/>
      <c r="M4738" s="51"/>
    </row>
    <row r="4739" spans="1:13" ht="30" customHeight="1" x14ac:dyDescent="0.35">
      <c r="A4739" s="465" t="s">
        <v>278</v>
      </c>
      <c r="B4739" s="539">
        <v>8928</v>
      </c>
      <c r="C4739" s="1017" t="s">
        <v>1998</v>
      </c>
      <c r="D4739" s="1018"/>
      <c r="E4739" s="541" t="s">
        <v>280</v>
      </c>
      <c r="F4739" s="542" t="s">
        <v>10</v>
      </c>
      <c r="G4739" s="553" t="s">
        <v>279</v>
      </c>
      <c r="H4739" s="555">
        <v>1</v>
      </c>
      <c r="I4739" s="541" t="s">
        <v>281</v>
      </c>
      <c r="J4739" s="1019" t="s">
        <v>2371</v>
      </c>
      <c r="K4739" s="1019"/>
      <c r="L4739" s="1020"/>
      <c r="M4739" s="51"/>
    </row>
    <row r="4740" spans="1:13" ht="30" customHeight="1" x14ac:dyDescent="0.35">
      <c r="A4740" s="588" t="s">
        <v>298</v>
      </c>
      <c r="B4740" s="1038" t="s">
        <v>321</v>
      </c>
      <c r="C4740" s="1039"/>
      <c r="D4740" s="1040"/>
      <c r="E4740" s="23" t="s">
        <v>290</v>
      </c>
      <c r="F4740" s="23" t="s">
        <v>322</v>
      </c>
      <c r="G4740" s="1034" t="s">
        <v>323</v>
      </c>
      <c r="H4740" s="1035"/>
      <c r="I4740" s="509" t="s">
        <v>299</v>
      </c>
      <c r="J4740" s="509"/>
      <c r="K4740" s="1012" t="s">
        <v>292</v>
      </c>
      <c r="L4740" s="1013"/>
    </row>
    <row r="4741" spans="1:13" ht="30" customHeight="1" x14ac:dyDescent="0.35">
      <c r="A4741" s="241" t="s">
        <v>982</v>
      </c>
      <c r="B4741" s="1082" t="s">
        <v>1999</v>
      </c>
      <c r="C4741" s="1083"/>
      <c r="D4741" s="1093"/>
      <c r="E4741" s="38">
        <f>+(43.75+64)/2</f>
        <v>53.875</v>
      </c>
      <c r="F4741" s="3" t="s">
        <v>8</v>
      </c>
      <c r="G4741" s="496">
        <v>360</v>
      </c>
      <c r="H4741" s="498" t="s">
        <v>325</v>
      </c>
      <c r="I4741" s="446">
        <v>1.03</v>
      </c>
      <c r="J4741" s="446"/>
      <c r="K4741" s="41">
        <f>+E4741*G4741*I4741</f>
        <v>19976.850000000002</v>
      </c>
      <c r="L4741" s="676" t="s">
        <v>10</v>
      </c>
    </row>
    <row r="4742" spans="1:13" ht="30" customHeight="1" x14ac:dyDescent="0.35">
      <c r="A4742" s="241"/>
      <c r="B4742" s="1031" t="s">
        <v>2298</v>
      </c>
      <c r="C4742" s="1032"/>
      <c r="D4742" s="1033"/>
      <c r="E4742" s="453"/>
      <c r="F4742" s="1029" t="s">
        <v>302</v>
      </c>
      <c r="G4742" s="1058" t="s">
        <v>303</v>
      </c>
      <c r="H4742" s="1058"/>
      <c r="I4742" s="1058"/>
      <c r="J4742" s="1058"/>
      <c r="K4742" s="612">
        <v>1.07</v>
      </c>
      <c r="L4742" s="243"/>
    </row>
    <row r="4743" spans="1:13" ht="30" customHeight="1" x14ac:dyDescent="0.35">
      <c r="A4743" s="241"/>
      <c r="B4743" s="506"/>
      <c r="C4743" s="506"/>
      <c r="D4743" s="506"/>
      <c r="E4743" s="453"/>
      <c r="F4743" s="1030"/>
      <c r="G4743" s="1073" t="s">
        <v>2374</v>
      </c>
      <c r="H4743" s="1073"/>
      <c r="I4743" s="1073"/>
      <c r="J4743" s="1073"/>
      <c r="K4743" s="612">
        <v>1.08</v>
      </c>
      <c r="L4743" s="243"/>
    </row>
    <row r="4744" spans="1:13" ht="30" customHeight="1" x14ac:dyDescent="0.35">
      <c r="A4744" s="603"/>
      <c r="B4744" s="1031"/>
      <c r="C4744" s="1032"/>
      <c r="D4744" s="1033"/>
      <c r="E4744" s="453"/>
      <c r="F4744" s="3"/>
      <c r="G4744" s="639"/>
      <c r="H4744" s="659"/>
      <c r="I4744" s="446"/>
      <c r="J4744" s="446" t="s">
        <v>2356</v>
      </c>
      <c r="K4744" s="679">
        <f>+K4741*K4742/K4743</f>
        <v>19791.879166666669</v>
      </c>
      <c r="L4744" s="676" t="s">
        <v>10</v>
      </c>
    </row>
    <row r="4745" spans="1:13" ht="30" customHeight="1" thickBot="1" x14ac:dyDescent="0.4">
      <c r="A4745" s="241"/>
      <c r="B4745" s="446"/>
      <c r="C4745" s="458"/>
      <c r="D4745" s="458"/>
      <c r="E4745" s="458"/>
      <c r="F4745" s="458"/>
      <c r="G4745" s="592" t="s">
        <v>2358</v>
      </c>
      <c r="H4745" s="458"/>
      <c r="I4745" s="458"/>
      <c r="J4745" s="583">
        <f>VLOOKUP(B4739,'Mil Cost Premiums for PUCs'!$A$4:$R$272,18,FALSE)</f>
        <v>1.0209999999999999</v>
      </c>
      <c r="K4745" s="591">
        <f>+K4744*J4745</f>
        <v>20207.508629166667</v>
      </c>
      <c r="L4745" s="243" t="s">
        <v>10</v>
      </c>
    </row>
    <row r="4746" spans="1:13" ht="30" customHeight="1" thickBot="1" x14ac:dyDescent="0.4">
      <c r="A4746" s="489"/>
      <c r="B4746" s="490"/>
      <c r="C4746" s="490"/>
      <c r="D4746" s="490"/>
      <c r="E4746" s="490"/>
      <c r="F4746" s="490"/>
      <c r="G4746" s="490"/>
      <c r="H4746" s="490"/>
      <c r="I4746" s="490"/>
      <c r="J4746" s="490"/>
      <c r="K4746" s="490"/>
      <c r="L4746" s="491"/>
    </row>
    <row r="4747" spans="1:13" ht="30" customHeight="1" x14ac:dyDescent="0.35">
      <c r="A4747" s="465" t="s">
        <v>278</v>
      </c>
      <c r="B4747" s="539">
        <v>8930</v>
      </c>
      <c r="C4747" s="1017" t="s">
        <v>2000</v>
      </c>
      <c r="D4747" s="1018"/>
      <c r="E4747" s="541" t="s">
        <v>280</v>
      </c>
      <c r="F4747" s="542" t="s">
        <v>6</v>
      </c>
      <c r="G4747" s="543" t="s">
        <v>285</v>
      </c>
      <c r="H4747" s="555">
        <v>4128</v>
      </c>
      <c r="I4747" s="541" t="s">
        <v>281</v>
      </c>
      <c r="J4747" s="1019" t="s">
        <v>2371</v>
      </c>
      <c r="K4747" s="1019"/>
      <c r="L4747" s="1020"/>
    </row>
    <row r="4748" spans="1:13" ht="30" customHeight="1" x14ac:dyDescent="0.35">
      <c r="A4748" s="588" t="s">
        <v>298</v>
      </c>
      <c r="B4748" s="1038" t="s">
        <v>321</v>
      </c>
      <c r="C4748" s="1039"/>
      <c r="D4748" s="1040"/>
      <c r="E4748" s="23" t="s">
        <v>290</v>
      </c>
      <c r="F4748" s="23" t="s">
        <v>322</v>
      </c>
      <c r="G4748" s="1034" t="s">
        <v>323</v>
      </c>
      <c r="H4748" s="1035"/>
      <c r="I4748" s="509" t="s">
        <v>299</v>
      </c>
      <c r="J4748" s="509"/>
      <c r="K4748" s="1012" t="s">
        <v>292</v>
      </c>
      <c r="L4748" s="1013"/>
    </row>
    <row r="4749" spans="1:13" ht="30" customHeight="1" x14ac:dyDescent="0.35">
      <c r="A4749" s="241" t="s">
        <v>331</v>
      </c>
      <c r="B4749" s="1031" t="s">
        <v>2491</v>
      </c>
      <c r="C4749" s="1032"/>
      <c r="D4749" s="1033"/>
      <c r="E4749" s="38">
        <v>19.95</v>
      </c>
      <c r="F4749" s="3" t="s">
        <v>6</v>
      </c>
      <c r="G4749" s="496"/>
      <c r="H4749" s="498"/>
      <c r="I4749" s="446">
        <v>1.03</v>
      </c>
      <c r="J4749" s="446"/>
      <c r="K4749" s="41">
        <f>+E4749*I4749</f>
        <v>20.548500000000001</v>
      </c>
      <c r="L4749" s="676" t="s">
        <v>6</v>
      </c>
    </row>
    <row r="4750" spans="1:13" ht="30" customHeight="1" x14ac:dyDescent="0.35">
      <c r="A4750" s="241" t="s">
        <v>331</v>
      </c>
      <c r="B4750" s="1031" t="s">
        <v>2492</v>
      </c>
      <c r="C4750" s="1032"/>
      <c r="D4750" s="1033"/>
      <c r="E4750" s="40">
        <v>19.7</v>
      </c>
      <c r="F4750" s="3" t="s">
        <v>6</v>
      </c>
      <c r="G4750" s="496"/>
      <c r="H4750" s="498"/>
      <c r="I4750" s="446">
        <v>1.03</v>
      </c>
      <c r="J4750" s="446"/>
      <c r="K4750" s="41">
        <f>+E4750*I4750</f>
        <v>20.291</v>
      </c>
      <c r="L4750" s="676" t="s">
        <v>6</v>
      </c>
    </row>
    <row r="4751" spans="1:13" ht="30" customHeight="1" x14ac:dyDescent="0.35">
      <c r="A4751" s="603"/>
      <c r="B4751" s="1102"/>
      <c r="C4751" s="1102"/>
      <c r="D4751" s="1102"/>
      <c r="E4751" s="453"/>
      <c r="F4751" s="446"/>
      <c r="G4751" s="446"/>
      <c r="H4751" s="446"/>
      <c r="I4751" s="446"/>
      <c r="J4751" s="446" t="s">
        <v>304</v>
      </c>
      <c r="K4751" s="679">
        <f>AVERAGE(K4749:K4750)</f>
        <v>20.419750000000001</v>
      </c>
      <c r="L4751" s="243" t="s">
        <v>6</v>
      </c>
    </row>
    <row r="4752" spans="1:13" ht="30" customHeight="1" x14ac:dyDescent="0.35">
      <c r="A4752" s="241"/>
      <c r="B4752" s="1031"/>
      <c r="C4752" s="1032"/>
      <c r="D4752" s="1033"/>
      <c r="E4752" s="453"/>
      <c r="F4752" s="1029" t="s">
        <v>302</v>
      </c>
      <c r="G4752" s="1058" t="s">
        <v>303</v>
      </c>
      <c r="H4752" s="1058"/>
      <c r="I4752" s="1058"/>
      <c r="J4752" s="1058"/>
      <c r="K4752" s="612">
        <v>1.07</v>
      </c>
      <c r="L4752" s="243"/>
    </row>
    <row r="4753" spans="1:12" ht="30" customHeight="1" x14ac:dyDescent="0.35">
      <c r="A4753" s="241"/>
      <c r="B4753" s="506"/>
      <c r="C4753" s="506"/>
      <c r="D4753" s="506"/>
      <c r="E4753" s="453"/>
      <c r="F4753" s="1030"/>
      <c r="G4753" s="1073" t="s">
        <v>2374</v>
      </c>
      <c r="H4753" s="1073"/>
      <c r="I4753" s="1073"/>
      <c r="J4753" s="1073"/>
      <c r="K4753" s="612">
        <v>1.08</v>
      </c>
      <c r="L4753" s="243"/>
    </row>
    <row r="4754" spans="1:12" ht="30" customHeight="1" x14ac:dyDescent="0.35">
      <c r="A4754" s="603"/>
      <c r="B4754" s="446"/>
      <c r="C4754" s="458"/>
      <c r="D4754" s="458"/>
      <c r="E4754" s="458"/>
      <c r="F4754" s="458"/>
      <c r="G4754" s="458"/>
      <c r="H4754" s="458"/>
      <c r="I4754" s="458"/>
      <c r="J4754" s="446" t="s">
        <v>2356</v>
      </c>
      <c r="K4754" s="591">
        <f>+K4751*K4752/K4753</f>
        <v>20.230678240740744</v>
      </c>
      <c r="L4754" s="243" t="s">
        <v>6</v>
      </c>
    </row>
    <row r="4755" spans="1:12" ht="30" customHeight="1" thickBot="1" x14ac:dyDescent="0.4">
      <c r="A4755" s="241"/>
      <c r="B4755" s="446"/>
      <c r="C4755" s="458"/>
      <c r="D4755" s="458"/>
      <c r="E4755" s="458"/>
      <c r="F4755" s="458"/>
      <c r="G4755" s="592" t="s">
        <v>2358</v>
      </c>
      <c r="H4755" s="458"/>
      <c r="I4755" s="458"/>
      <c r="J4755" s="583">
        <f>VLOOKUP(B4747,'Mil Cost Premiums for PUCs'!$A$4:$R$272,18,FALSE)</f>
        <v>1.0905505199999999</v>
      </c>
      <c r="K4755" s="591">
        <f>+K4754*J4755</f>
        <v>22.062576675392499</v>
      </c>
      <c r="L4755" s="243" t="s">
        <v>6</v>
      </c>
    </row>
    <row r="4756" spans="1:12" ht="30" customHeight="1" thickBot="1" x14ac:dyDescent="0.4">
      <c r="A4756" s="489"/>
      <c r="B4756" s="490"/>
      <c r="C4756" s="490"/>
      <c r="D4756" s="490"/>
      <c r="E4756" s="490"/>
      <c r="F4756" s="490"/>
      <c r="G4756" s="490"/>
      <c r="H4756" s="490"/>
      <c r="I4756" s="490"/>
      <c r="J4756" s="490"/>
      <c r="K4756" s="490"/>
      <c r="L4756" s="491"/>
    </row>
    <row r="4757" spans="1:12" ht="30" customHeight="1" x14ac:dyDescent="0.35">
      <c r="A4757" s="465" t="s">
        <v>278</v>
      </c>
      <c r="B4757" s="539">
        <v>8931</v>
      </c>
      <c r="C4757" s="1017" t="s">
        <v>2001</v>
      </c>
      <c r="D4757" s="1018"/>
      <c r="E4757" s="541" t="s">
        <v>280</v>
      </c>
      <c r="F4757" s="542" t="s">
        <v>6</v>
      </c>
      <c r="G4757" s="543" t="s">
        <v>285</v>
      </c>
      <c r="H4757" s="555">
        <v>5362</v>
      </c>
      <c r="I4757" s="541" t="s">
        <v>281</v>
      </c>
      <c r="J4757" s="1019" t="s">
        <v>2371</v>
      </c>
      <c r="K4757" s="1019"/>
      <c r="L4757" s="1020"/>
    </row>
    <row r="4758" spans="1:12" ht="30" customHeight="1" x14ac:dyDescent="0.35">
      <c r="A4758" s="588" t="s">
        <v>298</v>
      </c>
      <c r="B4758" s="1038" t="s">
        <v>321</v>
      </c>
      <c r="C4758" s="1039"/>
      <c r="D4758" s="1040"/>
      <c r="E4758" s="23" t="s">
        <v>290</v>
      </c>
      <c r="F4758" s="23" t="s">
        <v>322</v>
      </c>
      <c r="G4758" s="1034" t="s">
        <v>323</v>
      </c>
      <c r="H4758" s="1035"/>
      <c r="I4758" s="509" t="s">
        <v>299</v>
      </c>
      <c r="J4758" s="509" t="s">
        <v>2494</v>
      </c>
      <c r="K4758" s="1012" t="s">
        <v>292</v>
      </c>
      <c r="L4758" s="1013"/>
    </row>
    <row r="4759" spans="1:12" ht="30" customHeight="1" x14ac:dyDescent="0.35">
      <c r="A4759" s="241" t="s">
        <v>451</v>
      </c>
      <c r="B4759" s="1082" t="s">
        <v>2493</v>
      </c>
      <c r="C4759" s="1083"/>
      <c r="D4759" s="1093"/>
      <c r="E4759" s="38">
        <v>23.9</v>
      </c>
      <c r="F4759" s="3" t="s">
        <v>208</v>
      </c>
      <c r="G4759" s="496">
        <v>35</v>
      </c>
      <c r="H4759" s="498" t="s">
        <v>2002</v>
      </c>
      <c r="I4759" s="446">
        <v>1.05</v>
      </c>
      <c r="J4759" s="446"/>
      <c r="K4759" s="41">
        <f>+E4759*G4759*I4759</f>
        <v>878.32500000000005</v>
      </c>
      <c r="L4759" s="676" t="s">
        <v>6</v>
      </c>
    </row>
    <row r="4760" spans="1:12" ht="30" customHeight="1" x14ac:dyDescent="0.35">
      <c r="A4760" s="241" t="s">
        <v>451</v>
      </c>
      <c r="B4760" s="1082" t="s">
        <v>3163</v>
      </c>
      <c r="C4760" s="1083"/>
      <c r="D4760" s="1093"/>
      <c r="E4760" s="974">
        <v>28.5</v>
      </c>
      <c r="F4760" s="3" t="s">
        <v>208</v>
      </c>
      <c r="G4760" s="496">
        <v>2</v>
      </c>
      <c r="H4760" s="498" t="s">
        <v>2002</v>
      </c>
      <c r="I4760" s="446">
        <v>1.05</v>
      </c>
      <c r="J4760" s="446"/>
      <c r="K4760" s="41">
        <f>+E4760*G4760*I4760</f>
        <v>59.85</v>
      </c>
      <c r="L4760" s="676" t="s">
        <v>6</v>
      </c>
    </row>
    <row r="4761" spans="1:12" ht="30" customHeight="1" x14ac:dyDescent="0.35">
      <c r="A4761" s="603"/>
      <c r="B4761" s="1102" t="s">
        <v>2003</v>
      </c>
      <c r="C4761" s="1102"/>
      <c r="D4761" s="1102"/>
      <c r="E4761" s="453"/>
      <c r="F4761" s="446"/>
      <c r="G4761" s="446"/>
      <c r="H4761" s="446"/>
      <c r="I4761" s="446"/>
      <c r="J4761" s="446" t="s">
        <v>2004</v>
      </c>
      <c r="K4761" s="679">
        <f>+((K4759*0.12)+(K4760*0.88))/2</f>
        <v>79.033500000000004</v>
      </c>
      <c r="L4761" s="243" t="s">
        <v>6</v>
      </c>
    </row>
    <row r="4762" spans="1:12" ht="30" customHeight="1" x14ac:dyDescent="0.35">
      <c r="A4762" s="241"/>
      <c r="B4762" s="1031"/>
      <c r="C4762" s="1032"/>
      <c r="D4762" s="1033"/>
      <c r="E4762" s="453"/>
      <c r="F4762" s="1029" t="s">
        <v>302</v>
      </c>
      <c r="G4762" s="1058" t="s">
        <v>303</v>
      </c>
      <c r="H4762" s="1058"/>
      <c r="I4762" s="1058"/>
      <c r="J4762" s="1058"/>
      <c r="K4762" s="612">
        <v>1.07</v>
      </c>
      <c r="L4762" s="243"/>
    </row>
    <row r="4763" spans="1:12" ht="30" customHeight="1" x14ac:dyDescent="0.35">
      <c r="A4763" s="241"/>
      <c r="B4763" s="506"/>
      <c r="C4763" s="506"/>
      <c r="D4763" s="506"/>
      <c r="E4763" s="453"/>
      <c r="F4763" s="1030"/>
      <c r="G4763" s="1073" t="s">
        <v>2374</v>
      </c>
      <c r="H4763" s="1073"/>
      <c r="I4763" s="1073"/>
      <c r="J4763" s="1073"/>
      <c r="K4763" s="612">
        <v>1.08</v>
      </c>
      <c r="L4763" s="243"/>
    </row>
    <row r="4764" spans="1:12" ht="30" customHeight="1" x14ac:dyDescent="0.35">
      <c r="A4764" s="603"/>
      <c r="B4764" s="446"/>
      <c r="C4764" s="458"/>
      <c r="D4764" s="458"/>
      <c r="E4764" s="458"/>
      <c r="F4764" s="458"/>
      <c r="G4764" s="458"/>
      <c r="H4764" s="458"/>
      <c r="I4764" s="458"/>
      <c r="J4764" s="458" t="s">
        <v>2356</v>
      </c>
      <c r="K4764" s="591">
        <f>+K4761*K4762/K4763</f>
        <v>78.301708333333337</v>
      </c>
      <c r="L4764" s="243" t="s">
        <v>6</v>
      </c>
    </row>
    <row r="4765" spans="1:12" ht="30" customHeight="1" thickBot="1" x14ac:dyDescent="0.4">
      <c r="A4765" s="241"/>
      <c r="B4765" s="446"/>
      <c r="C4765" s="458"/>
      <c r="D4765" s="458"/>
      <c r="E4765" s="458"/>
      <c r="F4765" s="458"/>
      <c r="G4765" s="592" t="s">
        <v>2358</v>
      </c>
      <c r="H4765" s="458"/>
      <c r="I4765" s="458"/>
      <c r="J4765" s="583">
        <f>VLOOKUP(B4757,'Mil Cost Premiums for PUCs'!$A$4:$R$272,18,FALSE)</f>
        <v>1.0905505199999999</v>
      </c>
      <c r="K4765" s="591">
        <f>+K4764*J4765</f>
        <v>85.391968739804994</v>
      </c>
      <c r="L4765" s="243" t="s">
        <v>6</v>
      </c>
    </row>
    <row r="4766" spans="1:12" ht="30" customHeight="1" thickBot="1" x14ac:dyDescent="0.4">
      <c r="A4766" s="489"/>
      <c r="B4766" s="490"/>
      <c r="C4766" s="490"/>
      <c r="D4766" s="490"/>
      <c r="E4766" s="490"/>
      <c r="F4766" s="490"/>
      <c r="G4766" s="490"/>
      <c r="H4766" s="490"/>
      <c r="I4766" s="490"/>
      <c r="J4766" s="490"/>
      <c r="K4766" s="490"/>
      <c r="L4766" s="491"/>
    </row>
    <row r="4767" spans="1:12" ht="30" customHeight="1" x14ac:dyDescent="0.35">
      <c r="A4767" s="465" t="s">
        <v>278</v>
      </c>
      <c r="B4767" s="539">
        <v>8932</v>
      </c>
      <c r="C4767" s="1231" t="s">
        <v>2005</v>
      </c>
      <c r="D4767" s="1327"/>
      <c r="E4767" s="541" t="s">
        <v>280</v>
      </c>
      <c r="F4767" s="542" t="s">
        <v>6</v>
      </c>
      <c r="G4767" s="543" t="s">
        <v>285</v>
      </c>
      <c r="H4767" s="555">
        <v>15956</v>
      </c>
      <c r="I4767" s="541" t="s">
        <v>281</v>
      </c>
      <c r="J4767" s="1019" t="s">
        <v>2371</v>
      </c>
      <c r="K4767" s="1019"/>
      <c r="L4767" s="1020"/>
    </row>
    <row r="4768" spans="1:12" ht="30" customHeight="1" x14ac:dyDescent="0.35">
      <c r="A4768" s="588" t="s">
        <v>298</v>
      </c>
      <c r="B4768" s="1038" t="s">
        <v>321</v>
      </c>
      <c r="C4768" s="1039"/>
      <c r="D4768" s="1040"/>
      <c r="E4768" s="23" t="s">
        <v>290</v>
      </c>
      <c r="F4768" s="23" t="s">
        <v>322</v>
      </c>
      <c r="G4768" s="1034" t="s">
        <v>323</v>
      </c>
      <c r="H4768" s="1035"/>
      <c r="I4768" s="509" t="s">
        <v>299</v>
      </c>
      <c r="J4768" s="509"/>
      <c r="K4768" s="1012" t="s">
        <v>292</v>
      </c>
      <c r="L4768" s="1013"/>
    </row>
    <row r="4769" spans="1:12" ht="30" customHeight="1" x14ac:dyDescent="0.35">
      <c r="A4769" s="241" t="s">
        <v>451</v>
      </c>
      <c r="B4769" s="1082" t="s">
        <v>2495</v>
      </c>
      <c r="C4769" s="1083"/>
      <c r="D4769" s="1093"/>
      <c r="E4769" s="40">
        <v>23.9</v>
      </c>
      <c r="F4769" s="3" t="s">
        <v>208</v>
      </c>
      <c r="G4769" s="496">
        <v>4</v>
      </c>
      <c r="H4769" s="498" t="s">
        <v>2002</v>
      </c>
      <c r="I4769" s="446">
        <v>1.05</v>
      </c>
      <c r="J4769" s="446"/>
      <c r="K4769" s="40">
        <f>+E4769*G4769*I4769</f>
        <v>100.38</v>
      </c>
      <c r="L4769" s="676" t="s">
        <v>6</v>
      </c>
    </row>
    <row r="4770" spans="1:12" ht="30" customHeight="1" x14ac:dyDescent="0.35">
      <c r="A4770" s="241" t="s">
        <v>451</v>
      </c>
      <c r="B4770" s="1082" t="s">
        <v>2496</v>
      </c>
      <c r="C4770" s="1083"/>
      <c r="D4770" s="1093"/>
      <c r="E4770" s="974">
        <v>28.5</v>
      </c>
      <c r="F4770" s="659" t="s">
        <v>208</v>
      </c>
      <c r="G4770" s="975">
        <v>8</v>
      </c>
      <c r="H4770" s="659" t="s">
        <v>2002</v>
      </c>
      <c r="I4770" s="446">
        <v>1.05</v>
      </c>
      <c r="J4770" s="446"/>
      <c r="K4770" s="453">
        <f>+E4770*G4770*I4770</f>
        <v>239.4</v>
      </c>
      <c r="L4770" s="243" t="s">
        <v>6</v>
      </c>
    </row>
    <row r="4771" spans="1:12" ht="30" customHeight="1" x14ac:dyDescent="0.35">
      <c r="A4771" s="241" t="s">
        <v>451</v>
      </c>
      <c r="B4771" s="1082" t="s">
        <v>2497</v>
      </c>
      <c r="C4771" s="1083"/>
      <c r="D4771" s="1093"/>
      <c r="E4771" s="974">
        <v>33</v>
      </c>
      <c r="F4771" s="659" t="s">
        <v>208</v>
      </c>
      <c r="G4771" s="975">
        <v>16</v>
      </c>
      <c r="H4771" s="659" t="s">
        <v>2002</v>
      </c>
      <c r="I4771" s="446">
        <v>1.05</v>
      </c>
      <c r="J4771" s="446"/>
      <c r="K4771" s="453">
        <f>+E4771*G4771*I4771</f>
        <v>554.4</v>
      </c>
      <c r="L4771" s="243" t="s">
        <v>6</v>
      </c>
    </row>
    <row r="4772" spans="1:12" ht="30" customHeight="1" x14ac:dyDescent="0.35">
      <c r="A4772" s="241"/>
      <c r="B4772" s="458"/>
      <c r="C4772" s="458"/>
      <c r="D4772" s="458"/>
      <c r="E4772" s="458"/>
      <c r="F4772" s="458"/>
      <c r="G4772" s="458"/>
      <c r="H4772" s="458"/>
      <c r="I4772" s="579"/>
      <c r="J4772" s="548" t="s">
        <v>304</v>
      </c>
      <c r="K4772" s="453">
        <f>AVERAGE(K4769:K4771)</f>
        <v>298.06</v>
      </c>
      <c r="L4772" s="243" t="s">
        <v>6</v>
      </c>
    </row>
    <row r="4773" spans="1:12" ht="30" customHeight="1" x14ac:dyDescent="0.35">
      <c r="A4773" s="241"/>
      <c r="B4773" s="1031"/>
      <c r="C4773" s="1032"/>
      <c r="D4773" s="1033"/>
      <c r="E4773" s="453"/>
      <c r="F4773" s="1029" t="s">
        <v>302</v>
      </c>
      <c r="G4773" s="1058" t="s">
        <v>303</v>
      </c>
      <c r="H4773" s="1058"/>
      <c r="I4773" s="1058"/>
      <c r="J4773" s="1058"/>
      <c r="K4773" s="612">
        <v>1.07</v>
      </c>
      <c r="L4773" s="243"/>
    </row>
    <row r="4774" spans="1:12" ht="30" customHeight="1" x14ac:dyDescent="0.35">
      <c r="A4774" s="241"/>
      <c r="B4774" s="506"/>
      <c r="C4774" s="506"/>
      <c r="D4774" s="506"/>
      <c r="E4774" s="453"/>
      <c r="F4774" s="1030"/>
      <c r="G4774" s="1073" t="s">
        <v>2374</v>
      </c>
      <c r="H4774" s="1073"/>
      <c r="I4774" s="1073"/>
      <c r="J4774" s="1073"/>
      <c r="K4774" s="612">
        <v>1.08</v>
      </c>
      <c r="L4774" s="243"/>
    </row>
    <row r="4775" spans="1:12" ht="30" customHeight="1" x14ac:dyDescent="0.35">
      <c r="A4775" s="241"/>
      <c r="B4775" s="446"/>
      <c r="C4775" s="458"/>
      <c r="D4775" s="458"/>
      <c r="E4775" s="458"/>
      <c r="F4775" s="458"/>
      <c r="G4775" s="458"/>
      <c r="H4775" s="458"/>
      <c r="I4775" s="458"/>
      <c r="J4775" s="446" t="s">
        <v>2356</v>
      </c>
      <c r="K4775" s="591">
        <f>+K4772*K4773/K4774</f>
        <v>295.30018518518523</v>
      </c>
      <c r="L4775" s="243" t="s">
        <v>6</v>
      </c>
    </row>
    <row r="4776" spans="1:12" ht="30" customHeight="1" x14ac:dyDescent="0.35">
      <c r="A4776" s="241"/>
      <c r="B4776" s="446"/>
      <c r="C4776" s="458"/>
      <c r="D4776" s="458"/>
      <c r="E4776" s="458"/>
      <c r="F4776" s="458"/>
      <c r="G4776" s="613" t="s">
        <v>2359</v>
      </c>
      <c r="H4776" s="458"/>
      <c r="I4776" s="458"/>
      <c r="J4776" s="583">
        <f>VLOOKUP(B4767,'Mil Cost Premiums for PUCs'!$A$4:$R$272,18,FALSE)</f>
        <v>1.0905505199999999</v>
      </c>
      <c r="K4776" s="591">
        <f>+K4775*J4776</f>
        <v>322.03977050980001</v>
      </c>
      <c r="L4776" s="243" t="s">
        <v>6</v>
      </c>
    </row>
    <row r="4777" spans="1:12" ht="60" customHeight="1" x14ac:dyDescent="0.35">
      <c r="A4777" s="1064" t="s">
        <v>2006</v>
      </c>
      <c r="B4777" s="1065"/>
      <c r="C4777" s="1065"/>
      <c r="D4777" s="1065"/>
      <c r="E4777" s="1065"/>
      <c r="F4777" s="1065"/>
      <c r="G4777" s="1065"/>
      <c r="H4777" s="1065"/>
      <c r="I4777" s="1065"/>
      <c r="J4777" s="1065"/>
      <c r="K4777" s="1065"/>
      <c r="L4777" s="1066"/>
    </row>
    <row r="4778" spans="1:12" ht="30" customHeight="1" x14ac:dyDescent="0.35">
      <c r="A4778" s="1077" t="s">
        <v>306</v>
      </c>
      <c r="B4778" s="1042"/>
      <c r="C4778" s="1043"/>
      <c r="D4778" s="1067" t="s">
        <v>2007</v>
      </c>
      <c r="E4778" s="1065"/>
      <c r="F4778" s="1065"/>
      <c r="G4778" s="1065"/>
      <c r="H4778" s="1065"/>
      <c r="I4778" s="1065"/>
      <c r="J4778" s="1065"/>
      <c r="K4778" s="1065"/>
      <c r="L4778" s="1066"/>
    </row>
    <row r="4779" spans="1:12" ht="30" customHeight="1" x14ac:dyDescent="0.35">
      <c r="A4779" s="1077" t="s">
        <v>307</v>
      </c>
      <c r="B4779" s="1042"/>
      <c r="C4779" s="1043"/>
      <c r="D4779" s="1067" t="s">
        <v>2008</v>
      </c>
      <c r="E4779" s="1065"/>
      <c r="F4779" s="1065"/>
      <c r="G4779" s="1065"/>
      <c r="H4779" s="1065"/>
      <c r="I4779" s="1065"/>
      <c r="J4779" s="1065"/>
      <c r="K4779" s="1065"/>
      <c r="L4779" s="1066"/>
    </row>
    <row r="4780" spans="1:12" ht="30" customHeight="1" x14ac:dyDescent="0.35">
      <c r="A4780" s="1077" t="s">
        <v>308</v>
      </c>
      <c r="B4780" s="1042"/>
      <c r="C4780" s="1043"/>
      <c r="D4780" s="1067" t="s">
        <v>3166</v>
      </c>
      <c r="E4780" s="1065"/>
      <c r="F4780" s="1065"/>
      <c r="G4780" s="1065"/>
      <c r="H4780" s="1065"/>
      <c r="I4780" s="1065"/>
      <c r="J4780" s="1065"/>
      <c r="K4780" s="1065"/>
      <c r="L4780" s="1066"/>
    </row>
    <row r="4781" spans="1:12" ht="30" customHeight="1" x14ac:dyDescent="0.35">
      <c r="A4781" s="1077" t="s">
        <v>309</v>
      </c>
      <c r="B4781" s="1042"/>
      <c r="C4781" s="1043"/>
      <c r="D4781" s="1067" t="s">
        <v>2009</v>
      </c>
      <c r="E4781" s="1065"/>
      <c r="F4781" s="1065"/>
      <c r="G4781" s="1065"/>
      <c r="H4781" s="1065"/>
      <c r="I4781" s="1065"/>
      <c r="J4781" s="1065"/>
      <c r="K4781" s="1065"/>
      <c r="L4781" s="1066"/>
    </row>
    <row r="4782" spans="1:12" ht="30" customHeight="1" x14ac:dyDescent="0.35">
      <c r="A4782" s="1077" t="s">
        <v>311</v>
      </c>
      <c r="B4782" s="1042"/>
      <c r="C4782" s="1043"/>
      <c r="D4782" s="1067" t="s">
        <v>2325</v>
      </c>
      <c r="E4782" s="1065"/>
      <c r="F4782" s="1065"/>
      <c r="G4782" s="1065"/>
      <c r="H4782" s="1065"/>
      <c r="I4782" s="1065"/>
      <c r="J4782" s="1065"/>
      <c r="K4782" s="1065"/>
      <c r="L4782" s="1066"/>
    </row>
    <row r="4783" spans="1:12" ht="30" customHeight="1" x14ac:dyDescent="0.35">
      <c r="A4783" s="1077" t="s">
        <v>313</v>
      </c>
      <c r="B4783" s="1042"/>
      <c r="C4783" s="1043"/>
      <c r="D4783" s="1067" t="s">
        <v>1682</v>
      </c>
      <c r="E4783" s="1065"/>
      <c r="F4783" s="1065"/>
      <c r="G4783" s="1065"/>
      <c r="H4783" s="1065"/>
      <c r="I4783" s="1065"/>
      <c r="J4783" s="1065"/>
      <c r="K4783" s="1065"/>
      <c r="L4783" s="1066"/>
    </row>
    <row r="4784" spans="1:12" ht="30" customHeight="1" x14ac:dyDescent="0.35">
      <c r="A4784" s="1077" t="s">
        <v>315</v>
      </c>
      <c r="B4784" s="1042"/>
      <c r="C4784" s="1043"/>
      <c r="D4784" s="1067" t="s">
        <v>1817</v>
      </c>
      <c r="E4784" s="1065"/>
      <c r="F4784" s="1065"/>
      <c r="G4784" s="1065"/>
      <c r="H4784" s="1065"/>
      <c r="I4784" s="1065"/>
      <c r="J4784" s="1065"/>
      <c r="K4784" s="1065"/>
      <c r="L4784" s="1066"/>
    </row>
    <row r="4785" spans="1:12" ht="30" customHeight="1" x14ac:dyDescent="0.35">
      <c r="A4785" s="1077" t="s">
        <v>316</v>
      </c>
      <c r="B4785" s="1042"/>
      <c r="C4785" s="1043"/>
      <c r="D4785" s="1067" t="s">
        <v>317</v>
      </c>
      <c r="E4785" s="1065"/>
      <c r="F4785" s="1065"/>
      <c r="G4785" s="1065"/>
      <c r="H4785" s="1065"/>
      <c r="I4785" s="1065"/>
      <c r="J4785" s="1065"/>
      <c r="K4785" s="1065"/>
      <c r="L4785" s="1066"/>
    </row>
    <row r="4786" spans="1:12" ht="30" customHeight="1" thickBot="1" x14ac:dyDescent="0.4">
      <c r="A4786" s="1078" t="s">
        <v>318</v>
      </c>
      <c r="B4786" s="1079"/>
      <c r="C4786" s="1080"/>
      <c r="D4786" s="1068" t="s">
        <v>2010</v>
      </c>
      <c r="E4786" s="1069"/>
      <c r="F4786" s="1069"/>
      <c r="G4786" s="1069"/>
      <c r="H4786" s="1069"/>
      <c r="I4786" s="1069"/>
      <c r="J4786" s="1069"/>
      <c r="K4786" s="1069"/>
      <c r="L4786" s="1070"/>
    </row>
    <row r="4787" spans="1:12" ht="30" customHeight="1" thickBot="1" x14ac:dyDescent="0.4">
      <c r="A4787" s="489"/>
      <c r="B4787" s="490"/>
      <c r="C4787" s="490"/>
      <c r="D4787" s="490"/>
      <c r="E4787" s="490"/>
      <c r="F4787" s="490"/>
      <c r="G4787" s="490"/>
      <c r="H4787" s="490"/>
      <c r="I4787" s="490"/>
      <c r="J4787" s="490"/>
      <c r="K4787" s="490"/>
      <c r="L4787" s="491"/>
    </row>
    <row r="4788" spans="1:12" ht="30" customHeight="1" x14ac:dyDescent="0.35">
      <c r="A4788" s="465" t="s">
        <v>278</v>
      </c>
      <c r="B4788" s="539">
        <v>8951</v>
      </c>
      <c r="C4788" s="1096" t="s">
        <v>2011</v>
      </c>
      <c r="D4788" s="1097"/>
      <c r="E4788" s="541" t="s">
        <v>280</v>
      </c>
      <c r="F4788" s="542" t="s">
        <v>5</v>
      </c>
      <c r="G4788" s="543" t="s">
        <v>285</v>
      </c>
      <c r="H4788" s="556">
        <v>321343</v>
      </c>
      <c r="I4788" s="541" t="s">
        <v>281</v>
      </c>
      <c r="J4788" s="1019" t="s">
        <v>2371</v>
      </c>
      <c r="K4788" s="1019"/>
      <c r="L4788" s="1020"/>
    </row>
    <row r="4789" spans="1:12" ht="30" customHeight="1" x14ac:dyDescent="0.35">
      <c r="A4789" s="588" t="s">
        <v>298</v>
      </c>
      <c r="B4789" s="1038" t="s">
        <v>321</v>
      </c>
      <c r="C4789" s="1039"/>
      <c r="D4789" s="1040"/>
      <c r="E4789" s="420" t="s">
        <v>290</v>
      </c>
      <c r="F4789" s="23" t="s">
        <v>322</v>
      </c>
      <c r="G4789" s="1034" t="s">
        <v>323</v>
      </c>
      <c r="H4789" s="1035"/>
      <c r="I4789" s="509" t="s">
        <v>2012</v>
      </c>
      <c r="J4789" s="509" t="s">
        <v>299</v>
      </c>
      <c r="K4789" s="595" t="s">
        <v>292</v>
      </c>
      <c r="L4789" s="739"/>
    </row>
    <row r="4790" spans="1:12" ht="30" customHeight="1" x14ac:dyDescent="0.35">
      <c r="A4790" s="241" t="s">
        <v>1790</v>
      </c>
      <c r="B4790" s="1031" t="s">
        <v>2013</v>
      </c>
      <c r="C4790" s="1032"/>
      <c r="D4790" s="1033"/>
      <c r="E4790" s="607">
        <f>+(0.21+0.39)/2</f>
        <v>0.3</v>
      </c>
      <c r="F4790" s="3" t="s">
        <v>208</v>
      </c>
      <c r="G4790" s="317">
        <f>1/7.48</f>
        <v>0.13368983957219249</v>
      </c>
      <c r="H4790" s="498" t="s">
        <v>2014</v>
      </c>
      <c r="I4790" s="976">
        <v>0.56999999999999995</v>
      </c>
      <c r="J4790" s="819">
        <v>1.06</v>
      </c>
      <c r="K4790" s="318">
        <f t="shared" ref="K4790:K4798" si="83">+E4790*G4790*J4790*I4790</f>
        <v>2.4232620320855613E-2</v>
      </c>
      <c r="L4790" s="676" t="s">
        <v>5</v>
      </c>
    </row>
    <row r="4791" spans="1:12" ht="30" customHeight="1" x14ac:dyDescent="0.35">
      <c r="A4791" s="241" t="s">
        <v>1838</v>
      </c>
      <c r="B4791" s="1031" t="s">
        <v>2015</v>
      </c>
      <c r="C4791" s="1032"/>
      <c r="D4791" s="1033"/>
      <c r="E4791" s="607">
        <v>104000</v>
      </c>
      <c r="F4791" s="3" t="s">
        <v>10</v>
      </c>
      <c r="G4791" s="317">
        <f>1/20000</f>
        <v>5.0000000000000002E-5</v>
      </c>
      <c r="H4791" s="498" t="s">
        <v>1192</v>
      </c>
      <c r="I4791" s="976">
        <v>1E-3</v>
      </c>
      <c r="J4791" s="819">
        <v>1.02</v>
      </c>
      <c r="K4791" s="318">
        <f t="shared" si="83"/>
        <v>5.3040000000000006E-3</v>
      </c>
      <c r="L4791" s="676" t="s">
        <v>5</v>
      </c>
    </row>
    <row r="4792" spans="1:12" ht="30" customHeight="1" x14ac:dyDescent="0.35">
      <c r="A4792" s="241" t="s">
        <v>1790</v>
      </c>
      <c r="B4792" s="1031" t="s">
        <v>2016</v>
      </c>
      <c r="C4792" s="1032"/>
      <c r="D4792" s="1033"/>
      <c r="E4792" s="607">
        <v>2.0550000000000002</v>
      </c>
      <c r="F4792" s="3" t="s">
        <v>208</v>
      </c>
      <c r="G4792" s="317">
        <f>1/7.48</f>
        <v>0.13368983957219249</v>
      </c>
      <c r="H4792" s="498" t="s">
        <v>2014</v>
      </c>
      <c r="I4792" s="976">
        <v>8.1000000000000003E-2</v>
      </c>
      <c r="J4792" s="819">
        <v>1.06</v>
      </c>
      <c r="K4792" s="318">
        <f t="shared" si="83"/>
        <v>2.3588542780748664E-2</v>
      </c>
      <c r="L4792" s="676" t="s">
        <v>5</v>
      </c>
    </row>
    <row r="4793" spans="1:12" ht="30" customHeight="1" x14ac:dyDescent="0.35">
      <c r="A4793" s="241" t="s">
        <v>1790</v>
      </c>
      <c r="B4793" s="1031" t="s">
        <v>2018</v>
      </c>
      <c r="C4793" s="1032"/>
      <c r="D4793" s="1033"/>
      <c r="E4793" s="607">
        <v>3.9799999999999995</v>
      </c>
      <c r="F4793" s="3" t="s">
        <v>208</v>
      </c>
      <c r="G4793" s="317">
        <f>1/7.48</f>
        <v>0.13368983957219249</v>
      </c>
      <c r="H4793" s="498" t="s">
        <v>2014</v>
      </c>
      <c r="I4793" s="976">
        <v>8.0000000000000002E-3</v>
      </c>
      <c r="J4793" s="819">
        <v>1.06</v>
      </c>
      <c r="K4793" s="318">
        <f t="shared" si="83"/>
        <v>4.5120855614973259E-3</v>
      </c>
      <c r="L4793" s="676" t="s">
        <v>5</v>
      </c>
    </row>
    <row r="4794" spans="1:12" ht="30" customHeight="1" x14ac:dyDescent="0.35">
      <c r="A4794" s="241" t="s">
        <v>1191</v>
      </c>
      <c r="B4794" s="1031" t="s">
        <v>2017</v>
      </c>
      <c r="C4794" s="1032"/>
      <c r="D4794" s="1033"/>
      <c r="E4794" s="607">
        <v>5050</v>
      </c>
      <c r="F4794" s="3" t="s">
        <v>10</v>
      </c>
      <c r="G4794" s="317">
        <f>1/1500</f>
        <v>6.6666666666666664E-4</v>
      </c>
      <c r="H4794" s="498" t="s">
        <v>1192</v>
      </c>
      <c r="I4794" s="976">
        <v>0</v>
      </c>
      <c r="J4794" s="819">
        <v>1.02</v>
      </c>
      <c r="K4794" s="319">
        <f t="shared" si="83"/>
        <v>0</v>
      </c>
      <c r="L4794" s="676" t="s">
        <v>5</v>
      </c>
    </row>
    <row r="4795" spans="1:12" ht="30" customHeight="1" x14ac:dyDescent="0.35">
      <c r="A4795" s="241" t="s">
        <v>1191</v>
      </c>
      <c r="B4795" s="1031" t="s">
        <v>2019</v>
      </c>
      <c r="C4795" s="1032"/>
      <c r="D4795" s="1033"/>
      <c r="E4795" s="607">
        <v>5650</v>
      </c>
      <c r="F4795" s="3" t="s">
        <v>10</v>
      </c>
      <c r="G4795" s="317">
        <f>1/2500</f>
        <v>4.0000000000000002E-4</v>
      </c>
      <c r="H4795" s="498" t="s">
        <v>1192</v>
      </c>
      <c r="I4795" s="976">
        <v>7.0000000000000001E-3</v>
      </c>
      <c r="J4795" s="665">
        <v>1.02</v>
      </c>
      <c r="K4795" s="318">
        <f t="shared" si="83"/>
        <v>1.6136400000000002E-2</v>
      </c>
      <c r="L4795" s="676" t="s">
        <v>5</v>
      </c>
    </row>
    <row r="4796" spans="1:12" ht="30" customHeight="1" x14ac:dyDescent="0.35">
      <c r="A4796" s="241" t="s">
        <v>1790</v>
      </c>
      <c r="B4796" s="1082" t="s">
        <v>2020</v>
      </c>
      <c r="C4796" s="1083"/>
      <c r="D4796" s="1093"/>
      <c r="E4796" s="607">
        <v>3.33</v>
      </c>
      <c r="F4796" s="3" t="s">
        <v>208</v>
      </c>
      <c r="G4796" s="317">
        <f>1/7.48</f>
        <v>0.13368983957219249</v>
      </c>
      <c r="H4796" s="498" t="s">
        <v>2014</v>
      </c>
      <c r="I4796" s="976">
        <v>1E-3</v>
      </c>
      <c r="J4796" s="665">
        <v>1.06</v>
      </c>
      <c r="K4796" s="318">
        <f t="shared" si="83"/>
        <v>4.7189839572192512E-4</v>
      </c>
      <c r="L4796" s="676" t="s">
        <v>5</v>
      </c>
    </row>
    <row r="4797" spans="1:12" ht="30" customHeight="1" x14ac:dyDescent="0.35">
      <c r="A4797" s="241" t="s">
        <v>1838</v>
      </c>
      <c r="B4797" s="1082" t="s">
        <v>2200</v>
      </c>
      <c r="C4797" s="1083"/>
      <c r="D4797" s="1093"/>
      <c r="E4797" s="607">
        <v>1</v>
      </c>
      <c r="F4797" s="3" t="s">
        <v>5</v>
      </c>
      <c r="G4797" s="317">
        <v>1</v>
      </c>
      <c r="H4797" s="498"/>
      <c r="I4797" s="976">
        <v>1E-3</v>
      </c>
      <c r="J4797" s="665">
        <v>1.02</v>
      </c>
      <c r="K4797" s="318">
        <f t="shared" si="83"/>
        <v>1.0200000000000001E-3</v>
      </c>
      <c r="L4797" s="676" t="s">
        <v>5</v>
      </c>
    </row>
    <row r="4798" spans="1:12" ht="30" customHeight="1" x14ac:dyDescent="0.35">
      <c r="A4798" s="241" t="s">
        <v>1191</v>
      </c>
      <c r="B4798" s="1031" t="s">
        <v>2021</v>
      </c>
      <c r="C4798" s="1032"/>
      <c r="D4798" s="1033"/>
      <c r="E4798" s="607">
        <v>47100</v>
      </c>
      <c r="F4798" s="3" t="s">
        <v>10</v>
      </c>
      <c r="G4798" s="977">
        <f>1/30000</f>
        <v>3.3333333333333335E-5</v>
      </c>
      <c r="H4798" s="498" t="s">
        <v>1192</v>
      </c>
      <c r="I4798" s="976">
        <v>0.33100000000000002</v>
      </c>
      <c r="J4798" s="665">
        <v>1.02</v>
      </c>
      <c r="K4798" s="320">
        <f t="shared" si="83"/>
        <v>0.53006340000000007</v>
      </c>
      <c r="L4798" s="676" t="s">
        <v>5</v>
      </c>
    </row>
    <row r="4799" spans="1:12" ht="30" customHeight="1" x14ac:dyDescent="0.35">
      <c r="A4799" s="241"/>
      <c r="B4799" s="516"/>
      <c r="C4799" s="570"/>
      <c r="D4799" s="571"/>
      <c r="E4799" s="978"/>
      <c r="F4799" s="185"/>
      <c r="G4799" s="639"/>
      <c r="H4799" s="659"/>
      <c r="I4799" s="979"/>
      <c r="J4799" s="436" t="s">
        <v>335</v>
      </c>
      <c r="K4799" s="321">
        <f>SUM(K4790:K4798)</f>
        <v>0.60532894705882356</v>
      </c>
      <c r="L4799" s="955" t="s">
        <v>5</v>
      </c>
    </row>
    <row r="4800" spans="1:12" ht="30" customHeight="1" x14ac:dyDescent="0.35">
      <c r="A4800" s="241"/>
      <c r="B4800" s="1175" t="s">
        <v>2499</v>
      </c>
      <c r="C4800" s="1176"/>
      <c r="D4800" s="1177"/>
      <c r="E4800" s="453"/>
      <c r="F4800" s="1029" t="s">
        <v>302</v>
      </c>
      <c r="G4800" s="1058" t="s">
        <v>303</v>
      </c>
      <c r="H4800" s="1058"/>
      <c r="I4800" s="1058"/>
      <c r="J4800" s="1058"/>
      <c r="K4800" s="612">
        <v>1.07</v>
      </c>
      <c r="L4800" s="243"/>
    </row>
    <row r="4801" spans="1:12" ht="30" customHeight="1" x14ac:dyDescent="0.35">
      <c r="A4801" s="241"/>
      <c r="B4801" s="1156"/>
      <c r="C4801" s="1157"/>
      <c r="D4801" s="1158"/>
      <c r="E4801" s="453"/>
      <c r="F4801" s="1030"/>
      <c r="G4801" s="1073" t="s">
        <v>2374</v>
      </c>
      <c r="H4801" s="1073"/>
      <c r="I4801" s="1073"/>
      <c r="J4801" s="1073"/>
      <c r="K4801" s="612">
        <v>1.08</v>
      </c>
      <c r="L4801" s="243"/>
    </row>
    <row r="4802" spans="1:12" ht="31.5" customHeight="1" x14ac:dyDescent="0.35">
      <c r="A4802" s="241"/>
      <c r="B4802" s="1159"/>
      <c r="C4802" s="1160"/>
      <c r="D4802" s="1161"/>
      <c r="E4802" s="978"/>
      <c r="F4802" s="185"/>
      <c r="G4802" s="639"/>
      <c r="H4802" s="659"/>
      <c r="I4802" s="446"/>
      <c r="J4802" s="548" t="s">
        <v>2356</v>
      </c>
      <c r="K4802" s="40">
        <f>+K4799*K4800/K4801</f>
        <v>0.59972404940087143</v>
      </c>
      <c r="L4802" s="676" t="s">
        <v>5</v>
      </c>
    </row>
    <row r="4803" spans="1:12" ht="30" customHeight="1" x14ac:dyDescent="0.35">
      <c r="A4803" s="603"/>
      <c r="B4803" s="446"/>
      <c r="C4803" s="458"/>
      <c r="D4803" s="458"/>
      <c r="E4803" s="458"/>
      <c r="F4803" s="458"/>
      <c r="G4803" s="613" t="s">
        <v>2359</v>
      </c>
      <c r="H4803" s="458"/>
      <c r="I4803" s="458"/>
      <c r="J4803" s="583">
        <f>VLOOKUP(B4788,'Mil Cost Premiums for PUCs'!$A$4:$R$272,18,FALSE)</f>
        <v>1.0209999999999999</v>
      </c>
      <c r="K4803" s="453">
        <f>+K4802*J4803</f>
        <v>0.61231825443828969</v>
      </c>
      <c r="L4803" s="676" t="s">
        <v>5</v>
      </c>
    </row>
    <row r="4804" spans="1:12" ht="60" customHeight="1" x14ac:dyDescent="0.35">
      <c r="A4804" s="1064" t="s">
        <v>305</v>
      </c>
      <c r="B4804" s="1065"/>
      <c r="C4804" s="1065"/>
      <c r="D4804" s="1065"/>
      <c r="E4804" s="1065"/>
      <c r="F4804" s="1065"/>
      <c r="G4804" s="1065"/>
      <c r="H4804" s="1065"/>
      <c r="I4804" s="1065"/>
      <c r="J4804" s="1065"/>
      <c r="K4804" s="1065"/>
      <c r="L4804" s="1066"/>
    </row>
    <row r="4805" spans="1:12" ht="75" customHeight="1" x14ac:dyDescent="0.35">
      <c r="A4805" s="1077" t="s">
        <v>306</v>
      </c>
      <c r="B4805" s="1042"/>
      <c r="C4805" s="1043"/>
      <c r="D4805" s="1067" t="s">
        <v>2022</v>
      </c>
      <c r="E4805" s="1065"/>
      <c r="F4805" s="1065"/>
      <c r="G4805" s="1065"/>
      <c r="H4805" s="1065"/>
      <c r="I4805" s="1065"/>
      <c r="J4805" s="1065"/>
      <c r="K4805" s="1065"/>
      <c r="L4805" s="1066"/>
    </row>
    <row r="4806" spans="1:12" ht="30" customHeight="1" x14ac:dyDescent="0.35">
      <c r="A4806" s="1077" t="s">
        <v>307</v>
      </c>
      <c r="B4806" s="1042"/>
      <c r="C4806" s="1043"/>
      <c r="D4806" s="1067" t="s">
        <v>2023</v>
      </c>
      <c r="E4806" s="1065"/>
      <c r="F4806" s="1065"/>
      <c r="G4806" s="1065"/>
      <c r="H4806" s="1065"/>
      <c r="I4806" s="1065"/>
      <c r="J4806" s="1065"/>
      <c r="K4806" s="1065"/>
      <c r="L4806" s="1066"/>
    </row>
    <row r="4807" spans="1:12" ht="30" customHeight="1" x14ac:dyDescent="0.35">
      <c r="A4807" s="1077" t="s">
        <v>308</v>
      </c>
      <c r="B4807" s="1042"/>
      <c r="C4807" s="1043"/>
      <c r="D4807" s="1067" t="s">
        <v>3175</v>
      </c>
      <c r="E4807" s="1065"/>
      <c r="F4807" s="1065"/>
      <c r="G4807" s="1065"/>
      <c r="H4807" s="1065"/>
      <c r="I4807" s="1065"/>
      <c r="J4807" s="1065"/>
      <c r="K4807" s="1065"/>
      <c r="L4807" s="1066"/>
    </row>
    <row r="4808" spans="1:12" ht="30" customHeight="1" x14ac:dyDescent="0.35">
      <c r="A4808" s="1077" t="s">
        <v>309</v>
      </c>
      <c r="B4808" s="1042"/>
      <c r="C4808" s="1043"/>
      <c r="D4808" s="1067" t="s">
        <v>2024</v>
      </c>
      <c r="E4808" s="1065"/>
      <c r="F4808" s="1065"/>
      <c r="G4808" s="1065"/>
      <c r="H4808" s="1065"/>
      <c r="I4808" s="1065"/>
      <c r="J4808" s="1065"/>
      <c r="K4808" s="1065"/>
      <c r="L4808" s="1066"/>
    </row>
    <row r="4809" spans="1:12" ht="30" customHeight="1" x14ac:dyDescent="0.35">
      <c r="A4809" s="1077" t="s">
        <v>311</v>
      </c>
      <c r="B4809" s="1042"/>
      <c r="C4809" s="1043"/>
      <c r="D4809" s="1067" t="s">
        <v>2326</v>
      </c>
      <c r="E4809" s="1065"/>
      <c r="F4809" s="1065"/>
      <c r="G4809" s="1065"/>
      <c r="H4809" s="1065"/>
      <c r="I4809" s="1065"/>
      <c r="J4809" s="1065"/>
      <c r="K4809" s="1065"/>
      <c r="L4809" s="1066"/>
    </row>
    <row r="4810" spans="1:12" ht="30" customHeight="1" x14ac:dyDescent="0.35">
      <c r="A4810" s="1077" t="s">
        <v>313</v>
      </c>
      <c r="B4810" s="1042"/>
      <c r="C4810" s="1043"/>
      <c r="D4810" s="1067" t="s">
        <v>1682</v>
      </c>
      <c r="E4810" s="1065"/>
      <c r="F4810" s="1065"/>
      <c r="G4810" s="1065"/>
      <c r="H4810" s="1065"/>
      <c r="I4810" s="1065"/>
      <c r="J4810" s="1065"/>
      <c r="K4810" s="1065"/>
      <c r="L4810" s="1066"/>
    </row>
    <row r="4811" spans="1:12" ht="30" customHeight="1" x14ac:dyDescent="0.35">
      <c r="A4811" s="1077" t="s">
        <v>315</v>
      </c>
      <c r="B4811" s="1042"/>
      <c r="C4811" s="1043"/>
      <c r="D4811" s="1067" t="s">
        <v>2025</v>
      </c>
      <c r="E4811" s="1065"/>
      <c r="F4811" s="1065"/>
      <c r="G4811" s="1065"/>
      <c r="H4811" s="1065"/>
      <c r="I4811" s="1065"/>
      <c r="J4811" s="1065"/>
      <c r="K4811" s="1065"/>
      <c r="L4811" s="1066"/>
    </row>
    <row r="4812" spans="1:12" ht="30" customHeight="1" x14ac:dyDescent="0.35">
      <c r="A4812" s="1077" t="s">
        <v>316</v>
      </c>
      <c r="B4812" s="1042"/>
      <c r="C4812" s="1043"/>
      <c r="D4812" s="479" t="s">
        <v>2026</v>
      </c>
      <c r="E4812" s="980"/>
      <c r="F4812" s="980"/>
      <c r="G4812" s="980"/>
      <c r="H4812" s="980"/>
      <c r="I4812" s="980"/>
      <c r="J4812" s="980"/>
      <c r="K4812" s="980"/>
      <c r="L4812" s="981"/>
    </row>
    <row r="4813" spans="1:12" ht="30" customHeight="1" thickBot="1" x14ac:dyDescent="0.4">
      <c r="A4813" s="1078" t="s">
        <v>318</v>
      </c>
      <c r="B4813" s="1079"/>
      <c r="C4813" s="1080"/>
      <c r="D4813" s="1068" t="s">
        <v>2304</v>
      </c>
      <c r="E4813" s="1069"/>
      <c r="F4813" s="1069"/>
      <c r="G4813" s="1069"/>
      <c r="H4813" s="1069"/>
      <c r="I4813" s="1069"/>
      <c r="J4813" s="1069"/>
      <c r="K4813" s="1069"/>
      <c r="L4813" s="1070"/>
    </row>
    <row r="4814" spans="1:12" ht="30" customHeight="1" thickBot="1" x14ac:dyDescent="0.4">
      <c r="A4814" s="489"/>
      <c r="B4814" s="490"/>
      <c r="C4814" s="490"/>
      <c r="D4814" s="490"/>
      <c r="E4814" s="490"/>
      <c r="F4814" s="490"/>
      <c r="G4814" s="490"/>
      <c r="H4814" s="490"/>
      <c r="I4814" s="490"/>
      <c r="J4814" s="490"/>
      <c r="K4814" s="490"/>
      <c r="L4814" s="491"/>
    </row>
    <row r="4819" ht="120" customHeight="1" x14ac:dyDescent="0.35"/>
    <row r="4821" ht="60" customHeight="1" x14ac:dyDescent="0.35"/>
    <row r="4822" ht="75" customHeight="1" x14ac:dyDescent="0.35"/>
    <row r="4830" ht="135" customHeight="1" x14ac:dyDescent="0.35"/>
  </sheetData>
  <autoFilter ref="A605:L614" xr:uid="{C62CF93E-9A46-49DA-8ECD-68C7216D2BF2}">
    <filterColumn colId="2" showButton="0"/>
    <filterColumn colId="9" showButton="0"/>
    <filterColumn colId="10" showButton="0"/>
  </autoFilter>
  <mergeCells count="6619">
    <mergeCell ref="D4813:L4813"/>
    <mergeCell ref="D4811:L4811"/>
    <mergeCell ref="D4810:L4810"/>
    <mergeCell ref="D4809:L4809"/>
    <mergeCell ref="D4808:L4808"/>
    <mergeCell ref="G612:J612"/>
    <mergeCell ref="G611:J611"/>
    <mergeCell ref="F611:F612"/>
    <mergeCell ref="B4541:F4541"/>
    <mergeCell ref="A4804:L4804"/>
    <mergeCell ref="A4805:C4805"/>
    <mergeCell ref="A4806:C4806"/>
    <mergeCell ref="A4807:C4807"/>
    <mergeCell ref="A4808:C4808"/>
    <mergeCell ref="A4809:C4809"/>
    <mergeCell ref="A4810:C4810"/>
    <mergeCell ref="A4811:C4811"/>
    <mergeCell ref="A4812:C4812"/>
    <mergeCell ref="A4813:C4813"/>
    <mergeCell ref="D4805:L4805"/>
    <mergeCell ref="D4806:L4806"/>
    <mergeCell ref="D4807:L4807"/>
    <mergeCell ref="A4617:L4617"/>
    <mergeCell ref="C4618:D4618"/>
    <mergeCell ref="J4618:L4618"/>
    <mergeCell ref="B4619:D4619"/>
    <mergeCell ref="G4619:H4619"/>
    <mergeCell ref="K4619:L4619"/>
    <mergeCell ref="B4620:D4620"/>
    <mergeCell ref="G4620:H4620"/>
    <mergeCell ref="A4777:L4777"/>
    <mergeCell ref="A4778:C4778"/>
    <mergeCell ref="D4721:L4721"/>
    <mergeCell ref="D4722:L4722"/>
    <mergeCell ref="D4723:L4723"/>
    <mergeCell ref="D4724:L4724"/>
    <mergeCell ref="D4725:L4725"/>
    <mergeCell ref="D4726:L4726"/>
    <mergeCell ref="D4727:L4727"/>
    <mergeCell ref="A4779:C4779"/>
    <mergeCell ref="A4780:C4780"/>
    <mergeCell ref="A4781:C4781"/>
    <mergeCell ref="A4782:C4782"/>
    <mergeCell ref="A4783:C4783"/>
    <mergeCell ref="A4784:C4784"/>
    <mergeCell ref="A4785:C4785"/>
    <mergeCell ref="A4786:C4786"/>
    <mergeCell ref="D4778:L4778"/>
    <mergeCell ref="D4779:L4779"/>
    <mergeCell ref="D4780:L4780"/>
    <mergeCell ref="D4781:L4781"/>
    <mergeCell ref="D4782:L4782"/>
    <mergeCell ref="D4783:L4783"/>
    <mergeCell ref="D4784:L4784"/>
    <mergeCell ref="D4785:L4785"/>
    <mergeCell ref="D4786:L4786"/>
    <mergeCell ref="B4639:D4639"/>
    <mergeCell ref="K4758:L4758"/>
    <mergeCell ref="J4767:L4767"/>
    <mergeCell ref="K4768:L4768"/>
    <mergeCell ref="F4762:F4763"/>
    <mergeCell ref="G4762:J4762"/>
    <mergeCell ref="G4763:J4763"/>
    <mergeCell ref="C4767:D4767"/>
    <mergeCell ref="A4653:C4653"/>
    <mergeCell ref="A4654:C4654"/>
    <mergeCell ref="A4655:C4655"/>
    <mergeCell ref="A4656:C4656"/>
    <mergeCell ref="A4657:C4657"/>
    <mergeCell ref="A4658:C4658"/>
    <mergeCell ref="D4650:L4650"/>
    <mergeCell ref="D4651:L4651"/>
    <mergeCell ref="D4652:L4652"/>
    <mergeCell ref="D4653:L4653"/>
    <mergeCell ref="D4654:L4654"/>
    <mergeCell ref="D4655:L4655"/>
    <mergeCell ref="D4656:L4656"/>
    <mergeCell ref="D4658:L4658"/>
    <mergeCell ref="D4657:L4657"/>
    <mergeCell ref="A4718:L4718"/>
    <mergeCell ref="A4719:C4719"/>
    <mergeCell ref="B4681:D4681"/>
    <mergeCell ref="C4660:D4660"/>
    <mergeCell ref="B4661:D4661"/>
    <mergeCell ref="B4711:D4711"/>
    <mergeCell ref="B4712:D4712"/>
    <mergeCell ref="B4713:D4713"/>
    <mergeCell ref="F4714:F4715"/>
    <mergeCell ref="D4421:L4421"/>
    <mergeCell ref="B4689:D4689"/>
    <mergeCell ref="G4689:H4689"/>
    <mergeCell ref="B4690:D4690"/>
    <mergeCell ref="G4661:H4661"/>
    <mergeCell ref="B4674:D4674"/>
    <mergeCell ref="F4675:F4676"/>
    <mergeCell ref="G4675:J4675"/>
    <mergeCell ref="A4590:C4590"/>
    <mergeCell ref="A4591:C4591"/>
    <mergeCell ref="D4583:L4583"/>
    <mergeCell ref="D4584:L4584"/>
    <mergeCell ref="D4585:L4585"/>
    <mergeCell ref="D4586:L4586"/>
    <mergeCell ref="D4588:L4588"/>
    <mergeCell ref="D4587:L4587"/>
    <mergeCell ref="D4589:L4589"/>
    <mergeCell ref="D4590:L4590"/>
    <mergeCell ref="D4591:L4591"/>
    <mergeCell ref="A4613:L4613"/>
    <mergeCell ref="A4625:L4625"/>
    <mergeCell ref="A4649:L4649"/>
    <mergeCell ref="A4650:C4650"/>
    <mergeCell ref="A4651:C4651"/>
    <mergeCell ref="A4652:C4652"/>
    <mergeCell ref="B4641:D4641"/>
    <mergeCell ref="B4642:D4642"/>
    <mergeCell ref="B4643:D4643"/>
    <mergeCell ref="F4645:F4646"/>
    <mergeCell ref="G4645:J4645"/>
    <mergeCell ref="G4646:J4646"/>
    <mergeCell ref="C4638:D4638"/>
    <mergeCell ref="A4398:L4398"/>
    <mergeCell ref="A4399:C4399"/>
    <mergeCell ref="A4400:C4400"/>
    <mergeCell ref="G4639:H4639"/>
    <mergeCell ref="B4595:D4595"/>
    <mergeCell ref="G4595:H4595"/>
    <mergeCell ref="B4598:D4598"/>
    <mergeCell ref="G4598:H4598"/>
    <mergeCell ref="B4628:D4628"/>
    <mergeCell ref="G4628:H4628"/>
    <mergeCell ref="A4585:C4585"/>
    <mergeCell ref="A4586:C4586"/>
    <mergeCell ref="A4587:C4587"/>
    <mergeCell ref="A4588:C4588"/>
    <mergeCell ref="A4589:C4589"/>
    <mergeCell ref="B4239:D4239"/>
    <mergeCell ref="G4239:H4239"/>
    <mergeCell ref="K4239:L4239"/>
    <mergeCell ref="A4562:C4562"/>
    <mergeCell ref="A4563:C4563"/>
    <mergeCell ref="A4564:C4564"/>
    <mergeCell ref="A4565:C4565"/>
    <mergeCell ref="A4566:C4566"/>
    <mergeCell ref="D4558:L4558"/>
    <mergeCell ref="D4559:L4559"/>
    <mergeCell ref="D4560:L4560"/>
    <mergeCell ref="D4561:L4561"/>
    <mergeCell ref="D4562:L4562"/>
    <mergeCell ref="D4563:L4563"/>
    <mergeCell ref="D4564:L4564"/>
    <mergeCell ref="A4426:C4426"/>
    <mergeCell ref="A4427:C4427"/>
    <mergeCell ref="D4029:L4029"/>
    <mergeCell ref="D4030:L4030"/>
    <mergeCell ref="D4031:L4031"/>
    <mergeCell ref="D4032:L4032"/>
    <mergeCell ref="D4033:L4033"/>
    <mergeCell ref="D4034:L4034"/>
    <mergeCell ref="D4035:L4035"/>
    <mergeCell ref="D4036:L4036"/>
    <mergeCell ref="D4037:L4037"/>
    <mergeCell ref="D4098:L4098"/>
    <mergeCell ref="D4099:L4099"/>
    <mergeCell ref="D4100:L4100"/>
    <mergeCell ref="D4101:L4101"/>
    <mergeCell ref="D4102:L4102"/>
    <mergeCell ref="D4103:L4103"/>
    <mergeCell ref="D4104:L4104"/>
    <mergeCell ref="D4105:L4105"/>
    <mergeCell ref="D4423:L4423"/>
    <mergeCell ref="D4424:L4424"/>
    <mergeCell ref="D4425:L4425"/>
    <mergeCell ref="D4426:L4426"/>
    <mergeCell ref="D4427:L4427"/>
    <mergeCell ref="D4428:L4428"/>
    <mergeCell ref="A4401:C4401"/>
    <mergeCell ref="A4402:C4402"/>
    <mergeCell ref="A4403:C4403"/>
    <mergeCell ref="A4404:C4404"/>
    <mergeCell ref="A4405:C4405"/>
    <mergeCell ref="A4406:C4406"/>
    <mergeCell ref="A4407:C4407"/>
    <mergeCell ref="D4399:L4399"/>
    <mergeCell ref="D4400:L4400"/>
    <mergeCell ref="D4401:L4401"/>
    <mergeCell ref="D4403:L4403"/>
    <mergeCell ref="D4404:L4404"/>
    <mergeCell ref="D4402:L4402"/>
    <mergeCell ref="D4405:L4405"/>
    <mergeCell ref="D4406:L4406"/>
    <mergeCell ref="D4407:L4407"/>
    <mergeCell ref="A4419:L4419"/>
    <mergeCell ref="A4421:C4421"/>
    <mergeCell ref="A4420:C4420"/>
    <mergeCell ref="A4422:C4422"/>
    <mergeCell ref="A4423:C4423"/>
    <mergeCell ref="A4424:C4424"/>
    <mergeCell ref="A4425:C4425"/>
    <mergeCell ref="D4422:L4422"/>
    <mergeCell ref="A4428:C4428"/>
    <mergeCell ref="D4420:L4420"/>
    <mergeCell ref="A4380:L4380"/>
    <mergeCell ref="A4381:C4381"/>
    <mergeCell ref="A4382:C4382"/>
    <mergeCell ref="A4383:C4383"/>
    <mergeCell ref="A4384:C4384"/>
    <mergeCell ref="A4385:C4385"/>
    <mergeCell ref="A4386:C4386"/>
    <mergeCell ref="A4387:C4387"/>
    <mergeCell ref="A4388:C4388"/>
    <mergeCell ref="A4389:C4389"/>
    <mergeCell ref="D4381:L4381"/>
    <mergeCell ref="D4382:L4382"/>
    <mergeCell ref="D4383:L4383"/>
    <mergeCell ref="D4384:L4384"/>
    <mergeCell ref="D4385:L4385"/>
    <mergeCell ref="D4386:L4386"/>
    <mergeCell ref="D4387:L4387"/>
    <mergeCell ref="D4388:L4388"/>
    <mergeCell ref="D4389:L4389"/>
    <mergeCell ref="A4364:C4364"/>
    <mergeCell ref="A4365:C4365"/>
    <mergeCell ref="A4366:C4366"/>
    <mergeCell ref="A4367:C4367"/>
    <mergeCell ref="A4368:C4368"/>
    <mergeCell ref="G4342:H4342"/>
    <mergeCell ref="A4369:C4369"/>
    <mergeCell ref="A4370:C4370"/>
    <mergeCell ref="A4371:C4371"/>
    <mergeCell ref="D4363:L4363"/>
    <mergeCell ref="D4364:L4364"/>
    <mergeCell ref="D4365:L4365"/>
    <mergeCell ref="D4366:L4366"/>
    <mergeCell ref="D4367:L4367"/>
    <mergeCell ref="D4368:L4368"/>
    <mergeCell ref="D4369:L4369"/>
    <mergeCell ref="D4370:L4370"/>
    <mergeCell ref="D4371:L4371"/>
    <mergeCell ref="A4301:C4301"/>
    <mergeCell ref="A4302:C4302"/>
    <mergeCell ref="A4303:C4303"/>
    <mergeCell ref="A4304:C4304"/>
    <mergeCell ref="A4305:C4305"/>
    <mergeCell ref="A4306:C4306"/>
    <mergeCell ref="A4307:C4307"/>
    <mergeCell ref="A4308:C4308"/>
    <mergeCell ref="D4300:L4300"/>
    <mergeCell ref="D4301:L4301"/>
    <mergeCell ref="D4302:L4302"/>
    <mergeCell ref="D4303:L4303"/>
    <mergeCell ref="D4304:L4304"/>
    <mergeCell ref="D4305:L4305"/>
    <mergeCell ref="D4306:L4306"/>
    <mergeCell ref="D4307:L4307"/>
    <mergeCell ref="D4308:L4308"/>
    <mergeCell ref="J4230:L4230"/>
    <mergeCell ref="B4231:D4231"/>
    <mergeCell ref="G4231:H4231"/>
    <mergeCell ref="K4231:L4231"/>
    <mergeCell ref="C4257:D4257"/>
    <mergeCell ref="J4257:L4257"/>
    <mergeCell ref="B4258:D4258"/>
    <mergeCell ref="G4258:H4258"/>
    <mergeCell ref="K4258:L4258"/>
    <mergeCell ref="B4259:D4259"/>
    <mergeCell ref="G4259:H4259"/>
    <mergeCell ref="A4283:D4283"/>
    <mergeCell ref="A4299:L4299"/>
    <mergeCell ref="A4300:C4300"/>
    <mergeCell ref="B4294:D4294"/>
    <mergeCell ref="B4289:D4289"/>
    <mergeCell ref="I4289:J4289"/>
    <mergeCell ref="F4295:F4296"/>
    <mergeCell ref="G4295:J4295"/>
    <mergeCell ref="G4296:J4296"/>
    <mergeCell ref="B4290:D4290"/>
    <mergeCell ref="C4292:D4292"/>
    <mergeCell ref="B4293:D4293"/>
    <mergeCell ref="G4293:H4293"/>
    <mergeCell ref="B4272:D4272"/>
    <mergeCell ref="I4272:J4272"/>
    <mergeCell ref="B4274:D4274"/>
    <mergeCell ref="B4275:D4275"/>
    <mergeCell ref="I4275:J4275"/>
    <mergeCell ref="D3254:L3254"/>
    <mergeCell ref="G3259:H3259"/>
    <mergeCell ref="I3259:J3259"/>
    <mergeCell ref="C3257:D3257"/>
    <mergeCell ref="C3267:D3267"/>
    <mergeCell ref="B3268:D3268"/>
    <mergeCell ref="G3268:H3268"/>
    <mergeCell ref="I3268:J3268"/>
    <mergeCell ref="B3264:D3264"/>
    <mergeCell ref="I3264:J3264"/>
    <mergeCell ref="B3265:D3265"/>
    <mergeCell ref="B3260:D3260"/>
    <mergeCell ref="D4097:L4097"/>
    <mergeCell ref="C4253:D4253"/>
    <mergeCell ref="J4253:L4253"/>
    <mergeCell ref="B4254:D4254"/>
    <mergeCell ref="G4254:H4254"/>
    <mergeCell ref="K4254:L4254"/>
    <mergeCell ref="C4177:D4177"/>
    <mergeCell ref="J4177:L4177"/>
    <mergeCell ref="C4178:E4178"/>
    <mergeCell ref="I4178:J4178"/>
    <mergeCell ref="C4179:D4179"/>
    <mergeCell ref="I4179:J4179"/>
    <mergeCell ref="A4191:L4191"/>
    <mergeCell ref="A4192:C4192"/>
    <mergeCell ref="A4193:C4193"/>
    <mergeCell ref="A4194:C4194"/>
    <mergeCell ref="A4195:C4195"/>
    <mergeCell ref="A4196:C4196"/>
    <mergeCell ref="A4197:C4197"/>
    <mergeCell ref="A4198:C4198"/>
    <mergeCell ref="G3460:J3460"/>
    <mergeCell ref="G3461:J3461"/>
    <mergeCell ref="C3455:D3455"/>
    <mergeCell ref="B3456:D3456"/>
    <mergeCell ref="G3456:H3456"/>
    <mergeCell ref="B3457:D3457"/>
    <mergeCell ref="B3447:D3447"/>
    <mergeCell ref="B3448:D3448"/>
    <mergeCell ref="F3450:F3451"/>
    <mergeCell ref="G3450:J3450"/>
    <mergeCell ref="G3451:J3451"/>
    <mergeCell ref="C3445:D3445"/>
    <mergeCell ref="B3309:D3309"/>
    <mergeCell ref="G3309:H3309"/>
    <mergeCell ref="B3112:D3112"/>
    <mergeCell ref="G3112:H3112"/>
    <mergeCell ref="B3082:D3082"/>
    <mergeCell ref="A3091:C3091"/>
    <mergeCell ref="A3092:C3092"/>
    <mergeCell ref="D3091:L3091"/>
    <mergeCell ref="A3093:C3093"/>
    <mergeCell ref="D3092:L3092"/>
    <mergeCell ref="A3094:C3094"/>
    <mergeCell ref="D3093:L3093"/>
    <mergeCell ref="B3103:D3103"/>
    <mergeCell ref="B3104:D3104"/>
    <mergeCell ref="B3105:D3105"/>
    <mergeCell ref="F3106:F3107"/>
    <mergeCell ref="A3310:L3310"/>
    <mergeCell ref="K3237:L3237"/>
    <mergeCell ref="D3255:L3255"/>
    <mergeCell ref="A3255:C3255"/>
    <mergeCell ref="A3281:L3281"/>
    <mergeCell ref="D3282:L3282"/>
    <mergeCell ref="D3283:L3283"/>
    <mergeCell ref="D3284:L3284"/>
    <mergeCell ref="D3285:L3285"/>
    <mergeCell ref="D3286:L3286"/>
    <mergeCell ref="D3287:L3287"/>
    <mergeCell ref="D3288:L3288"/>
    <mergeCell ref="D3289:L3289"/>
    <mergeCell ref="D3290:L3290"/>
    <mergeCell ref="C3307:D3307"/>
    <mergeCell ref="J3307:L3307"/>
    <mergeCell ref="B3308:D3308"/>
    <mergeCell ref="G3308:H3308"/>
    <mergeCell ref="K3308:L3308"/>
    <mergeCell ref="J3292:L3292"/>
    <mergeCell ref="B3459:D3459"/>
    <mergeCell ref="B3446:D3446"/>
    <mergeCell ref="G3446:H3446"/>
    <mergeCell ref="B3437:D3437"/>
    <mergeCell ref="B3438:D3438"/>
    <mergeCell ref="F3440:F3441"/>
    <mergeCell ref="G3440:J3440"/>
    <mergeCell ref="G3441:J3441"/>
    <mergeCell ref="B3458:D3458"/>
    <mergeCell ref="B3436:D3436"/>
    <mergeCell ref="G3436:H3436"/>
    <mergeCell ref="B3426:D3426"/>
    <mergeCell ref="G3426:H3426"/>
    <mergeCell ref="B3427:D3427"/>
    <mergeCell ref="B3428:D3428"/>
    <mergeCell ref="F3430:F3431"/>
    <mergeCell ref="C3067:D3067"/>
    <mergeCell ref="J3067:L3067"/>
    <mergeCell ref="B2735:D2735"/>
    <mergeCell ref="I2735:J2735"/>
    <mergeCell ref="F2930:F2931"/>
    <mergeCell ref="G2930:J2930"/>
    <mergeCell ref="G2931:J2931"/>
    <mergeCell ref="B2950:D2950"/>
    <mergeCell ref="A2880:L2880"/>
    <mergeCell ref="A2885:L2885"/>
    <mergeCell ref="K2882:L2882"/>
    <mergeCell ref="J2896:L2896"/>
    <mergeCell ref="J2906:L2906"/>
    <mergeCell ref="K2916:L2916"/>
    <mergeCell ref="K2921:L2921"/>
    <mergeCell ref="B2897:D2897"/>
    <mergeCell ref="G2897:H2897"/>
    <mergeCell ref="B2740:D2740"/>
    <mergeCell ref="A2745:L2745"/>
    <mergeCell ref="B2739:D2739"/>
    <mergeCell ref="G2739:H2739"/>
    <mergeCell ref="I2739:J2739"/>
    <mergeCell ref="K2739:L2739"/>
    <mergeCell ref="G2740:H2740"/>
    <mergeCell ref="I2740:J2740"/>
    <mergeCell ref="B2741:D2741"/>
    <mergeCell ref="A2742:L2744"/>
    <mergeCell ref="A3058:C3058"/>
    <mergeCell ref="D3057:L3057"/>
    <mergeCell ref="A3059:C3059"/>
    <mergeCell ref="D3058:L3058"/>
    <mergeCell ref="A3060:C3060"/>
    <mergeCell ref="G2722:J2722"/>
    <mergeCell ref="G2723:J2723"/>
    <mergeCell ref="C2715:D2715"/>
    <mergeCell ref="J2715:L2715"/>
    <mergeCell ref="B2716:D2716"/>
    <mergeCell ref="G2716:H2716"/>
    <mergeCell ref="K2716:L2716"/>
    <mergeCell ref="B2710:D2710"/>
    <mergeCell ref="A2707:L2707"/>
    <mergeCell ref="I2732:J2732"/>
    <mergeCell ref="B2733:D2733"/>
    <mergeCell ref="I2733:J2733"/>
    <mergeCell ref="B2734:D2734"/>
    <mergeCell ref="I2734:J2734"/>
    <mergeCell ref="B2729:D2729"/>
    <mergeCell ref="I2729:J2729"/>
    <mergeCell ref="B2730:D2730"/>
    <mergeCell ref="I2730:J2730"/>
    <mergeCell ref="C2727:D2727"/>
    <mergeCell ref="J2727:L2727"/>
    <mergeCell ref="B2728:D2728"/>
    <mergeCell ref="I2728:J2728"/>
    <mergeCell ref="K2728:L2728"/>
    <mergeCell ref="A2726:L2726"/>
    <mergeCell ref="B2731:D2731"/>
    <mergeCell ref="I2731:J2731"/>
    <mergeCell ref="K2326:L2326"/>
    <mergeCell ref="G2327:H2327"/>
    <mergeCell ref="A2328:L2328"/>
    <mergeCell ref="C2348:D2348"/>
    <mergeCell ref="J2348:L2348"/>
    <mergeCell ref="J4084:L4084"/>
    <mergeCell ref="J4638:L4638"/>
    <mergeCell ref="J3829:L3829"/>
    <mergeCell ref="J3845:L3845"/>
    <mergeCell ref="J3864:L3864"/>
    <mergeCell ref="J3872:L3872"/>
    <mergeCell ref="J3897:L3897"/>
    <mergeCell ref="J3910:L3910"/>
    <mergeCell ref="J3959:L3959"/>
    <mergeCell ref="J3972:L3972"/>
    <mergeCell ref="J3980:L3980"/>
    <mergeCell ref="J3990:L3990"/>
    <mergeCell ref="J4010:L4010"/>
    <mergeCell ref="J4047:L4047"/>
    <mergeCell ref="J4055:L4055"/>
    <mergeCell ref="J4066:L4066"/>
    <mergeCell ref="A2700:D2701"/>
    <mergeCell ref="F2690:H2690"/>
    <mergeCell ref="B2719:D2719"/>
    <mergeCell ref="I2720:J2720"/>
    <mergeCell ref="I2721:J2721"/>
    <mergeCell ref="C2738:D2738"/>
    <mergeCell ref="J2738:L2738"/>
    <mergeCell ref="A2351:L2351"/>
    <mergeCell ref="J4485:L4485"/>
    <mergeCell ref="B2721:D2721"/>
    <mergeCell ref="F2722:F2723"/>
    <mergeCell ref="J4788:L4788"/>
    <mergeCell ref="B2271:D2271"/>
    <mergeCell ref="G2271:H2271"/>
    <mergeCell ref="K2271:L2271"/>
    <mergeCell ref="B2272:D2272"/>
    <mergeCell ref="G2272:H2272"/>
    <mergeCell ref="A2273:L2273"/>
    <mergeCell ref="C2270:D2270"/>
    <mergeCell ref="J2270:L2270"/>
    <mergeCell ref="C2297:D2297"/>
    <mergeCell ref="J2297:L2297"/>
    <mergeCell ref="B2298:D2298"/>
    <mergeCell ref="G2298:H2298"/>
    <mergeCell ref="K2298:L2298"/>
    <mergeCell ref="B2299:D2299"/>
    <mergeCell ref="G2299:H2299"/>
    <mergeCell ref="A2300:L2300"/>
    <mergeCell ref="C2301:D2301"/>
    <mergeCell ref="J2301:L2301"/>
    <mergeCell ref="B2302:D2302"/>
    <mergeCell ref="G2302:H2302"/>
    <mergeCell ref="K2302:L2302"/>
    <mergeCell ref="B2307:D2307"/>
    <mergeCell ref="G2307:H2307"/>
    <mergeCell ref="A2304:L2304"/>
    <mergeCell ref="C2305:D2305"/>
    <mergeCell ref="J2305:L2305"/>
    <mergeCell ref="B2306:D2306"/>
    <mergeCell ref="G2306:H2306"/>
    <mergeCell ref="J3776:L3776"/>
    <mergeCell ref="J3794:L3794"/>
    <mergeCell ref="J3809:L3809"/>
    <mergeCell ref="B1969:D1969"/>
    <mergeCell ref="J2823:L2823"/>
    <mergeCell ref="J3334:L3334"/>
    <mergeCell ref="J3345:L3345"/>
    <mergeCell ref="J3355:L3355"/>
    <mergeCell ref="J3365:L3365"/>
    <mergeCell ref="J3384:L3384"/>
    <mergeCell ref="J3311:L3311"/>
    <mergeCell ref="K3312:L3312"/>
    <mergeCell ref="J3319:L3319"/>
    <mergeCell ref="K3320:L3320"/>
    <mergeCell ref="J3257:L3257"/>
    <mergeCell ref="J3262:L3262"/>
    <mergeCell ref="K3263:L3263"/>
    <mergeCell ref="J3267:L3267"/>
    <mergeCell ref="K3268:L3268"/>
    <mergeCell ref="J3272:L3272"/>
    <mergeCell ref="K3273:L3273"/>
    <mergeCell ref="A3253:C3253"/>
    <mergeCell ref="D3252:L3252"/>
    <mergeCell ref="A3254:C3254"/>
    <mergeCell ref="D3253:L3253"/>
    <mergeCell ref="A3246:L3246"/>
    <mergeCell ref="C3262:D3262"/>
    <mergeCell ref="B3263:D3263"/>
    <mergeCell ref="G3263:H3263"/>
    <mergeCell ref="I3263:J3263"/>
    <mergeCell ref="B3241:D3241"/>
    <mergeCell ref="B3160:D3160"/>
    <mergeCell ref="B3161:D3161"/>
    <mergeCell ref="B3162:D3162"/>
    <mergeCell ref="A2324:L2324"/>
    <mergeCell ref="G1534:H1534"/>
    <mergeCell ref="K1534:L1534"/>
    <mergeCell ref="B1797:D1797"/>
    <mergeCell ref="B1798:D1798"/>
    <mergeCell ref="B1799:D1799"/>
    <mergeCell ref="F1800:F1801"/>
    <mergeCell ref="G1800:J1800"/>
    <mergeCell ref="G1801:J1801"/>
    <mergeCell ref="A1804:L1804"/>
    <mergeCell ref="A1805:C1805"/>
    <mergeCell ref="D1805:L1805"/>
    <mergeCell ref="G1535:H1535"/>
    <mergeCell ref="C1605:D1605"/>
    <mergeCell ref="J1605:L1605"/>
    <mergeCell ref="A1608:L1608"/>
    <mergeCell ref="G1803:I1803"/>
    <mergeCell ref="B1790:D1790"/>
    <mergeCell ref="B1791:D1791"/>
    <mergeCell ref="B1792:D1792"/>
    <mergeCell ref="B1793:D1793"/>
    <mergeCell ref="B1794:D1794"/>
    <mergeCell ref="B1795:D1795"/>
    <mergeCell ref="C1788:D1788"/>
    <mergeCell ref="J1788:L1788"/>
    <mergeCell ref="B1789:D1789"/>
    <mergeCell ref="G1789:H1789"/>
    <mergeCell ref="K1789:L1789"/>
    <mergeCell ref="B1780:D1780"/>
    <mergeCell ref="B1781:D1781"/>
    <mergeCell ref="B1782:D1782"/>
    <mergeCell ref="F1783:F1784"/>
    <mergeCell ref="A1745:L1745"/>
    <mergeCell ref="G451:H451"/>
    <mergeCell ref="B425:D425"/>
    <mergeCell ref="G425:H425"/>
    <mergeCell ref="K425:L425"/>
    <mergeCell ref="C4522:D4522"/>
    <mergeCell ref="J4522:L4522"/>
    <mergeCell ref="B4523:D4523"/>
    <mergeCell ref="G4523:H4523"/>
    <mergeCell ref="J3578:L3578"/>
    <mergeCell ref="J3588:L3588"/>
    <mergeCell ref="J3609:L3609"/>
    <mergeCell ref="J3624:L3624"/>
    <mergeCell ref="J3635:L3635"/>
    <mergeCell ref="J3643:L3643"/>
    <mergeCell ref="J3655:L3655"/>
    <mergeCell ref="J3664:L3664"/>
    <mergeCell ref="J3673:L3673"/>
    <mergeCell ref="J3690:L3690"/>
    <mergeCell ref="J3699:L3699"/>
    <mergeCell ref="J3711:L3711"/>
    <mergeCell ref="J3719:L3719"/>
    <mergeCell ref="J3728:L3728"/>
    <mergeCell ref="J3736:L3736"/>
    <mergeCell ref="A1172:D1173"/>
    <mergeCell ref="A1193:D1194"/>
    <mergeCell ref="B1796:D1796"/>
    <mergeCell ref="J3405:L3405"/>
    <mergeCell ref="J3415:L3415"/>
    <mergeCell ref="J3425:L3425"/>
    <mergeCell ref="J3435:L3435"/>
    <mergeCell ref="J3445:L3445"/>
    <mergeCell ref="B1534:D1534"/>
    <mergeCell ref="G153:H153"/>
    <mergeCell ref="K153:L153"/>
    <mergeCell ref="G154:H154"/>
    <mergeCell ref="B157:D157"/>
    <mergeCell ref="G157:H157"/>
    <mergeCell ref="K157:L157"/>
    <mergeCell ref="B158:D158"/>
    <mergeCell ref="G158:H158"/>
    <mergeCell ref="G161:H161"/>
    <mergeCell ref="K161:L161"/>
    <mergeCell ref="J152:L152"/>
    <mergeCell ref="B154:D154"/>
    <mergeCell ref="B153:D153"/>
    <mergeCell ref="B150:D150"/>
    <mergeCell ref="B149:D149"/>
    <mergeCell ref="C1825:D1825"/>
    <mergeCell ref="J1825:L1825"/>
    <mergeCell ref="B162:D162"/>
    <mergeCell ref="G162:H162"/>
    <mergeCell ref="B165:D165"/>
    <mergeCell ref="G165:H165"/>
    <mergeCell ref="K165:L165"/>
    <mergeCell ref="B166:D166"/>
    <mergeCell ref="G166:H166"/>
    <mergeCell ref="B169:D169"/>
    <mergeCell ref="G169:H169"/>
    <mergeCell ref="K169:L169"/>
    <mergeCell ref="B170:D170"/>
    <mergeCell ref="G170:H170"/>
    <mergeCell ref="C1647:D1647"/>
    <mergeCell ref="J1647:L1647"/>
    <mergeCell ref="B1648:D1648"/>
    <mergeCell ref="G75:H75"/>
    <mergeCell ref="G93:H93"/>
    <mergeCell ref="K93:L93"/>
    <mergeCell ref="G94:H94"/>
    <mergeCell ref="G97:H97"/>
    <mergeCell ref="K97:L97"/>
    <mergeCell ref="B98:D98"/>
    <mergeCell ref="G98:H98"/>
    <mergeCell ref="G101:H101"/>
    <mergeCell ref="K101:L101"/>
    <mergeCell ref="G102:H102"/>
    <mergeCell ref="G105:H105"/>
    <mergeCell ref="K105:L105"/>
    <mergeCell ref="G106:H106"/>
    <mergeCell ref="B145:D145"/>
    <mergeCell ref="G145:H145"/>
    <mergeCell ref="K145:L145"/>
    <mergeCell ref="G109:H109"/>
    <mergeCell ref="K109:L109"/>
    <mergeCell ref="C120:D120"/>
    <mergeCell ref="J120:L120"/>
    <mergeCell ref="A119:L119"/>
    <mergeCell ref="C128:D128"/>
    <mergeCell ref="J128:L128"/>
    <mergeCell ref="B82:D82"/>
    <mergeCell ref="B83:D83"/>
    <mergeCell ref="B84:D84"/>
    <mergeCell ref="B85:D85"/>
    <mergeCell ref="C108:D108"/>
    <mergeCell ref="J108:L108"/>
    <mergeCell ref="B87:D87"/>
    <mergeCell ref="A88:D90"/>
    <mergeCell ref="A151:L151"/>
    <mergeCell ref="C152:D152"/>
    <mergeCell ref="J136:L136"/>
    <mergeCell ref="C136:D136"/>
    <mergeCell ref="A131:L131"/>
    <mergeCell ref="G129:H129"/>
    <mergeCell ref="K129:L129"/>
    <mergeCell ref="G130:H130"/>
    <mergeCell ref="B133:D133"/>
    <mergeCell ref="G133:H133"/>
    <mergeCell ref="K133:L133"/>
    <mergeCell ref="G134:H134"/>
    <mergeCell ref="G137:H137"/>
    <mergeCell ref="K137:L137"/>
    <mergeCell ref="G138:H138"/>
    <mergeCell ref="G141:H141"/>
    <mergeCell ref="K141:L141"/>
    <mergeCell ref="G142:H142"/>
    <mergeCell ref="B146:D146"/>
    <mergeCell ref="G146:H146"/>
    <mergeCell ref="G149:H149"/>
    <mergeCell ref="K149:L149"/>
    <mergeCell ref="G150:H150"/>
    <mergeCell ref="B130:D130"/>
    <mergeCell ref="A139:L139"/>
    <mergeCell ref="A143:L143"/>
    <mergeCell ref="C148:D148"/>
    <mergeCell ref="J148:L148"/>
    <mergeCell ref="C144:D144"/>
    <mergeCell ref="J144:L144"/>
    <mergeCell ref="A147:L147"/>
    <mergeCell ref="G181:H181"/>
    <mergeCell ref="K181:L181"/>
    <mergeCell ref="B182:D182"/>
    <mergeCell ref="G182:H182"/>
    <mergeCell ref="B177:D177"/>
    <mergeCell ref="G177:H177"/>
    <mergeCell ref="K177:L177"/>
    <mergeCell ref="B178:D178"/>
    <mergeCell ref="G178:H178"/>
    <mergeCell ref="B173:D173"/>
    <mergeCell ref="G173:H173"/>
    <mergeCell ref="K173:L173"/>
    <mergeCell ref="B174:D174"/>
    <mergeCell ref="G174:H174"/>
    <mergeCell ref="A163:L163"/>
    <mergeCell ref="C164:D164"/>
    <mergeCell ref="J164:L164"/>
    <mergeCell ref="J180:L180"/>
    <mergeCell ref="A171:L171"/>
    <mergeCell ref="C176:D176"/>
    <mergeCell ref="J176:L176"/>
    <mergeCell ref="C172:D172"/>
    <mergeCell ref="G426:H426"/>
    <mergeCell ref="B421:D421"/>
    <mergeCell ref="G421:H421"/>
    <mergeCell ref="K421:L421"/>
    <mergeCell ref="B422:D422"/>
    <mergeCell ref="G422:H422"/>
    <mergeCell ref="J424:L424"/>
    <mergeCell ref="G446:H446"/>
    <mergeCell ref="K446:L446"/>
    <mergeCell ref="G447:H447"/>
    <mergeCell ref="B454:D454"/>
    <mergeCell ref="G454:H454"/>
    <mergeCell ref="K454:L454"/>
    <mergeCell ref="B455:D455"/>
    <mergeCell ref="G455:H455"/>
    <mergeCell ref="A907:D908"/>
    <mergeCell ref="K745:L745"/>
    <mergeCell ref="B746:D746"/>
    <mergeCell ref="G746:H746"/>
    <mergeCell ref="B749:D749"/>
    <mergeCell ref="G749:H749"/>
    <mergeCell ref="B606:D606"/>
    <mergeCell ref="G606:H606"/>
    <mergeCell ref="K606:L606"/>
    <mergeCell ref="B607:D607"/>
    <mergeCell ref="B608:D608"/>
    <mergeCell ref="B609:D609"/>
    <mergeCell ref="B598:D598"/>
    <mergeCell ref="F600:F601"/>
    <mergeCell ref="G600:J600"/>
    <mergeCell ref="G601:J601"/>
    <mergeCell ref="G450:H450"/>
    <mergeCell ref="A932:D933"/>
    <mergeCell ref="A950:D951"/>
    <mergeCell ref="A965:D966"/>
    <mergeCell ref="A988:D989"/>
    <mergeCell ref="A996:D997"/>
    <mergeCell ref="B4212:D4212"/>
    <mergeCell ref="I4212:J4212"/>
    <mergeCell ref="B4213:D4213"/>
    <mergeCell ref="I4213:J4213"/>
    <mergeCell ref="B4214:D4214"/>
    <mergeCell ref="I4214:J4214"/>
    <mergeCell ref="C4210:D4210"/>
    <mergeCell ref="B4211:D4211"/>
    <mergeCell ref="G4211:H4211"/>
    <mergeCell ref="I4211:J4211"/>
    <mergeCell ref="G1821:J1821"/>
    <mergeCell ref="B1823:D1823"/>
    <mergeCell ref="A1824:L1824"/>
    <mergeCell ref="C1533:D1533"/>
    <mergeCell ref="J1533:L1533"/>
    <mergeCell ref="A1536:L1536"/>
    <mergeCell ref="C1574:D1574"/>
    <mergeCell ref="J1574:L1574"/>
    <mergeCell ref="A1578:L1578"/>
    <mergeCell ref="B1575:D1575"/>
    <mergeCell ref="G1575:H1575"/>
    <mergeCell ref="I1575:J1575"/>
    <mergeCell ref="K1575:L1575"/>
    <mergeCell ref="B1576:D1576"/>
    <mergeCell ref="I1576:J1576"/>
    <mergeCell ref="B1577:D1577"/>
    <mergeCell ref="B1535:D1535"/>
    <mergeCell ref="K4486:L4486"/>
    <mergeCell ref="J4472:L4472"/>
    <mergeCell ref="K4473:L4473"/>
    <mergeCell ref="J4464:L4464"/>
    <mergeCell ref="K4465:L4465"/>
    <mergeCell ref="J4729:L4729"/>
    <mergeCell ref="K4730:L4730"/>
    <mergeCell ref="J4739:L4739"/>
    <mergeCell ref="K4740:L4740"/>
    <mergeCell ref="J4747:L4747"/>
    <mergeCell ref="K4748:L4748"/>
    <mergeCell ref="J4757:L4757"/>
    <mergeCell ref="G4715:J4715"/>
    <mergeCell ref="G4681:H4681"/>
    <mergeCell ref="I4515:J4515"/>
    <mergeCell ref="G4528:J4528"/>
    <mergeCell ref="G4529:J4529"/>
    <mergeCell ref="J4533:L4533"/>
    <mergeCell ref="G4534:H4534"/>
    <mergeCell ref="G4538:J4538"/>
    <mergeCell ref="G4539:J4539"/>
    <mergeCell ref="K4681:L4681"/>
    <mergeCell ref="J4688:L4688"/>
    <mergeCell ref="K4689:L4689"/>
    <mergeCell ref="J4698:L4698"/>
    <mergeCell ref="K4699:L4699"/>
    <mergeCell ref="J4499:L4499"/>
    <mergeCell ref="K4500:L4500"/>
    <mergeCell ref="J4543:L4543"/>
    <mergeCell ref="K4514:L4514"/>
    <mergeCell ref="K4544:L4544"/>
    <mergeCell ref="G4748:H4748"/>
    <mergeCell ref="C4626:D4626"/>
    <mergeCell ref="J4626:L4626"/>
    <mergeCell ref="I4631:J4631"/>
    <mergeCell ref="F4633:F4634"/>
    <mergeCell ref="G4633:J4633"/>
    <mergeCell ref="B4575:D4575"/>
    <mergeCell ref="G4634:J4634"/>
    <mergeCell ref="B4631:D4631"/>
    <mergeCell ref="G4631:H4631"/>
    <mergeCell ref="A4557:L4557"/>
    <mergeCell ref="A4558:C4558"/>
    <mergeCell ref="A4559:C4559"/>
    <mergeCell ref="A4560:C4560"/>
    <mergeCell ref="A4561:C4561"/>
    <mergeCell ref="B4571:D4571"/>
    <mergeCell ref="B4572:D4572"/>
    <mergeCell ref="B4573:D4573"/>
    <mergeCell ref="B4574:D4574"/>
    <mergeCell ref="G4609:J4609"/>
    <mergeCell ref="G4610:J4610"/>
    <mergeCell ref="D4565:L4565"/>
    <mergeCell ref="D4566:L4566"/>
    <mergeCell ref="A4584:C4584"/>
    <mergeCell ref="A4582:L4582"/>
    <mergeCell ref="A4583:C4583"/>
    <mergeCell ref="J4435:L4435"/>
    <mergeCell ref="K4436:L4436"/>
    <mergeCell ref="J4430:L4430"/>
    <mergeCell ref="K4431:L4431"/>
    <mergeCell ref="J4310:L4310"/>
    <mergeCell ref="K4311:L4311"/>
    <mergeCell ref="J4292:L4292"/>
    <mergeCell ref="K4293:L4293"/>
    <mergeCell ref="J4285:L4285"/>
    <mergeCell ref="K4286:L4286"/>
    <mergeCell ref="J4265:L4265"/>
    <mergeCell ref="K3293:L3293"/>
    <mergeCell ref="K3298:L3298"/>
    <mergeCell ref="J3297:L3297"/>
    <mergeCell ref="J3475:L3475"/>
    <mergeCell ref="J3490:L3490"/>
    <mergeCell ref="J3500:L3500"/>
    <mergeCell ref="J3511:L3511"/>
    <mergeCell ref="J3528:L3528"/>
    <mergeCell ref="J3538:L3538"/>
    <mergeCell ref="J3546:L3546"/>
    <mergeCell ref="J3554:L3554"/>
    <mergeCell ref="J3562:L3562"/>
    <mergeCell ref="J3395:L3395"/>
    <mergeCell ref="D3466:L3466"/>
    <mergeCell ref="D3467:L3467"/>
    <mergeCell ref="B3846:D3846"/>
    <mergeCell ref="G3846:H3846"/>
    <mergeCell ref="F3840:F3841"/>
    <mergeCell ref="J3455:L3455"/>
    <mergeCell ref="D3465:L3465"/>
    <mergeCell ref="F3460:F3461"/>
    <mergeCell ref="G3840:J3840"/>
    <mergeCell ref="G3841:J3841"/>
    <mergeCell ref="C3845:D3845"/>
    <mergeCell ref="J4409:L4409"/>
    <mergeCell ref="K4410:L4410"/>
    <mergeCell ref="J4391:L4391"/>
    <mergeCell ref="K4392:L4392"/>
    <mergeCell ref="J4373:L4373"/>
    <mergeCell ref="K4374:L4374"/>
    <mergeCell ref="J4352:L4352"/>
    <mergeCell ref="K4353:L4353"/>
    <mergeCell ref="J4341:L4341"/>
    <mergeCell ref="K4342:L4342"/>
    <mergeCell ref="J4318:L4318"/>
    <mergeCell ref="K4319:L4319"/>
    <mergeCell ref="J4210:L4210"/>
    <mergeCell ref="K4211:L4211"/>
    <mergeCell ref="J4181:L4181"/>
    <mergeCell ref="K4182:L4182"/>
    <mergeCell ref="J4167:L4167"/>
    <mergeCell ref="J4160:L4160"/>
    <mergeCell ref="K4168:L4168"/>
    <mergeCell ref="C3857:D3857"/>
    <mergeCell ref="B3847:D3847"/>
    <mergeCell ref="B3865:D3865"/>
    <mergeCell ref="G3865:H3865"/>
    <mergeCell ref="B3866:D3866"/>
    <mergeCell ref="F3867:F3868"/>
    <mergeCell ref="G3867:J3867"/>
    <mergeCell ref="G3868:J3868"/>
    <mergeCell ref="C4341:D4341"/>
    <mergeCell ref="B4342:D4342"/>
    <mergeCell ref="C605:D605"/>
    <mergeCell ref="J605:L605"/>
    <mergeCell ref="C596:D596"/>
    <mergeCell ref="A1202:D1203"/>
    <mergeCell ref="A1222:D1223"/>
    <mergeCell ref="E1223:L1223"/>
    <mergeCell ref="A623:L623"/>
    <mergeCell ref="C740:D740"/>
    <mergeCell ref="J740:L740"/>
    <mergeCell ref="A743:L743"/>
    <mergeCell ref="C744:D744"/>
    <mergeCell ref="J744:L744"/>
    <mergeCell ref="A747:L747"/>
    <mergeCell ref="C748:D748"/>
    <mergeCell ref="J748:L748"/>
    <mergeCell ref="A751:L751"/>
    <mergeCell ref="C752:D752"/>
    <mergeCell ref="J752:L752"/>
    <mergeCell ref="A755:L755"/>
    <mergeCell ref="A778:D779"/>
    <mergeCell ref="A788:D789"/>
    <mergeCell ref="A801:D802"/>
    <mergeCell ref="C616:D616"/>
    <mergeCell ref="J616:L616"/>
    <mergeCell ref="B617:D617"/>
    <mergeCell ref="G617:H617"/>
    <mergeCell ref="K617:L617"/>
    <mergeCell ref="B618:D618"/>
    <mergeCell ref="G618:H618"/>
    <mergeCell ref="A619:L619"/>
    <mergeCell ref="C620:D620"/>
    <mergeCell ref="J620:L620"/>
    <mergeCell ref="B621:D621"/>
    <mergeCell ref="G621:H621"/>
    <mergeCell ref="K621:L621"/>
    <mergeCell ref="B622:D622"/>
    <mergeCell ref="G622:H622"/>
    <mergeCell ref="B610:D610"/>
    <mergeCell ref="A366:C366"/>
    <mergeCell ref="D366:L366"/>
    <mergeCell ref="C412:D412"/>
    <mergeCell ref="J412:L412"/>
    <mergeCell ref="A415:L415"/>
    <mergeCell ref="C449:D449"/>
    <mergeCell ref="J449:L449"/>
    <mergeCell ref="B450:D450"/>
    <mergeCell ref="K450:L450"/>
    <mergeCell ref="B451:D451"/>
    <mergeCell ref="A452:L452"/>
    <mergeCell ref="C457:D457"/>
    <mergeCell ref="J457:L457"/>
    <mergeCell ref="B413:D413"/>
    <mergeCell ref="G413:H413"/>
    <mergeCell ref="K413:L413"/>
    <mergeCell ref="B414:D414"/>
    <mergeCell ref="G414:H414"/>
    <mergeCell ref="A444:L444"/>
    <mergeCell ref="B441:D441"/>
    <mergeCell ref="I441:J441"/>
    <mergeCell ref="K441:L441"/>
    <mergeCell ref="B442:D442"/>
    <mergeCell ref="I442:J442"/>
    <mergeCell ref="B443:D443"/>
    <mergeCell ref="B437:D437"/>
    <mergeCell ref="A111:L111"/>
    <mergeCell ref="C116:D116"/>
    <mergeCell ref="J116:L116"/>
    <mergeCell ref="B121:D121"/>
    <mergeCell ref="A123:L123"/>
    <mergeCell ref="C124:D124"/>
    <mergeCell ref="J124:L124"/>
    <mergeCell ref="G113:H113"/>
    <mergeCell ref="K113:L113"/>
    <mergeCell ref="G114:H114"/>
    <mergeCell ref="G117:H117"/>
    <mergeCell ref="K117:L117"/>
    <mergeCell ref="G118:H118"/>
    <mergeCell ref="G121:H121"/>
    <mergeCell ref="K121:L121"/>
    <mergeCell ref="B122:D122"/>
    <mergeCell ref="G122:H122"/>
    <mergeCell ref="B125:D125"/>
    <mergeCell ref="G125:H125"/>
    <mergeCell ref="A400:C400"/>
    <mergeCell ref="A411:L411"/>
    <mergeCell ref="J3147:L3147"/>
    <mergeCell ref="J3157:L3157"/>
    <mergeCell ref="K3158:L3158"/>
    <mergeCell ref="A3172:L3172"/>
    <mergeCell ref="D3181:L3181"/>
    <mergeCell ref="A3182:L3182"/>
    <mergeCell ref="J3183:L3183"/>
    <mergeCell ref="K3184:L3184"/>
    <mergeCell ref="K3005:L3005"/>
    <mergeCell ref="J3014:L3014"/>
    <mergeCell ref="K3015:L3015"/>
    <mergeCell ref="J3024:L3024"/>
    <mergeCell ref="K3025:L3025"/>
    <mergeCell ref="J3035:L3035"/>
    <mergeCell ref="J3045:L3045"/>
    <mergeCell ref="K3046:L3046"/>
    <mergeCell ref="A3056:L3056"/>
    <mergeCell ref="D3065:L3065"/>
    <mergeCell ref="J3071:L3071"/>
    <mergeCell ref="K3072:L3072"/>
    <mergeCell ref="H3089:I3089"/>
    <mergeCell ref="A3090:L3090"/>
    <mergeCell ref="D3094:L3094"/>
    <mergeCell ref="G3171:I3171"/>
    <mergeCell ref="D3178:L3178"/>
    <mergeCell ref="B3165:D3165"/>
    <mergeCell ref="B3166:D3166"/>
    <mergeCell ref="B3159:D3159"/>
    <mergeCell ref="B3163:D3163"/>
    <mergeCell ref="J2953:L2953"/>
    <mergeCell ref="K2954:L2954"/>
    <mergeCell ref="J2958:L2958"/>
    <mergeCell ref="K2959:L2959"/>
    <mergeCell ref="A2973:L2973"/>
    <mergeCell ref="D2979:L2979"/>
    <mergeCell ref="D2982:L2982"/>
    <mergeCell ref="J2984:L2984"/>
    <mergeCell ref="K2985:L2985"/>
    <mergeCell ref="B2939:D2939"/>
    <mergeCell ref="B2955:D2955"/>
    <mergeCell ref="I2955:J2955"/>
    <mergeCell ref="B2956:D2956"/>
    <mergeCell ref="C2958:D2958"/>
    <mergeCell ref="B2951:D2951"/>
    <mergeCell ref="C2953:D2953"/>
    <mergeCell ref="B2954:D2954"/>
    <mergeCell ref="G2954:H2954"/>
    <mergeCell ref="I2954:J2954"/>
    <mergeCell ref="B2948:D2948"/>
    <mergeCell ref="I2948:J2948"/>
    <mergeCell ref="B2949:D2949"/>
    <mergeCell ref="I2949:J2949"/>
    <mergeCell ref="A2975:C2975"/>
    <mergeCell ref="D2974:L2974"/>
    <mergeCell ref="A2976:C2976"/>
    <mergeCell ref="D2975:L2975"/>
    <mergeCell ref="A2977:C2977"/>
    <mergeCell ref="C3157:D3157"/>
    <mergeCell ref="B3158:D3158"/>
    <mergeCell ref="G3158:H3158"/>
    <mergeCell ref="B3848:D3848"/>
    <mergeCell ref="B3849:D3849"/>
    <mergeCell ref="B3862:D3862"/>
    <mergeCell ref="I2950:J2950"/>
    <mergeCell ref="D2847:L2847"/>
    <mergeCell ref="A2870:L2870"/>
    <mergeCell ref="D2879:L2879"/>
    <mergeCell ref="C3837:D3837"/>
    <mergeCell ref="B2888:D2888"/>
    <mergeCell ref="B2889:D2889"/>
    <mergeCell ref="B2890:D2890"/>
    <mergeCell ref="F2891:F2892"/>
    <mergeCell ref="G2891:J2891"/>
    <mergeCell ref="G2892:J2892"/>
    <mergeCell ref="C2915:D2915"/>
    <mergeCell ref="B2916:D2916"/>
    <mergeCell ref="I2916:J2916"/>
    <mergeCell ref="B2917:D2917"/>
    <mergeCell ref="I2917:J2917"/>
    <mergeCell ref="B2908:D2908"/>
    <mergeCell ref="B2909:D2909"/>
    <mergeCell ref="F2910:F2911"/>
    <mergeCell ref="G2910:J2910"/>
    <mergeCell ref="G2911:J2911"/>
    <mergeCell ref="C2906:D2906"/>
    <mergeCell ref="B2907:D2907"/>
    <mergeCell ref="G2907:H2907"/>
    <mergeCell ref="J2915:L2915"/>
    <mergeCell ref="K2936:L2936"/>
    <mergeCell ref="J2945:L2945"/>
    <mergeCell ref="A2944:L2944"/>
    <mergeCell ref="K2946:L2946"/>
    <mergeCell ref="F4773:F4774"/>
    <mergeCell ref="G4773:J4773"/>
    <mergeCell ref="G4774:J4774"/>
    <mergeCell ref="B3920:D3920"/>
    <mergeCell ref="H3920:I3920"/>
    <mergeCell ref="C4729:D4729"/>
    <mergeCell ref="B4730:D4730"/>
    <mergeCell ref="B4710:D4710"/>
    <mergeCell ref="T765:U766"/>
    <mergeCell ref="G1565:H1565"/>
    <mergeCell ref="B737:D737"/>
    <mergeCell ref="B2689:D2689"/>
    <mergeCell ref="I2689:J2689"/>
    <mergeCell ref="G3911:H3911"/>
    <mergeCell ref="C3910:D3910"/>
    <mergeCell ref="B3892:D3892"/>
    <mergeCell ref="I3892:J3892"/>
    <mergeCell ref="B3893:D3893"/>
    <mergeCell ref="I3893:J3893"/>
    <mergeCell ref="B3894:D3894"/>
    <mergeCell ref="B3898:D3898"/>
    <mergeCell ref="G3898:H3898"/>
    <mergeCell ref="B3879:D3879"/>
    <mergeCell ref="B3890:D3890"/>
    <mergeCell ref="G3890:H3890"/>
    <mergeCell ref="I3890:J3890"/>
    <mergeCell ref="B3891:D3891"/>
    <mergeCell ref="I3891:J3891"/>
    <mergeCell ref="G3905:J3905"/>
    <mergeCell ref="G3906:J3906"/>
    <mergeCell ref="B3895:D3895"/>
    <mergeCell ref="C3897:D3897"/>
    <mergeCell ref="B4749:D4749"/>
    <mergeCell ref="B4750:D4750"/>
    <mergeCell ref="B4751:D4751"/>
    <mergeCell ref="G4734:J4734"/>
    <mergeCell ref="G4735:J4735"/>
    <mergeCell ref="G4743:J4743"/>
    <mergeCell ref="B4744:D4744"/>
    <mergeCell ref="B3838:D3838"/>
    <mergeCell ref="G3838:H3838"/>
    <mergeCell ref="B3839:D3839"/>
    <mergeCell ref="B3858:D3858"/>
    <mergeCell ref="G3858:H3858"/>
    <mergeCell ref="I3858:J3858"/>
    <mergeCell ref="B4800:D4800"/>
    <mergeCell ref="B3919:D3919"/>
    <mergeCell ref="B3944:D3944"/>
    <mergeCell ref="I3944:J3944"/>
    <mergeCell ref="B3937:D3937"/>
    <mergeCell ref="I3937:J3937"/>
    <mergeCell ref="B3938:D3938"/>
    <mergeCell ref="I3938:J3938"/>
    <mergeCell ref="G3934:H3934"/>
    <mergeCell ref="I3934:J3934"/>
    <mergeCell ref="B3941:D3941"/>
    <mergeCell ref="I3941:J3941"/>
    <mergeCell ref="B3936:D3936"/>
    <mergeCell ref="I3936:J3936"/>
    <mergeCell ref="C3933:D3933"/>
    <mergeCell ref="B3942:D3942"/>
    <mergeCell ref="I3942:J3942"/>
    <mergeCell ref="B4773:D4773"/>
    <mergeCell ref="G4730:H4730"/>
    <mergeCell ref="B4731:D4731"/>
    <mergeCell ref="B4732:D4732"/>
    <mergeCell ref="B4733:D4733"/>
    <mergeCell ref="B4741:D4741"/>
    <mergeCell ref="B4742:D4742"/>
    <mergeCell ref="B4705:D4705"/>
    <mergeCell ref="B4706:D4706"/>
    <mergeCell ref="B4707:D4707"/>
    <mergeCell ref="B4708:D4708"/>
    <mergeCell ref="B4709:D4709"/>
    <mergeCell ref="B4699:D4699"/>
    <mergeCell ref="G4699:H4699"/>
    <mergeCell ref="B4701:D4701"/>
    <mergeCell ref="B4702:D4702"/>
    <mergeCell ref="B4703:D4703"/>
    <mergeCell ref="B4691:D4691"/>
    <mergeCell ref="F4693:F4694"/>
    <mergeCell ref="G4693:J4693"/>
    <mergeCell ref="G4694:J4694"/>
    <mergeCell ref="C4698:D4698"/>
    <mergeCell ref="B4704:D4704"/>
    <mergeCell ref="G4714:J4714"/>
    <mergeCell ref="A4720:C4720"/>
    <mergeCell ref="A4721:C4721"/>
    <mergeCell ref="A4722:C4722"/>
    <mergeCell ref="A4723:C4723"/>
    <mergeCell ref="A4724:C4724"/>
    <mergeCell ref="A4725:C4725"/>
    <mergeCell ref="A4726:C4726"/>
    <mergeCell ref="A4727:C4727"/>
    <mergeCell ref="D4719:L4719"/>
    <mergeCell ref="D4720:L4720"/>
    <mergeCell ref="G4676:J4676"/>
    <mergeCell ref="C4680:D4680"/>
    <mergeCell ref="G4667:J4667"/>
    <mergeCell ref="G4668:J4668"/>
    <mergeCell ref="C4672:D4672"/>
    <mergeCell ref="B4673:D4673"/>
    <mergeCell ref="G4673:H4673"/>
    <mergeCell ref="B4662:D4662"/>
    <mergeCell ref="B4663:D4663"/>
    <mergeCell ref="B4664:D4664"/>
    <mergeCell ref="B4665:D4665"/>
    <mergeCell ref="J4660:L4660"/>
    <mergeCell ref="K4661:L4661"/>
    <mergeCell ref="J4672:L4672"/>
    <mergeCell ref="K4673:L4673"/>
    <mergeCell ref="J4680:L4680"/>
    <mergeCell ref="B4666:D4666"/>
    <mergeCell ref="F4667:F4668"/>
    <mergeCell ref="B4605:D4605"/>
    <mergeCell ref="C4601:D4601"/>
    <mergeCell ref="B4602:D4602"/>
    <mergeCell ref="G4602:H4602"/>
    <mergeCell ref="I4518:J4518"/>
    <mergeCell ref="B4514:D4514"/>
    <mergeCell ref="G4514:H4514"/>
    <mergeCell ref="I4514:J4514"/>
    <mergeCell ref="B4515:D4515"/>
    <mergeCell ref="G4579:J4579"/>
    <mergeCell ref="B4603:D4603"/>
    <mergeCell ref="B4604:D4604"/>
    <mergeCell ref="B4570:D4570"/>
    <mergeCell ref="C4593:D4593"/>
    <mergeCell ref="J4593:L4593"/>
    <mergeCell ref="J4568:L4568"/>
    <mergeCell ref="K4569:L4569"/>
    <mergeCell ref="B4524:D4524"/>
    <mergeCell ref="B4525:D4525"/>
    <mergeCell ref="B4526:D4526"/>
    <mergeCell ref="B4527:D4527"/>
    <mergeCell ref="F4528:F4529"/>
    <mergeCell ref="C4533:D4533"/>
    <mergeCell ref="B4534:D4534"/>
    <mergeCell ref="B4535:D4535"/>
    <mergeCell ref="B4536:D4536"/>
    <mergeCell ref="B4537:D4537"/>
    <mergeCell ref="F4538:F4539"/>
    <mergeCell ref="B4540:D4540"/>
    <mergeCell ref="J4495:L4495"/>
    <mergeCell ref="B4496:D4496"/>
    <mergeCell ref="B4518:D4518"/>
    <mergeCell ref="B4507:D4507"/>
    <mergeCell ref="F4508:F4509"/>
    <mergeCell ref="G4508:J4508"/>
    <mergeCell ref="G4509:J4509"/>
    <mergeCell ref="C4513:D4513"/>
    <mergeCell ref="B4502:D4502"/>
    <mergeCell ref="B4503:D4503"/>
    <mergeCell ref="B4504:D4504"/>
    <mergeCell ref="B4505:D4505"/>
    <mergeCell ref="B4506:D4506"/>
    <mergeCell ref="C4499:D4499"/>
    <mergeCell ref="B4500:D4500"/>
    <mergeCell ref="G4500:H4500"/>
    <mergeCell ref="B4501:D4501"/>
    <mergeCell ref="B4577:D4577"/>
    <mergeCell ref="B4551:D4551"/>
    <mergeCell ref="H4552:J4552"/>
    <mergeCell ref="F4553:F4554"/>
    <mergeCell ref="G4553:J4553"/>
    <mergeCell ref="G4554:J4554"/>
    <mergeCell ref="B4545:D4545"/>
    <mergeCell ref="B4546:D4546"/>
    <mergeCell ref="B4547:D4547"/>
    <mergeCell ref="B4548:D4548"/>
    <mergeCell ref="B4549:D4549"/>
    <mergeCell ref="H4550:J4550"/>
    <mergeCell ref="B4519:D4519"/>
    <mergeCell ref="C4543:D4543"/>
    <mergeCell ref="B4544:D4544"/>
    <mergeCell ref="G4544:H4544"/>
    <mergeCell ref="B4531:D4531"/>
    <mergeCell ref="B4539:D4539"/>
    <mergeCell ref="I4442:J4442"/>
    <mergeCell ref="B4443:D4443"/>
    <mergeCell ref="I4443:J4443"/>
    <mergeCell ref="B4516:D4516"/>
    <mergeCell ref="I4516:J4516"/>
    <mergeCell ref="B4517:D4517"/>
    <mergeCell ref="I4517:J4517"/>
    <mergeCell ref="B4478:D4478"/>
    <mergeCell ref="B4479:D4479"/>
    <mergeCell ref="F4480:F4481"/>
    <mergeCell ref="G4480:J4480"/>
    <mergeCell ref="G4481:J4481"/>
    <mergeCell ref="B4473:D4473"/>
    <mergeCell ref="G4473:H4473"/>
    <mergeCell ref="B4474:D4474"/>
    <mergeCell ref="B4475:D4475"/>
    <mergeCell ref="B4476:D4476"/>
    <mergeCell ref="B4466:D4466"/>
    <mergeCell ref="F4467:F4468"/>
    <mergeCell ref="G4467:J4467"/>
    <mergeCell ref="G4468:J4468"/>
    <mergeCell ref="C4472:D4472"/>
    <mergeCell ref="B4488:D4488"/>
    <mergeCell ref="B4489:D4489"/>
    <mergeCell ref="C4460:D4460"/>
    <mergeCell ref="J4460:L4460"/>
    <mergeCell ref="J4451:L4451"/>
    <mergeCell ref="J4513:L4513"/>
    <mergeCell ref="B4449:F4449"/>
    <mergeCell ref="F4490:F4491"/>
    <mergeCell ref="G4490:J4490"/>
    <mergeCell ref="G4491:J4491"/>
    <mergeCell ref="C4430:D4430"/>
    <mergeCell ref="B4431:D4431"/>
    <mergeCell ref="I4431:J4431"/>
    <mergeCell ref="B4444:D4444"/>
    <mergeCell ref="I4444:J4444"/>
    <mergeCell ref="B4411:D4411"/>
    <mergeCell ref="B4412:D4412"/>
    <mergeCell ref="B4414:D4414"/>
    <mergeCell ref="G4414:H4414"/>
    <mergeCell ref="F4415:F4416"/>
    <mergeCell ref="G4416:J4416"/>
    <mergeCell ref="B4417:D4417"/>
    <mergeCell ref="G4415:J4415"/>
    <mergeCell ref="B4465:D4465"/>
    <mergeCell ref="G4465:H4465"/>
    <mergeCell ref="B4452:D4452"/>
    <mergeCell ref="G4452:H4452"/>
    <mergeCell ref="B4453:D4453"/>
    <mergeCell ref="B4454:D4454"/>
    <mergeCell ref="F4455:F4456"/>
    <mergeCell ref="G4455:J4455"/>
    <mergeCell ref="G4456:J4456"/>
    <mergeCell ref="B4447:D4447"/>
    <mergeCell ref="I4447:J4447"/>
    <mergeCell ref="C4451:D4451"/>
    <mergeCell ref="B4445:D4445"/>
    <mergeCell ref="I4445:J4445"/>
    <mergeCell ref="B4446:D4446"/>
    <mergeCell ref="I4446:J4446"/>
    <mergeCell ref="B4441:D4441"/>
    <mergeCell ref="I4441:J4441"/>
    <mergeCell ref="B4442:D4442"/>
    <mergeCell ref="B4393:D4393"/>
    <mergeCell ref="F4394:F4395"/>
    <mergeCell ref="G4394:J4394"/>
    <mergeCell ref="G4395:J4395"/>
    <mergeCell ref="B4375:D4375"/>
    <mergeCell ref="F4376:F4377"/>
    <mergeCell ref="G4376:J4376"/>
    <mergeCell ref="G4377:J4377"/>
    <mergeCell ref="C4373:D4373"/>
    <mergeCell ref="B4374:D4374"/>
    <mergeCell ref="G4374:H4374"/>
    <mergeCell ref="A4330:L4330"/>
    <mergeCell ref="A4331:C4331"/>
    <mergeCell ref="A4332:C4332"/>
    <mergeCell ref="A4333:C4333"/>
    <mergeCell ref="A4334:C4334"/>
    <mergeCell ref="A4335:C4335"/>
    <mergeCell ref="A4336:C4336"/>
    <mergeCell ref="A4337:C4337"/>
    <mergeCell ref="D4331:L4331"/>
    <mergeCell ref="D4332:L4332"/>
    <mergeCell ref="D4333:L4333"/>
    <mergeCell ref="D4334:L4334"/>
    <mergeCell ref="D4335:L4335"/>
    <mergeCell ref="D4336:L4336"/>
    <mergeCell ref="D4337:L4337"/>
    <mergeCell ref="D4338:L4338"/>
    <mergeCell ref="D4339:L4339"/>
    <mergeCell ref="A4338:C4338"/>
    <mergeCell ref="A4339:C4339"/>
    <mergeCell ref="A4362:L4362"/>
    <mergeCell ref="A4363:C4363"/>
    <mergeCell ref="C4310:D4310"/>
    <mergeCell ref="B4356:D4356"/>
    <mergeCell ref="B4357:D4357"/>
    <mergeCell ref="F4358:F4359"/>
    <mergeCell ref="G4358:J4358"/>
    <mergeCell ref="G4359:J4359"/>
    <mergeCell ref="C4352:D4352"/>
    <mergeCell ref="B4353:D4353"/>
    <mergeCell ref="G4353:H4353"/>
    <mergeCell ref="C4318:D4318"/>
    <mergeCell ref="B4319:D4319"/>
    <mergeCell ref="G4319:H4319"/>
    <mergeCell ref="B4311:D4311"/>
    <mergeCell ref="G4311:H4311"/>
    <mergeCell ref="B4312:D4312"/>
    <mergeCell ref="F4313:F4314"/>
    <mergeCell ref="G4313:J4313"/>
    <mergeCell ref="G4314:J4314"/>
    <mergeCell ref="B4346:D4346"/>
    <mergeCell ref="F4347:F4348"/>
    <mergeCell ref="G4347:J4347"/>
    <mergeCell ref="G4348:J4348"/>
    <mergeCell ref="B4315:D4316"/>
    <mergeCell ref="B4354:D4354"/>
    <mergeCell ref="B4344:D4344"/>
    <mergeCell ref="B4355:D4355"/>
    <mergeCell ref="B4321:D4321"/>
    <mergeCell ref="B4325:D4325"/>
    <mergeCell ref="F4326:F4327"/>
    <mergeCell ref="G4326:J4326"/>
    <mergeCell ref="G4327:J4327"/>
    <mergeCell ref="B4267:D4267"/>
    <mergeCell ref="B4268:D4268"/>
    <mergeCell ref="I4268:J4268"/>
    <mergeCell ref="B4269:D4269"/>
    <mergeCell ref="I4269:J4269"/>
    <mergeCell ref="B4270:D4270"/>
    <mergeCell ref="I4270:J4270"/>
    <mergeCell ref="B4271:D4271"/>
    <mergeCell ref="I4271:J4271"/>
    <mergeCell ref="B4287:D4287"/>
    <mergeCell ref="I4287:J4287"/>
    <mergeCell ref="B4288:D4288"/>
    <mergeCell ref="I4288:J4288"/>
    <mergeCell ref="C4285:D4285"/>
    <mergeCell ref="B4286:D4286"/>
    <mergeCell ref="G4286:H4286"/>
    <mergeCell ref="I4286:J4286"/>
    <mergeCell ref="B4281:D4281"/>
    <mergeCell ref="I4281:J4281"/>
    <mergeCell ref="B4282:D4282"/>
    <mergeCell ref="I4282:J4282"/>
    <mergeCell ref="B4276:D4276"/>
    <mergeCell ref="I4276:J4276"/>
    <mergeCell ref="B4277:D4277"/>
    <mergeCell ref="I4277:J4277"/>
    <mergeCell ref="B4278:D4278"/>
    <mergeCell ref="I4278:J4278"/>
    <mergeCell ref="C4242:D4242"/>
    <mergeCell ref="B4243:D4243"/>
    <mergeCell ref="G4243:H4243"/>
    <mergeCell ref="B4244:D4244"/>
    <mergeCell ref="J4242:L4242"/>
    <mergeCell ref="K4243:L4243"/>
    <mergeCell ref="C4238:D4238"/>
    <mergeCell ref="J4238:L4238"/>
    <mergeCell ref="K4262:L4262"/>
    <mergeCell ref="C4265:D4265"/>
    <mergeCell ref="B4266:D4266"/>
    <mergeCell ref="G4266:H4266"/>
    <mergeCell ref="I4266:J4266"/>
    <mergeCell ref="C4261:D4261"/>
    <mergeCell ref="B4245:D4245"/>
    <mergeCell ref="B4246:D4246"/>
    <mergeCell ref="B4247:D4247"/>
    <mergeCell ref="F4248:F4249"/>
    <mergeCell ref="G4248:J4248"/>
    <mergeCell ref="G4249:J4249"/>
    <mergeCell ref="J4261:L4261"/>
    <mergeCell ref="K4266:L4266"/>
    <mergeCell ref="C4130:D4130"/>
    <mergeCell ref="B4131:D4131"/>
    <mergeCell ref="B4132:D4132"/>
    <mergeCell ref="D4150:L4150"/>
    <mergeCell ref="A4150:C4150"/>
    <mergeCell ref="A4151:C4151"/>
    <mergeCell ref="A4152:C4152"/>
    <mergeCell ref="A4153:C4153"/>
    <mergeCell ref="A4154:C4154"/>
    <mergeCell ref="A4155:C4155"/>
    <mergeCell ref="A4156:C4156"/>
    <mergeCell ref="A4157:C4157"/>
    <mergeCell ref="B4224:D4224"/>
    <mergeCell ref="F4225:F4226"/>
    <mergeCell ref="G4225:J4225"/>
    <mergeCell ref="G4226:J4226"/>
    <mergeCell ref="C4234:D4234"/>
    <mergeCell ref="B4219:D4219"/>
    <mergeCell ref="G4219:H4219"/>
    <mergeCell ref="B4220:D4220"/>
    <mergeCell ref="B4221:D4221"/>
    <mergeCell ref="B4223:D4223"/>
    <mergeCell ref="B4215:D4215"/>
    <mergeCell ref="I4215:J4215"/>
    <mergeCell ref="B4216:D4216"/>
    <mergeCell ref="C4218:D4218"/>
    <mergeCell ref="J4234:L4234"/>
    <mergeCell ref="J4218:L4218"/>
    <mergeCell ref="K4219:L4219"/>
    <mergeCell ref="D4199:L4199"/>
    <mergeCell ref="D4200:L4200"/>
    <mergeCell ref="C4230:D4230"/>
    <mergeCell ref="B4144:D4144"/>
    <mergeCell ref="F4145:F4146"/>
    <mergeCell ref="G4145:J4145"/>
    <mergeCell ref="G4146:J4146"/>
    <mergeCell ref="B4147:D4147"/>
    <mergeCell ref="C4142:D4142"/>
    <mergeCell ref="B4143:D4143"/>
    <mergeCell ref="G4143:H4143"/>
    <mergeCell ref="B4137:D4137"/>
    <mergeCell ref="B4138:D4138"/>
    <mergeCell ref="B4139:D4139"/>
    <mergeCell ref="C4167:D4167"/>
    <mergeCell ref="B4162:D4162"/>
    <mergeCell ref="I4162:J4162"/>
    <mergeCell ref="B4163:D4163"/>
    <mergeCell ref="I4163:J4163"/>
    <mergeCell ref="B4133:D4133"/>
    <mergeCell ref="C4136:D4136"/>
    <mergeCell ref="A4149:L4149"/>
    <mergeCell ref="G4161:H4161"/>
    <mergeCell ref="I4161:J4161"/>
    <mergeCell ref="A4158:C4158"/>
    <mergeCell ref="D4158:L4158"/>
    <mergeCell ref="D4157:L4157"/>
    <mergeCell ref="D4156:L4156"/>
    <mergeCell ref="D4155:L4155"/>
    <mergeCell ref="D4154:L4154"/>
    <mergeCell ref="D4153:L4153"/>
    <mergeCell ref="D4152:L4152"/>
    <mergeCell ref="D4151:L4151"/>
    <mergeCell ref="B4123:D4123"/>
    <mergeCell ref="B4124:D4124"/>
    <mergeCell ref="F4125:F4126"/>
    <mergeCell ref="G4125:J4125"/>
    <mergeCell ref="G4126:J4126"/>
    <mergeCell ref="E4133:H4133"/>
    <mergeCell ref="J4136:L4136"/>
    <mergeCell ref="K4137:L4137"/>
    <mergeCell ref="K4143:L4143"/>
    <mergeCell ref="J4142:L4142"/>
    <mergeCell ref="J4130:L4130"/>
    <mergeCell ref="K4131:L4131"/>
    <mergeCell ref="E4139:H4139"/>
    <mergeCell ref="A4140:E4140"/>
    <mergeCell ref="G4203:H4203"/>
    <mergeCell ref="I4203:J4203"/>
    <mergeCell ref="B4204:D4204"/>
    <mergeCell ref="I4204:J4204"/>
    <mergeCell ref="F4172:F4173"/>
    <mergeCell ref="G4172:J4172"/>
    <mergeCell ref="G4173:J4173"/>
    <mergeCell ref="C4202:D4202"/>
    <mergeCell ref="J4202:L4202"/>
    <mergeCell ref="A4199:C4199"/>
    <mergeCell ref="A4200:C4200"/>
    <mergeCell ref="D4192:L4192"/>
    <mergeCell ref="D4193:L4193"/>
    <mergeCell ref="D4194:L4194"/>
    <mergeCell ref="D4195:L4195"/>
    <mergeCell ref="D4196:L4196"/>
    <mergeCell ref="D4197:L4197"/>
    <mergeCell ref="D4198:L4198"/>
    <mergeCell ref="I4080:J4080"/>
    <mergeCell ref="B4082:D4082"/>
    <mergeCell ref="B4077:D4077"/>
    <mergeCell ref="B4117:D4117"/>
    <mergeCell ref="B4118:D4118"/>
    <mergeCell ref="B4119:D4119"/>
    <mergeCell ref="B4120:D4120"/>
    <mergeCell ref="B4121:D4121"/>
    <mergeCell ref="B4122:D4122"/>
    <mergeCell ref="C4115:D4115"/>
    <mergeCell ref="B4116:D4116"/>
    <mergeCell ref="G4116:H4116"/>
    <mergeCell ref="B4109:D4109"/>
    <mergeCell ref="B4110:D4110"/>
    <mergeCell ref="F4110:F4111"/>
    <mergeCell ref="G4110:J4110"/>
    <mergeCell ref="G4111:J4111"/>
    <mergeCell ref="C4107:D4107"/>
    <mergeCell ref="B4108:D4108"/>
    <mergeCell ref="G4108:H4108"/>
    <mergeCell ref="J4115:L4115"/>
    <mergeCell ref="K4116:L4116"/>
    <mergeCell ref="J4107:L4107"/>
    <mergeCell ref="B4112:D4112"/>
    <mergeCell ref="B4113:D4113"/>
    <mergeCell ref="A4104:C4104"/>
    <mergeCell ref="A4105:C4105"/>
    <mergeCell ref="B4058:D4058"/>
    <mergeCell ref="C4039:D4039"/>
    <mergeCell ref="D4006:L4006"/>
    <mergeCell ref="D4007:L4007"/>
    <mergeCell ref="A4097:C4097"/>
    <mergeCell ref="A4098:C4098"/>
    <mergeCell ref="A4099:C4099"/>
    <mergeCell ref="A4100:C4100"/>
    <mergeCell ref="A4101:C4101"/>
    <mergeCell ref="A4102:C4102"/>
    <mergeCell ref="A4103:C4103"/>
    <mergeCell ref="C4066:D4066"/>
    <mergeCell ref="B4067:D4067"/>
    <mergeCell ref="G4067:H4067"/>
    <mergeCell ref="B4056:D4056"/>
    <mergeCell ref="G4056:H4056"/>
    <mergeCell ref="B4060:D4060"/>
    <mergeCell ref="F4061:F4062"/>
    <mergeCell ref="B4087:D4087"/>
    <mergeCell ref="G4088:H4088"/>
    <mergeCell ref="B4089:D4089"/>
    <mergeCell ref="B4090:D4090"/>
    <mergeCell ref="B4091:D4091"/>
    <mergeCell ref="F4092:F4093"/>
    <mergeCell ref="G4092:J4092"/>
    <mergeCell ref="G4093:J4093"/>
    <mergeCell ref="C4084:D4084"/>
    <mergeCell ref="B4085:D4085"/>
    <mergeCell ref="G4085:H4085"/>
    <mergeCell ref="B4086:D4086"/>
    <mergeCell ref="B4079:D4079"/>
    <mergeCell ref="I4079:J4079"/>
    <mergeCell ref="B4049:D4049"/>
    <mergeCell ref="F4050:F4051"/>
    <mergeCell ref="G4050:J4050"/>
    <mergeCell ref="G4051:J4051"/>
    <mergeCell ref="C4055:D4055"/>
    <mergeCell ref="C4047:D4047"/>
    <mergeCell ref="B4048:D4048"/>
    <mergeCell ref="G4048:H4048"/>
    <mergeCell ref="B4040:D4040"/>
    <mergeCell ref="G4040:H4040"/>
    <mergeCell ref="B4041:D4041"/>
    <mergeCell ref="F4042:F4043"/>
    <mergeCell ref="G4042:J4042"/>
    <mergeCell ref="G4043:J4043"/>
    <mergeCell ref="A4036:C4036"/>
    <mergeCell ref="A4037:C4037"/>
    <mergeCell ref="J4039:L4039"/>
    <mergeCell ref="A4029:C4029"/>
    <mergeCell ref="A4030:C4030"/>
    <mergeCell ref="A4031:C4031"/>
    <mergeCell ref="A4032:C4032"/>
    <mergeCell ref="A4033:C4033"/>
    <mergeCell ref="A4034:C4034"/>
    <mergeCell ref="B4014:D4014"/>
    <mergeCell ref="B4015:D4015"/>
    <mergeCell ref="F4016:F4017"/>
    <mergeCell ref="A4035:C4035"/>
    <mergeCell ref="G3991:H3991"/>
    <mergeCell ref="B3982:D3982"/>
    <mergeCell ref="B3983:D3983"/>
    <mergeCell ref="B3984:D3984"/>
    <mergeCell ref="F3985:F3986"/>
    <mergeCell ref="B3992:D3992"/>
    <mergeCell ref="B3993:D3993"/>
    <mergeCell ref="B3994:D3994"/>
    <mergeCell ref="F3995:F3996"/>
    <mergeCell ref="G3995:J3995"/>
    <mergeCell ref="G3996:J3996"/>
    <mergeCell ref="C3990:D3990"/>
    <mergeCell ref="B3991:D3991"/>
    <mergeCell ref="G4016:J4016"/>
    <mergeCell ref="G4017:J4017"/>
    <mergeCell ref="C4010:D4010"/>
    <mergeCell ref="B4023:D4023"/>
    <mergeCell ref="F4024:F4025"/>
    <mergeCell ref="G4024:J4024"/>
    <mergeCell ref="G4025:J4025"/>
    <mergeCell ref="A4006:C4006"/>
    <mergeCell ref="D4008:L4008"/>
    <mergeCell ref="B3934:D3934"/>
    <mergeCell ref="A4000:C4000"/>
    <mergeCell ref="A4001:C4001"/>
    <mergeCell ref="A4002:C4002"/>
    <mergeCell ref="C4021:D4021"/>
    <mergeCell ref="B4022:D4022"/>
    <mergeCell ref="G4022:H4022"/>
    <mergeCell ref="B4013:D4013"/>
    <mergeCell ref="B3943:D3943"/>
    <mergeCell ref="I3943:J3943"/>
    <mergeCell ref="B3973:D3973"/>
    <mergeCell ref="G3973:H3973"/>
    <mergeCell ref="B3974:D3974"/>
    <mergeCell ref="F3975:F3976"/>
    <mergeCell ref="G3975:J3975"/>
    <mergeCell ref="G3976:J3976"/>
    <mergeCell ref="F3967:F3968"/>
    <mergeCell ref="A4003:C4003"/>
    <mergeCell ref="A4004:C4004"/>
    <mergeCell ref="A4005:C4005"/>
    <mergeCell ref="J4021:L4021"/>
    <mergeCell ref="I3951:J3951"/>
    <mergeCell ref="G3985:J3985"/>
    <mergeCell ref="G3986:J3986"/>
    <mergeCell ref="C3980:D3980"/>
    <mergeCell ref="B3981:D3981"/>
    <mergeCell ref="G3981:H3981"/>
    <mergeCell ref="D4001:L4001"/>
    <mergeCell ref="D4002:L4002"/>
    <mergeCell ref="D4003:L4003"/>
    <mergeCell ref="D4004:L4004"/>
    <mergeCell ref="D4005:L4005"/>
    <mergeCell ref="B3878:D3878"/>
    <mergeCell ref="B3965:D3965"/>
    <mergeCell ref="B3962:D3962"/>
    <mergeCell ref="B3963:D3963"/>
    <mergeCell ref="A3924:C3924"/>
    <mergeCell ref="B3921:D3921"/>
    <mergeCell ref="B3914:D3914"/>
    <mergeCell ref="B3915:D3915"/>
    <mergeCell ref="B3916:D3916"/>
    <mergeCell ref="F3917:F3918"/>
    <mergeCell ref="G3917:J3917"/>
    <mergeCell ref="B3902:D3902"/>
    <mergeCell ref="B3903:D3903"/>
    <mergeCell ref="B4011:D4011"/>
    <mergeCell ref="G4011:H4011"/>
    <mergeCell ref="B4012:D4012"/>
    <mergeCell ref="I3945:J3945"/>
    <mergeCell ref="B3946:D3946"/>
    <mergeCell ref="B3950:D3950"/>
    <mergeCell ref="A3925:C3925"/>
    <mergeCell ref="A3926:C3926"/>
    <mergeCell ref="A3930:C3930"/>
    <mergeCell ref="A3931:C3931"/>
    <mergeCell ref="B3947:D3947"/>
    <mergeCell ref="I3947:J3947"/>
    <mergeCell ref="I3939:J3939"/>
    <mergeCell ref="I3948:J3948"/>
    <mergeCell ref="B3949:L3949"/>
    <mergeCell ref="A3999:L3999"/>
    <mergeCell ref="D4000:L4000"/>
    <mergeCell ref="I3950:J3950"/>
    <mergeCell ref="B3951:D3951"/>
    <mergeCell ref="B3800:D3800"/>
    <mergeCell ref="B3831:D3831"/>
    <mergeCell ref="B3825:D3825"/>
    <mergeCell ref="I3825:J3825"/>
    <mergeCell ref="B3795:D3795"/>
    <mergeCell ref="G3795:H3795"/>
    <mergeCell ref="B3778:D3778"/>
    <mergeCell ref="B3876:D3876"/>
    <mergeCell ref="I3876:J3876"/>
    <mergeCell ref="B3901:D3901"/>
    <mergeCell ref="B3913:D3913"/>
    <mergeCell ref="B3899:D3899"/>
    <mergeCell ref="B3900:D3900"/>
    <mergeCell ref="B3912:D3912"/>
    <mergeCell ref="H3912:I3912"/>
    <mergeCell ref="A3908:D3908"/>
    <mergeCell ref="G3967:J3967"/>
    <mergeCell ref="F3905:F3906"/>
    <mergeCell ref="B3877:D3877"/>
    <mergeCell ref="I3877:J3877"/>
    <mergeCell ref="B3966:D3966"/>
    <mergeCell ref="B3957:D3957"/>
    <mergeCell ref="C3959:D3959"/>
    <mergeCell ref="B3960:D3960"/>
    <mergeCell ref="G3960:H3960"/>
    <mergeCell ref="B3952:D3952"/>
    <mergeCell ref="I3952:J3952"/>
    <mergeCell ref="B3953:D3953"/>
    <mergeCell ref="I3953:J3953"/>
    <mergeCell ref="B3954:D3954"/>
    <mergeCell ref="I3954:J3954"/>
    <mergeCell ref="B3945:D3945"/>
    <mergeCell ref="I3805:J3805"/>
    <mergeCell ref="B3806:D3806"/>
    <mergeCell ref="C3809:D3809"/>
    <mergeCell ref="F3832:F3833"/>
    <mergeCell ref="G3832:J3832"/>
    <mergeCell ref="G3833:J3833"/>
    <mergeCell ref="B3827:D3827"/>
    <mergeCell ref="C3829:D3829"/>
    <mergeCell ref="B3830:D3830"/>
    <mergeCell ref="G3830:H3830"/>
    <mergeCell ref="B3822:D3822"/>
    <mergeCell ref="I3822:J3822"/>
    <mergeCell ref="B3823:D3823"/>
    <mergeCell ref="I3823:J3823"/>
    <mergeCell ref="B3824:D3824"/>
    <mergeCell ref="I3824:J3824"/>
    <mergeCell ref="B3819:D3819"/>
    <mergeCell ref="I3819:J3819"/>
    <mergeCell ref="B3820:D3820"/>
    <mergeCell ref="I3820:J3820"/>
    <mergeCell ref="A3807:D3807"/>
    <mergeCell ref="B3754:D3754"/>
    <mergeCell ref="B3755:D3755"/>
    <mergeCell ref="B3756:D3756"/>
    <mergeCell ref="B3757:D3757"/>
    <mergeCell ref="B3758:D3758"/>
    <mergeCell ref="B3779:D3779"/>
    <mergeCell ref="B3780:D3780"/>
    <mergeCell ref="F3781:F3782"/>
    <mergeCell ref="G3781:J3781"/>
    <mergeCell ref="G3782:J3782"/>
    <mergeCell ref="B3821:D3821"/>
    <mergeCell ref="I3821:J3821"/>
    <mergeCell ref="B3814:D3814"/>
    <mergeCell ref="C3817:D3817"/>
    <mergeCell ref="B3818:D3818"/>
    <mergeCell ref="G3818:H3818"/>
    <mergeCell ref="I3818:J3818"/>
    <mergeCell ref="B3810:D3810"/>
    <mergeCell ref="G3810:H3810"/>
    <mergeCell ref="B3811:D3811"/>
    <mergeCell ref="F3812:F3813"/>
    <mergeCell ref="G3812:J3812"/>
    <mergeCell ref="G3813:J3813"/>
    <mergeCell ref="B3804:D3804"/>
    <mergeCell ref="C3802:D3802"/>
    <mergeCell ref="B3803:D3803"/>
    <mergeCell ref="G3803:H3803"/>
    <mergeCell ref="B3796:D3796"/>
    <mergeCell ref="F3797:F3798"/>
    <mergeCell ref="G3797:J3797"/>
    <mergeCell ref="G3798:J3798"/>
    <mergeCell ref="B3799:D3799"/>
    <mergeCell ref="A3766:C3766"/>
    <mergeCell ref="A3767:C3767"/>
    <mergeCell ref="A3768:C3768"/>
    <mergeCell ref="C3794:D3794"/>
    <mergeCell ref="B3740:D3740"/>
    <mergeCell ref="B3741:D3741"/>
    <mergeCell ref="B3742:D3742"/>
    <mergeCell ref="B3743:D3743"/>
    <mergeCell ref="C3736:D3736"/>
    <mergeCell ref="B3737:D3737"/>
    <mergeCell ref="G3737:H3737"/>
    <mergeCell ref="B3729:D3729"/>
    <mergeCell ref="G3729:H3729"/>
    <mergeCell ref="B3730:D3730"/>
    <mergeCell ref="F3731:F3732"/>
    <mergeCell ref="G3731:J3731"/>
    <mergeCell ref="G3732:J3732"/>
    <mergeCell ref="B3744:D3744"/>
    <mergeCell ref="B3745:D3745"/>
    <mergeCell ref="B3746:D3746"/>
    <mergeCell ref="B3747:D3747"/>
    <mergeCell ref="B3748:D3748"/>
    <mergeCell ref="B3749:D3749"/>
    <mergeCell ref="B3759:D3759"/>
    <mergeCell ref="I3759:J3759"/>
    <mergeCell ref="B3760:D3760"/>
    <mergeCell ref="I3760:J3760"/>
    <mergeCell ref="F3761:F3762"/>
    <mergeCell ref="G3761:J3761"/>
    <mergeCell ref="G3762:J3762"/>
    <mergeCell ref="B3752:D3752"/>
    <mergeCell ref="B3753:D3753"/>
    <mergeCell ref="C3728:D3728"/>
    <mergeCell ref="B3716:D3716"/>
    <mergeCell ref="C3719:D3719"/>
    <mergeCell ref="B3720:D3720"/>
    <mergeCell ref="G3720:H3720"/>
    <mergeCell ref="B3712:D3712"/>
    <mergeCell ref="G3712:H3712"/>
    <mergeCell ref="B3713:D3713"/>
    <mergeCell ref="F3714:F3715"/>
    <mergeCell ref="G3714:J3714"/>
    <mergeCell ref="G3715:J3715"/>
    <mergeCell ref="B3738:D3738"/>
    <mergeCell ref="B3739:D3739"/>
    <mergeCell ref="C3711:D3711"/>
    <mergeCell ref="B3701:D3701"/>
    <mergeCell ref="B3702:D3702"/>
    <mergeCell ref="B3703:D3703"/>
    <mergeCell ref="B3704:D3704"/>
    <mergeCell ref="B3705:D3705"/>
    <mergeCell ref="F3706:F3707"/>
    <mergeCell ref="B3693:D3693"/>
    <mergeCell ref="C3699:D3699"/>
    <mergeCell ref="B3700:D3700"/>
    <mergeCell ref="G3700:H3700"/>
    <mergeCell ref="B3722:D3722"/>
    <mergeCell ref="F3723:F3724"/>
    <mergeCell ref="G3723:J3723"/>
    <mergeCell ref="G3724:J3724"/>
    <mergeCell ref="B3692:D3692"/>
    <mergeCell ref="I3692:J3692"/>
    <mergeCell ref="B3684:D3684"/>
    <mergeCell ref="F3685:F3686"/>
    <mergeCell ref="G3685:J3685"/>
    <mergeCell ref="G3686:J3686"/>
    <mergeCell ref="C3690:D3690"/>
    <mergeCell ref="B3676:D3676"/>
    <mergeCell ref="B3678:D3678"/>
    <mergeCell ref="B3679:D3679"/>
    <mergeCell ref="B3680:D3680"/>
    <mergeCell ref="B3682:D3682"/>
    <mergeCell ref="B3683:D3683"/>
    <mergeCell ref="G3706:J3706"/>
    <mergeCell ref="G3707:J3707"/>
    <mergeCell ref="B3708:D3708"/>
    <mergeCell ref="B3721:D3721"/>
    <mergeCell ref="C3695:D3695"/>
    <mergeCell ref="J3695:L3695"/>
    <mergeCell ref="B3696:D3696"/>
    <mergeCell ref="G3696:H3696"/>
    <mergeCell ref="K3696:L3696"/>
    <mergeCell ref="B3697:D3697"/>
    <mergeCell ref="G3697:H3697"/>
    <mergeCell ref="C3673:D3673"/>
    <mergeCell ref="B3674:D3674"/>
    <mergeCell ref="G3674:H3674"/>
    <mergeCell ref="B3675:D3675"/>
    <mergeCell ref="B3666:D3666"/>
    <mergeCell ref="B3667:D3667"/>
    <mergeCell ref="F3668:F3669"/>
    <mergeCell ref="G3668:J3668"/>
    <mergeCell ref="G3669:J3669"/>
    <mergeCell ref="C3664:D3664"/>
    <mergeCell ref="B3665:D3665"/>
    <mergeCell ref="G3665:H3665"/>
    <mergeCell ref="B3691:D3691"/>
    <mergeCell ref="G3691:H3691"/>
    <mergeCell ref="I3691:J3691"/>
    <mergeCell ref="B3656:D3656"/>
    <mergeCell ref="G3656:H3656"/>
    <mergeCell ref="B3657:D3657"/>
    <mergeCell ref="B3658:D3658"/>
    <mergeCell ref="F3659:F3660"/>
    <mergeCell ref="G3659:J3659"/>
    <mergeCell ref="G3660:J3660"/>
    <mergeCell ref="B3681:D3681"/>
    <mergeCell ref="B3645:D3645"/>
    <mergeCell ref="F3646:F3647"/>
    <mergeCell ref="G3646:J3646"/>
    <mergeCell ref="G3647:J3647"/>
    <mergeCell ref="C3655:D3655"/>
    <mergeCell ref="C3643:D3643"/>
    <mergeCell ref="B3644:D3644"/>
    <mergeCell ref="G3644:H3644"/>
    <mergeCell ref="B3636:D3636"/>
    <mergeCell ref="G3636:H3636"/>
    <mergeCell ref="B3637:D3637"/>
    <mergeCell ref="F3638:F3639"/>
    <mergeCell ref="G3638:J3638"/>
    <mergeCell ref="G3639:J3639"/>
    <mergeCell ref="B3628:D3628"/>
    <mergeCell ref="F3630:F3631"/>
    <mergeCell ref="G3630:J3630"/>
    <mergeCell ref="G3631:J3631"/>
    <mergeCell ref="C3635:D3635"/>
    <mergeCell ref="G3652:H3652"/>
    <mergeCell ref="G3653:H3653"/>
    <mergeCell ref="A3654:L3654"/>
    <mergeCell ref="C3651:D3651"/>
    <mergeCell ref="J3651:L3651"/>
    <mergeCell ref="B3652:D3652"/>
    <mergeCell ref="K3652:L3652"/>
    <mergeCell ref="B3653:D3653"/>
    <mergeCell ref="C3624:D3624"/>
    <mergeCell ref="B3625:D3625"/>
    <mergeCell ref="G3625:H3625"/>
    <mergeCell ref="B3627:D3627"/>
    <mergeCell ref="B3617:D3617"/>
    <mergeCell ref="B3618:D3618"/>
    <mergeCell ref="F3619:F3620"/>
    <mergeCell ref="G3619:J3619"/>
    <mergeCell ref="G3620:J3620"/>
    <mergeCell ref="B3611:D3611"/>
    <mergeCell ref="B3612:D3612"/>
    <mergeCell ref="B3613:D3613"/>
    <mergeCell ref="B3614:D3614"/>
    <mergeCell ref="B3615:D3615"/>
    <mergeCell ref="B3616:D3616"/>
    <mergeCell ref="B3607:D3607"/>
    <mergeCell ref="C3609:D3609"/>
    <mergeCell ref="B3610:D3610"/>
    <mergeCell ref="G3610:H3610"/>
    <mergeCell ref="B3604:D3604"/>
    <mergeCell ref="I3604:J3604"/>
    <mergeCell ref="B3605:D3605"/>
    <mergeCell ref="I3605:J3605"/>
    <mergeCell ref="B3606:D3606"/>
    <mergeCell ref="I3606:J3606"/>
    <mergeCell ref="B3602:D3602"/>
    <mergeCell ref="G3602:H3602"/>
    <mergeCell ref="I3602:J3602"/>
    <mergeCell ref="B3603:D3603"/>
    <mergeCell ref="I3603:J3603"/>
    <mergeCell ref="F3596:F3597"/>
    <mergeCell ref="G3596:J3596"/>
    <mergeCell ref="G3597:J3597"/>
    <mergeCell ref="C3601:D3601"/>
    <mergeCell ref="B3591:D3591"/>
    <mergeCell ref="B3592:D3592"/>
    <mergeCell ref="B3593:D3593"/>
    <mergeCell ref="B3594:D3594"/>
    <mergeCell ref="B3595:D3595"/>
    <mergeCell ref="J3601:L3601"/>
    <mergeCell ref="C3588:D3588"/>
    <mergeCell ref="B3589:D3589"/>
    <mergeCell ref="G3589:H3589"/>
    <mergeCell ref="B3590:D3590"/>
    <mergeCell ref="B3581:D3581"/>
    <mergeCell ref="F3583:F3584"/>
    <mergeCell ref="G3583:J3583"/>
    <mergeCell ref="G3584:J3584"/>
    <mergeCell ref="C3578:D3578"/>
    <mergeCell ref="B3579:D3579"/>
    <mergeCell ref="G3579:H3579"/>
    <mergeCell ref="B3580:D3580"/>
    <mergeCell ref="B3574:D3574"/>
    <mergeCell ref="I3574:J3574"/>
    <mergeCell ref="B3575:D3575"/>
    <mergeCell ref="I3575:J3575"/>
    <mergeCell ref="B3576:D3576"/>
    <mergeCell ref="C3572:D3572"/>
    <mergeCell ref="B3573:D3573"/>
    <mergeCell ref="G3573:H3573"/>
    <mergeCell ref="I3573:J3573"/>
    <mergeCell ref="B3564:D3564"/>
    <mergeCell ref="B3565:D3565"/>
    <mergeCell ref="B3566:D3566"/>
    <mergeCell ref="F3567:F3568"/>
    <mergeCell ref="G3567:J3567"/>
    <mergeCell ref="G3568:J3568"/>
    <mergeCell ref="B3563:D3563"/>
    <mergeCell ref="G3563:H3563"/>
    <mergeCell ref="B3555:D3555"/>
    <mergeCell ref="G3555:H3555"/>
    <mergeCell ref="B3556:D3556"/>
    <mergeCell ref="F3557:F3558"/>
    <mergeCell ref="G3557:J3557"/>
    <mergeCell ref="G3558:J3558"/>
    <mergeCell ref="C3562:D3562"/>
    <mergeCell ref="J3572:L3572"/>
    <mergeCell ref="B3548:D3548"/>
    <mergeCell ref="F3549:F3550"/>
    <mergeCell ref="G3549:J3549"/>
    <mergeCell ref="G3550:J3550"/>
    <mergeCell ref="C3554:D3554"/>
    <mergeCell ref="B3547:D3547"/>
    <mergeCell ref="G3547:H3547"/>
    <mergeCell ref="B3539:D3539"/>
    <mergeCell ref="G3539:H3539"/>
    <mergeCell ref="B3540:D3540"/>
    <mergeCell ref="F3541:F3542"/>
    <mergeCell ref="G3541:J3541"/>
    <mergeCell ref="G3542:J3542"/>
    <mergeCell ref="F3533:F3534"/>
    <mergeCell ref="G3533:J3533"/>
    <mergeCell ref="G3534:J3534"/>
    <mergeCell ref="C3538:D3538"/>
    <mergeCell ref="B3530:D3530"/>
    <mergeCell ref="B3531:D3531"/>
    <mergeCell ref="B3532:D3532"/>
    <mergeCell ref="B3524:D3524"/>
    <mergeCell ref="I3524:J3524"/>
    <mergeCell ref="B3526:D3526"/>
    <mergeCell ref="C3528:D3528"/>
    <mergeCell ref="B3522:D3522"/>
    <mergeCell ref="G3522:H3522"/>
    <mergeCell ref="I3522:J3522"/>
    <mergeCell ref="B3523:D3523"/>
    <mergeCell ref="I3523:J3523"/>
    <mergeCell ref="B3543:D3543"/>
    <mergeCell ref="C3546:D3546"/>
    <mergeCell ref="F3516:F3517"/>
    <mergeCell ref="G3516:J3516"/>
    <mergeCell ref="G3517:J3517"/>
    <mergeCell ref="C3521:D3521"/>
    <mergeCell ref="J3521:L3521"/>
    <mergeCell ref="B3512:D3512"/>
    <mergeCell ref="G3512:H3512"/>
    <mergeCell ref="B3513:D3513"/>
    <mergeCell ref="B3514:D3514"/>
    <mergeCell ref="B3515:D3515"/>
    <mergeCell ref="F3506:F3507"/>
    <mergeCell ref="G3506:J3506"/>
    <mergeCell ref="G3507:J3507"/>
    <mergeCell ref="C3511:D3511"/>
    <mergeCell ref="B3529:D3529"/>
    <mergeCell ref="G3529:H3529"/>
    <mergeCell ref="B3501:D3501"/>
    <mergeCell ref="G3501:H3501"/>
    <mergeCell ref="B3502:D3502"/>
    <mergeCell ref="B3504:D3504"/>
    <mergeCell ref="B3505:D3505"/>
    <mergeCell ref="F3495:F3496"/>
    <mergeCell ref="G3495:J3495"/>
    <mergeCell ref="G3496:J3496"/>
    <mergeCell ref="C3500:D3500"/>
    <mergeCell ref="B3491:D3491"/>
    <mergeCell ref="G3491:H3491"/>
    <mergeCell ref="B3492:D3492"/>
    <mergeCell ref="B3493:D3493"/>
    <mergeCell ref="B3494:D3494"/>
    <mergeCell ref="B3503:D3503"/>
    <mergeCell ref="B3487:D3487"/>
    <mergeCell ref="I3487:J3487"/>
    <mergeCell ref="B3488:D3488"/>
    <mergeCell ref="C3490:D3490"/>
    <mergeCell ref="C3485:D3485"/>
    <mergeCell ref="B3486:D3486"/>
    <mergeCell ref="G3486:H3486"/>
    <mergeCell ref="I3486:J3486"/>
    <mergeCell ref="B3477:D3477"/>
    <mergeCell ref="B3478:D3478"/>
    <mergeCell ref="B3479:D3479"/>
    <mergeCell ref="F3480:F3481"/>
    <mergeCell ref="G3480:J3480"/>
    <mergeCell ref="G3481:J3481"/>
    <mergeCell ref="J3485:L3485"/>
    <mergeCell ref="C3475:D3475"/>
    <mergeCell ref="B3476:D3476"/>
    <mergeCell ref="G3476:H3476"/>
    <mergeCell ref="A3467:C3467"/>
    <mergeCell ref="A3468:C3468"/>
    <mergeCell ref="A3469:C3469"/>
    <mergeCell ref="A3470:C3470"/>
    <mergeCell ref="A3471:C3471"/>
    <mergeCell ref="A3472:C3472"/>
    <mergeCell ref="A3473:C3473"/>
    <mergeCell ref="A3465:C3465"/>
    <mergeCell ref="A3466:C3466"/>
    <mergeCell ref="A3464:L3464"/>
    <mergeCell ref="D3468:L3468"/>
    <mergeCell ref="D3469:L3469"/>
    <mergeCell ref="D3470:L3470"/>
    <mergeCell ref="D3471:L3471"/>
    <mergeCell ref="D3472:L3472"/>
    <mergeCell ref="D3473:L3473"/>
    <mergeCell ref="G3430:J3430"/>
    <mergeCell ref="G3431:J3431"/>
    <mergeCell ref="C3435:D3435"/>
    <mergeCell ref="G3385:H3385"/>
    <mergeCell ref="B3386:D3386"/>
    <mergeCell ref="B3388:D3388"/>
    <mergeCell ref="B3418:D3418"/>
    <mergeCell ref="F3420:F3421"/>
    <mergeCell ref="G3420:J3420"/>
    <mergeCell ref="G3421:J3421"/>
    <mergeCell ref="C3425:D3425"/>
    <mergeCell ref="C3415:D3415"/>
    <mergeCell ref="B3416:D3416"/>
    <mergeCell ref="G3416:H3416"/>
    <mergeCell ref="B3417:D3417"/>
    <mergeCell ref="B3408:D3408"/>
    <mergeCell ref="F3410:F3411"/>
    <mergeCell ref="G3410:J3410"/>
    <mergeCell ref="G3411:J3411"/>
    <mergeCell ref="C3405:D3405"/>
    <mergeCell ref="B3406:D3406"/>
    <mergeCell ref="G3406:H3406"/>
    <mergeCell ref="B3407:D3407"/>
    <mergeCell ref="F3390:F3391"/>
    <mergeCell ref="G3390:J3390"/>
    <mergeCell ref="G3391:J3391"/>
    <mergeCell ref="B3387:D3387"/>
    <mergeCell ref="B3385:D3385"/>
    <mergeCell ref="B3397:D3397"/>
    <mergeCell ref="B3398:D3398"/>
    <mergeCell ref="F3400:F3401"/>
    <mergeCell ref="G3400:J3400"/>
    <mergeCell ref="B3396:D3396"/>
    <mergeCell ref="G3396:H3396"/>
    <mergeCell ref="G3401:J3401"/>
    <mergeCell ref="B3367:D3367"/>
    <mergeCell ref="B3368:D3368"/>
    <mergeCell ref="B3369:D3369"/>
    <mergeCell ref="B3358:D3358"/>
    <mergeCell ref="F3360:F3361"/>
    <mergeCell ref="G3360:J3360"/>
    <mergeCell ref="G3361:J3361"/>
    <mergeCell ref="C3365:D3365"/>
    <mergeCell ref="C3355:D3355"/>
    <mergeCell ref="B3356:D3356"/>
    <mergeCell ref="G3356:H3356"/>
    <mergeCell ref="B3357:D3357"/>
    <mergeCell ref="B3381:D3381"/>
    <mergeCell ref="I3381:J3381"/>
    <mergeCell ref="B3382:D3382"/>
    <mergeCell ref="C3384:D3384"/>
    <mergeCell ref="C3379:D3379"/>
    <mergeCell ref="B3380:D3380"/>
    <mergeCell ref="G3380:H3380"/>
    <mergeCell ref="I3380:J3380"/>
    <mergeCell ref="B3370:D3370"/>
    <mergeCell ref="B3371:D3371"/>
    <mergeCell ref="B3372:D3372"/>
    <mergeCell ref="B3373:D3373"/>
    <mergeCell ref="F3374:F3375"/>
    <mergeCell ref="G3374:J3374"/>
    <mergeCell ref="G3375:J3375"/>
    <mergeCell ref="J3379:L3379"/>
    <mergeCell ref="C3395:D3395"/>
    <mergeCell ref="B3347:D3347"/>
    <mergeCell ref="B3348:D3348"/>
    <mergeCell ref="F3350:F3351"/>
    <mergeCell ref="G3350:J3350"/>
    <mergeCell ref="G3351:J3351"/>
    <mergeCell ref="C3345:D3345"/>
    <mergeCell ref="B3346:D3346"/>
    <mergeCell ref="G3346:H3346"/>
    <mergeCell ref="B3336:D3336"/>
    <mergeCell ref="B3337:D3337"/>
    <mergeCell ref="B3338:D3338"/>
    <mergeCell ref="F3340:F3341"/>
    <mergeCell ref="G3340:J3340"/>
    <mergeCell ref="G3341:J3341"/>
    <mergeCell ref="B3366:D3366"/>
    <mergeCell ref="G3366:H3366"/>
    <mergeCell ref="F3314:F3315"/>
    <mergeCell ref="G3314:J3314"/>
    <mergeCell ref="G3315:J3315"/>
    <mergeCell ref="B3321:D3321"/>
    <mergeCell ref="J3329:L3329"/>
    <mergeCell ref="K3330:L3330"/>
    <mergeCell ref="C3311:D3311"/>
    <mergeCell ref="B3312:D3312"/>
    <mergeCell ref="G3312:H3312"/>
    <mergeCell ref="C3334:D3334"/>
    <mergeCell ref="B3335:D3335"/>
    <mergeCell ref="G3335:H3335"/>
    <mergeCell ref="B3330:D3330"/>
    <mergeCell ref="I3330:J3330"/>
    <mergeCell ref="B3331:D3331"/>
    <mergeCell ref="I3331:J3331"/>
    <mergeCell ref="B3332:D3332"/>
    <mergeCell ref="B3322:D3322"/>
    <mergeCell ref="F3324:F3325"/>
    <mergeCell ref="G3324:J3324"/>
    <mergeCell ref="G3325:J3325"/>
    <mergeCell ref="C3329:D3329"/>
    <mergeCell ref="D3251:L3251"/>
    <mergeCell ref="B3299:D3299"/>
    <mergeCell ref="B3300:D3300"/>
    <mergeCell ref="B3301:D3301"/>
    <mergeCell ref="F3302:F3303"/>
    <mergeCell ref="G3302:J3302"/>
    <mergeCell ref="G3303:J3303"/>
    <mergeCell ref="B3295:D3295"/>
    <mergeCell ref="C3297:D3297"/>
    <mergeCell ref="B3298:D3298"/>
    <mergeCell ref="G3298:H3298"/>
    <mergeCell ref="B3293:D3293"/>
    <mergeCell ref="G3293:H3293"/>
    <mergeCell ref="I3293:J3293"/>
    <mergeCell ref="B3294:D3294"/>
    <mergeCell ref="I3294:J3294"/>
    <mergeCell ref="A3282:C3282"/>
    <mergeCell ref="A3283:C3283"/>
    <mergeCell ref="A3284:C3284"/>
    <mergeCell ref="F3277:F3278"/>
    <mergeCell ref="G3277:J3277"/>
    <mergeCell ref="G3278:J3278"/>
    <mergeCell ref="B3273:D3273"/>
    <mergeCell ref="G3273:H3273"/>
    <mergeCell ref="B3274:D3274"/>
    <mergeCell ref="B3275:D3275"/>
    <mergeCell ref="B3276:D3276"/>
    <mergeCell ref="B3269:D3269"/>
    <mergeCell ref="I3269:J3269"/>
    <mergeCell ref="B3270:D3270"/>
    <mergeCell ref="C3272:D3272"/>
    <mergeCell ref="A3225:C3225"/>
    <mergeCell ref="A3226:C3226"/>
    <mergeCell ref="D3225:L3225"/>
    <mergeCell ref="A3247:C3247"/>
    <mergeCell ref="A3248:C3248"/>
    <mergeCell ref="D3247:L3247"/>
    <mergeCell ref="A3249:C3249"/>
    <mergeCell ref="D3248:L3248"/>
    <mergeCell ref="A3250:C3250"/>
    <mergeCell ref="D3249:L3249"/>
    <mergeCell ref="A3251:C3251"/>
    <mergeCell ref="D3250:L3250"/>
    <mergeCell ref="A3252:C3252"/>
    <mergeCell ref="B3258:D3258"/>
    <mergeCell ref="G3258:H3258"/>
    <mergeCell ref="I3258:J3258"/>
    <mergeCell ref="B3259:D3259"/>
    <mergeCell ref="F3242:F3243"/>
    <mergeCell ref="G3242:J3242"/>
    <mergeCell ref="G3243:J3243"/>
    <mergeCell ref="B3237:D3237"/>
    <mergeCell ref="G3237:H3237"/>
    <mergeCell ref="B3238:D3238"/>
    <mergeCell ref="B3239:D3239"/>
    <mergeCell ref="B3240:D3240"/>
    <mergeCell ref="A3180:C3180"/>
    <mergeCell ref="D3179:L3179"/>
    <mergeCell ref="A3181:C3181"/>
    <mergeCell ref="D3180:L3180"/>
    <mergeCell ref="A3218:C3218"/>
    <mergeCell ref="A3222:C3222"/>
    <mergeCell ref="D3221:L3221"/>
    <mergeCell ref="A3223:C3223"/>
    <mergeCell ref="D3222:L3222"/>
    <mergeCell ref="A3224:C3224"/>
    <mergeCell ref="D3223:L3223"/>
    <mergeCell ref="A3219:C3219"/>
    <mergeCell ref="D3218:L3218"/>
    <mergeCell ref="A3220:C3220"/>
    <mergeCell ref="D3219:L3219"/>
    <mergeCell ref="A3221:C3221"/>
    <mergeCell ref="D3220:L3220"/>
    <mergeCell ref="B3212:D3212"/>
    <mergeCell ref="F3213:F3214"/>
    <mergeCell ref="G3213:J3213"/>
    <mergeCell ref="G3214:J3214"/>
    <mergeCell ref="B3208:D3208"/>
    <mergeCell ref="B3209:D3209"/>
    <mergeCell ref="B3210:D3210"/>
    <mergeCell ref="B3211:D3211"/>
    <mergeCell ref="B3202:D3202"/>
    <mergeCell ref="G3202:H3202"/>
    <mergeCell ref="B3203:D3203"/>
    <mergeCell ref="B3204:D3204"/>
    <mergeCell ref="B3207:D3207"/>
    <mergeCell ref="C3236:D3236"/>
    <mergeCell ref="C3228:D3228"/>
    <mergeCell ref="B3229:D3229"/>
    <mergeCell ref="G3229:H3229"/>
    <mergeCell ref="B3230:D3230"/>
    <mergeCell ref="F3231:F3232"/>
    <mergeCell ref="G3231:J3231"/>
    <mergeCell ref="G3232:J3232"/>
    <mergeCell ref="K3202:L3202"/>
    <mergeCell ref="A3217:L3217"/>
    <mergeCell ref="D3224:L3224"/>
    <mergeCell ref="D3226:L3226"/>
    <mergeCell ref="J3228:L3228"/>
    <mergeCell ref="K3229:L3229"/>
    <mergeCell ref="J3236:L3236"/>
    <mergeCell ref="B3205:D3205"/>
    <mergeCell ref="B3206:D3206"/>
    <mergeCell ref="B3195:D3195"/>
    <mergeCell ref="F3196:F3197"/>
    <mergeCell ref="G3196:J3196"/>
    <mergeCell ref="G3197:J3197"/>
    <mergeCell ref="C3201:D3201"/>
    <mergeCell ref="C3193:D3193"/>
    <mergeCell ref="B3194:D3194"/>
    <mergeCell ref="G3194:H3194"/>
    <mergeCell ref="B3185:D3185"/>
    <mergeCell ref="B3186:D3186"/>
    <mergeCell ref="B3187:D3187"/>
    <mergeCell ref="F3188:F3189"/>
    <mergeCell ref="G3188:J3188"/>
    <mergeCell ref="G3189:J3189"/>
    <mergeCell ref="J3193:L3193"/>
    <mergeCell ref="K3194:L3194"/>
    <mergeCell ref="J3201:L3201"/>
    <mergeCell ref="B3164:D3164"/>
    <mergeCell ref="C3183:D3183"/>
    <mergeCell ref="B3184:D3184"/>
    <mergeCell ref="G3184:H3184"/>
    <mergeCell ref="A3173:C3173"/>
    <mergeCell ref="A3174:C3174"/>
    <mergeCell ref="D3173:L3173"/>
    <mergeCell ref="A3175:C3175"/>
    <mergeCell ref="D3174:L3174"/>
    <mergeCell ref="A3176:C3176"/>
    <mergeCell ref="D3175:L3175"/>
    <mergeCell ref="A3177:C3177"/>
    <mergeCell ref="D3176:L3176"/>
    <mergeCell ref="A3178:C3178"/>
    <mergeCell ref="D3177:L3177"/>
    <mergeCell ref="A3179:C3179"/>
    <mergeCell ref="B3167:D3167"/>
    <mergeCell ref="F3168:F3169"/>
    <mergeCell ref="G3168:J3168"/>
    <mergeCell ref="G3169:J3169"/>
    <mergeCell ref="B3149:D3149"/>
    <mergeCell ref="B3150:D3150"/>
    <mergeCell ref="B3151:D3151"/>
    <mergeCell ref="F3152:F3153"/>
    <mergeCell ref="G3152:J3152"/>
    <mergeCell ref="G3153:J3153"/>
    <mergeCell ref="C3147:D3147"/>
    <mergeCell ref="B3148:D3148"/>
    <mergeCell ref="G3148:H3148"/>
    <mergeCell ref="A3095:C3095"/>
    <mergeCell ref="A3096:C3096"/>
    <mergeCell ref="D3095:L3095"/>
    <mergeCell ref="A3097:C3097"/>
    <mergeCell ref="D3096:L3096"/>
    <mergeCell ref="A3098:C3098"/>
    <mergeCell ref="D3097:L3097"/>
    <mergeCell ref="A3099:C3099"/>
    <mergeCell ref="D3098:L3098"/>
    <mergeCell ref="G3107:J3107"/>
    <mergeCell ref="C3101:D3101"/>
    <mergeCell ref="B3102:D3102"/>
    <mergeCell ref="G3102:H3102"/>
    <mergeCell ref="B3139:D3139"/>
    <mergeCell ref="B3140:D3140"/>
    <mergeCell ref="B3141:D3141"/>
    <mergeCell ref="F3142:F3143"/>
    <mergeCell ref="G3142:J3142"/>
    <mergeCell ref="G3143:J3143"/>
    <mergeCell ref="C3137:D3137"/>
    <mergeCell ref="B3138:D3138"/>
    <mergeCell ref="G3138:H3138"/>
    <mergeCell ref="B3123:D3123"/>
    <mergeCell ref="J3101:L3101"/>
    <mergeCell ref="K3102:L3102"/>
    <mergeCell ref="J3111:L3111"/>
    <mergeCell ref="B3125:D3125"/>
    <mergeCell ref="B3126:D3126"/>
    <mergeCell ref="B3127:D3127"/>
    <mergeCell ref="F3128:F3129"/>
    <mergeCell ref="G3128:J3128"/>
    <mergeCell ref="G3129:J3129"/>
    <mergeCell ref="C3121:D3121"/>
    <mergeCell ref="B3122:D3122"/>
    <mergeCell ref="G3122:H3122"/>
    <mergeCell ref="B3113:D3113"/>
    <mergeCell ref="B3114:D3114"/>
    <mergeCell ref="B3115:D3115"/>
    <mergeCell ref="F3116:F3117"/>
    <mergeCell ref="G3116:J3116"/>
    <mergeCell ref="G3117:J3117"/>
    <mergeCell ref="J3121:L3121"/>
    <mergeCell ref="K3122:L3122"/>
    <mergeCell ref="B3068:D3068"/>
    <mergeCell ref="G3068:H3068"/>
    <mergeCell ref="K3068:L3068"/>
    <mergeCell ref="B3069:D3069"/>
    <mergeCell ref="G3069:H3069"/>
    <mergeCell ref="A3070:L3070"/>
    <mergeCell ref="C3111:D3111"/>
    <mergeCell ref="B3077:D3077"/>
    <mergeCell ref="B3078:D3078"/>
    <mergeCell ref="B3079:D3079"/>
    <mergeCell ref="B3080:D3080"/>
    <mergeCell ref="B3081:D3081"/>
    <mergeCell ref="D3064:L3064"/>
    <mergeCell ref="B3076:D3076"/>
    <mergeCell ref="J3137:L3137"/>
    <mergeCell ref="K3138:L3138"/>
    <mergeCell ref="B3124:D3124"/>
    <mergeCell ref="C3133:D3133"/>
    <mergeCell ref="J3133:L3133"/>
    <mergeCell ref="B3134:D3134"/>
    <mergeCell ref="G3134:H3134"/>
    <mergeCell ref="K3134:L3134"/>
    <mergeCell ref="B3135:D3135"/>
    <mergeCell ref="G3135:H3135"/>
    <mergeCell ref="A3136:L3136"/>
    <mergeCell ref="G3106:J3106"/>
    <mergeCell ref="B3083:D3083"/>
    <mergeCell ref="B3084:D3084"/>
    <mergeCell ref="F3086:F3087"/>
    <mergeCell ref="G3086:J3086"/>
    <mergeCell ref="G3087:J3087"/>
    <mergeCell ref="D3099:L3099"/>
    <mergeCell ref="B3029:D3029"/>
    <mergeCell ref="F3019:F3020"/>
    <mergeCell ref="G3019:J3019"/>
    <mergeCell ref="G3020:J3020"/>
    <mergeCell ref="G3046:H3046"/>
    <mergeCell ref="B3047:D3047"/>
    <mergeCell ref="B3048:D3048"/>
    <mergeCell ref="F3040:F3041"/>
    <mergeCell ref="G3040:J3040"/>
    <mergeCell ref="G3041:J3041"/>
    <mergeCell ref="G3072:H3072"/>
    <mergeCell ref="B3073:D3073"/>
    <mergeCell ref="B3074:D3074"/>
    <mergeCell ref="B3075:D3075"/>
    <mergeCell ref="C3071:D3071"/>
    <mergeCell ref="C3045:D3045"/>
    <mergeCell ref="B3036:D3036"/>
    <mergeCell ref="G3036:H3036"/>
    <mergeCell ref="B3037:D3037"/>
    <mergeCell ref="B3038:D3038"/>
    <mergeCell ref="B3039:D3039"/>
    <mergeCell ref="A3057:C3057"/>
    <mergeCell ref="D3059:L3059"/>
    <mergeCell ref="A3061:C3061"/>
    <mergeCell ref="D3060:L3060"/>
    <mergeCell ref="A3062:C3062"/>
    <mergeCell ref="D3061:L3061"/>
    <mergeCell ref="A3063:C3063"/>
    <mergeCell ref="D3062:L3062"/>
    <mergeCell ref="A3064:C3064"/>
    <mergeCell ref="D3063:L3063"/>
    <mergeCell ref="A3065:C3065"/>
    <mergeCell ref="B3017:D3017"/>
    <mergeCell ref="B3018:D3018"/>
    <mergeCell ref="F3009:F3010"/>
    <mergeCell ref="G3009:J3009"/>
    <mergeCell ref="G3010:J3010"/>
    <mergeCell ref="C3014:D3014"/>
    <mergeCell ref="G2985:H2985"/>
    <mergeCell ref="B2986:D2986"/>
    <mergeCell ref="B2987:D2987"/>
    <mergeCell ref="C2984:D2984"/>
    <mergeCell ref="C3004:D3004"/>
    <mergeCell ref="F3052:F3053"/>
    <mergeCell ref="G3052:J3052"/>
    <mergeCell ref="G3053:J3053"/>
    <mergeCell ref="D2997:L2997"/>
    <mergeCell ref="A2999:C2999"/>
    <mergeCell ref="D2998:L2998"/>
    <mergeCell ref="A2994:C2994"/>
    <mergeCell ref="A2995:C2995"/>
    <mergeCell ref="D2994:L2994"/>
    <mergeCell ref="A2996:C2996"/>
    <mergeCell ref="A3000:C3000"/>
    <mergeCell ref="A2993:L2993"/>
    <mergeCell ref="D3002:L3002"/>
    <mergeCell ref="J3004:L3004"/>
    <mergeCell ref="D2999:L2999"/>
    <mergeCell ref="A3001:C3001"/>
    <mergeCell ref="D3000:L3000"/>
    <mergeCell ref="A3002:C3002"/>
    <mergeCell ref="B3026:D3026"/>
    <mergeCell ref="B3027:D3027"/>
    <mergeCell ref="B3028:D3028"/>
    <mergeCell ref="F2969:F2970"/>
    <mergeCell ref="G2969:J2969"/>
    <mergeCell ref="G2970:J2970"/>
    <mergeCell ref="B2988:D2988"/>
    <mergeCell ref="F2989:F2990"/>
    <mergeCell ref="G2989:J2989"/>
    <mergeCell ref="G2990:J2990"/>
    <mergeCell ref="B2985:D2985"/>
    <mergeCell ref="A2980:C2980"/>
    <mergeCell ref="A2981:C2981"/>
    <mergeCell ref="D2980:L2980"/>
    <mergeCell ref="A2982:C2982"/>
    <mergeCell ref="D2981:L2981"/>
    <mergeCell ref="A2974:C2974"/>
    <mergeCell ref="B3015:D3015"/>
    <mergeCell ref="G3015:H3015"/>
    <mergeCell ref="B3016:D3016"/>
    <mergeCell ref="C2945:D2945"/>
    <mergeCell ref="B2936:D2936"/>
    <mergeCell ref="G2936:H2936"/>
    <mergeCell ref="B2937:D2937"/>
    <mergeCell ref="B2938:D2938"/>
    <mergeCell ref="J2920:L2920"/>
    <mergeCell ref="A2919:L2919"/>
    <mergeCell ref="A2924:L2924"/>
    <mergeCell ref="J2925:L2925"/>
    <mergeCell ref="K2926:L2926"/>
    <mergeCell ref="C2935:D2935"/>
    <mergeCell ref="B2926:D2926"/>
    <mergeCell ref="G2926:H2926"/>
    <mergeCell ref="B2927:D2927"/>
    <mergeCell ref="D3001:L3001"/>
    <mergeCell ref="A2997:C2997"/>
    <mergeCell ref="D2996:L2996"/>
    <mergeCell ref="A2998:C2998"/>
    <mergeCell ref="B2963:D2963"/>
    <mergeCell ref="B2964:D2964"/>
    <mergeCell ref="B2965:D2965"/>
    <mergeCell ref="B2966:D2966"/>
    <mergeCell ref="B2967:D2967"/>
    <mergeCell ref="B2968:D2968"/>
    <mergeCell ref="B2959:D2959"/>
    <mergeCell ref="G2959:H2959"/>
    <mergeCell ref="B2960:D2960"/>
    <mergeCell ref="B2961:D2961"/>
    <mergeCell ref="B2962:D2962"/>
    <mergeCell ref="D2995:L2995"/>
    <mergeCell ref="A2979:C2979"/>
    <mergeCell ref="D2978:L2978"/>
    <mergeCell ref="J2881:L2881"/>
    <mergeCell ref="J2886:L2886"/>
    <mergeCell ref="J2849:L2849"/>
    <mergeCell ref="K2850:L2850"/>
    <mergeCell ref="K2855:L2855"/>
    <mergeCell ref="D2878:L2878"/>
    <mergeCell ref="B2921:D2921"/>
    <mergeCell ref="I2921:J2921"/>
    <mergeCell ref="F2940:F2941"/>
    <mergeCell ref="G2940:J2940"/>
    <mergeCell ref="G2941:J2941"/>
    <mergeCell ref="B2884:D2884"/>
    <mergeCell ref="C2886:D2886"/>
    <mergeCell ref="B2887:D2887"/>
    <mergeCell ref="G2887:H2887"/>
    <mergeCell ref="B2882:D2882"/>
    <mergeCell ref="I2882:J2882"/>
    <mergeCell ref="B2883:D2883"/>
    <mergeCell ref="I2883:J2883"/>
    <mergeCell ref="C2881:D2881"/>
    <mergeCell ref="A2875:C2875"/>
    <mergeCell ref="D2874:L2874"/>
    <mergeCell ref="A2876:C2876"/>
    <mergeCell ref="D2875:L2875"/>
    <mergeCell ref="A2877:C2877"/>
    <mergeCell ref="D2876:L2876"/>
    <mergeCell ref="A2878:C2878"/>
    <mergeCell ref="D2877:L2877"/>
    <mergeCell ref="A2879:C2879"/>
    <mergeCell ref="B2851:D2851"/>
    <mergeCell ref="I2851:J2851"/>
    <mergeCell ref="B2852:D2852"/>
    <mergeCell ref="C2854:D2854"/>
    <mergeCell ref="C2849:D2849"/>
    <mergeCell ref="B2850:D2850"/>
    <mergeCell ref="I2850:J2850"/>
    <mergeCell ref="B2861:D2861"/>
    <mergeCell ref="C2859:D2859"/>
    <mergeCell ref="B2860:D2860"/>
    <mergeCell ref="G2860:H2860"/>
    <mergeCell ref="B2855:D2855"/>
    <mergeCell ref="I2855:J2855"/>
    <mergeCell ref="B2856:D2856"/>
    <mergeCell ref="I2856:J2856"/>
    <mergeCell ref="B2857:D2857"/>
    <mergeCell ref="D2872:L2872"/>
    <mergeCell ref="A2874:C2874"/>
    <mergeCell ref="D2873:L2873"/>
    <mergeCell ref="B2862:D2862"/>
    <mergeCell ref="J2854:L2854"/>
    <mergeCell ref="J2859:L2859"/>
    <mergeCell ref="A2839:C2839"/>
    <mergeCell ref="A2840:C2840"/>
    <mergeCell ref="D2839:L2839"/>
    <mergeCell ref="A2841:C2841"/>
    <mergeCell ref="D2840:L2840"/>
    <mergeCell ref="A2842:C2842"/>
    <mergeCell ref="D2841:L2841"/>
    <mergeCell ref="A2843:C2843"/>
    <mergeCell ref="D2842:L2842"/>
    <mergeCell ref="A2844:C2844"/>
    <mergeCell ref="D2843:L2843"/>
    <mergeCell ref="A2845:C2845"/>
    <mergeCell ref="B2805:D2805"/>
    <mergeCell ref="I2805:J2805"/>
    <mergeCell ref="B2826:D2826"/>
    <mergeCell ref="B2827:D2827"/>
    <mergeCell ref="B2828:D2828"/>
    <mergeCell ref="B2829:D2829"/>
    <mergeCell ref="B2830:D2830"/>
    <mergeCell ref="C2823:D2823"/>
    <mergeCell ref="B2824:D2824"/>
    <mergeCell ref="G2824:H2824"/>
    <mergeCell ref="B2825:D2825"/>
    <mergeCell ref="B2820:D2820"/>
    <mergeCell ref="I2820:J2820"/>
    <mergeCell ref="B2821:D2821"/>
    <mergeCell ref="B2816:D2816"/>
    <mergeCell ref="C2818:D2818"/>
    <mergeCell ref="B2819:D2819"/>
    <mergeCell ref="I2819:J2819"/>
    <mergeCell ref="J2818:L2818"/>
    <mergeCell ref="A2812:L2812"/>
    <mergeCell ref="K2814:L2814"/>
    <mergeCell ref="K2819:L2819"/>
    <mergeCell ref="A2838:L2838"/>
    <mergeCell ref="C2813:D2813"/>
    <mergeCell ref="B2814:D2814"/>
    <mergeCell ref="I2814:J2814"/>
    <mergeCell ref="B2815:D2815"/>
    <mergeCell ref="I2815:J2815"/>
    <mergeCell ref="B2810:D2810"/>
    <mergeCell ref="I2810:J2810"/>
    <mergeCell ref="B2806:D2806"/>
    <mergeCell ref="C2808:D2808"/>
    <mergeCell ref="J2808:L2808"/>
    <mergeCell ref="B2809:D2809"/>
    <mergeCell ref="I2809:J2809"/>
    <mergeCell ref="K2809:L2809"/>
    <mergeCell ref="A2807:L2807"/>
    <mergeCell ref="B2811:D2811"/>
    <mergeCell ref="J2813:L2813"/>
    <mergeCell ref="B2831:D2831"/>
    <mergeCell ref="B2832:D2832"/>
    <mergeCell ref="B2833:D2833"/>
    <mergeCell ref="F2834:F2835"/>
    <mergeCell ref="G2834:J2834"/>
    <mergeCell ref="G2835:J2835"/>
    <mergeCell ref="C2803:D2803"/>
    <mergeCell ref="J2803:L2803"/>
    <mergeCell ref="B2804:D2804"/>
    <mergeCell ref="I2804:J2804"/>
    <mergeCell ref="B2797:D2797"/>
    <mergeCell ref="F2798:F2799"/>
    <mergeCell ref="G2798:J2798"/>
    <mergeCell ref="G2799:J2799"/>
    <mergeCell ref="B2794:D2794"/>
    <mergeCell ref="G2794:H2794"/>
    <mergeCell ref="K2794:L2794"/>
    <mergeCell ref="B2795:D2795"/>
    <mergeCell ref="B2796:D2796"/>
    <mergeCell ref="A2802:L2802"/>
    <mergeCell ref="F2788:F2789"/>
    <mergeCell ref="G2788:J2788"/>
    <mergeCell ref="G2789:J2789"/>
    <mergeCell ref="C2793:D2793"/>
    <mergeCell ref="J2793:L2793"/>
    <mergeCell ref="A2792:L2792"/>
    <mergeCell ref="K2804:L2804"/>
    <mergeCell ref="B2784:D2784"/>
    <mergeCell ref="G2784:H2784"/>
    <mergeCell ref="K2784:L2784"/>
    <mergeCell ref="B2785:D2785"/>
    <mergeCell ref="B2786:D2786"/>
    <mergeCell ref="B2787:D2787"/>
    <mergeCell ref="G2688:H2688"/>
    <mergeCell ref="B2684:D2684"/>
    <mergeCell ref="I2684:J2684"/>
    <mergeCell ref="B2685:D2685"/>
    <mergeCell ref="A2686:L2686"/>
    <mergeCell ref="J2755:L2755"/>
    <mergeCell ref="B2756:D2756"/>
    <mergeCell ref="G2756:H2756"/>
    <mergeCell ref="K2756:L2756"/>
    <mergeCell ref="F2778:F2779"/>
    <mergeCell ref="G2778:J2778"/>
    <mergeCell ref="G2779:J2779"/>
    <mergeCell ref="C2783:D2783"/>
    <mergeCell ref="J2783:L2783"/>
    <mergeCell ref="A2782:L2782"/>
    <mergeCell ref="B2774:D2774"/>
    <mergeCell ref="G2774:H2774"/>
    <mergeCell ref="K2774:L2774"/>
    <mergeCell ref="B2775:D2775"/>
    <mergeCell ref="B2776:D2776"/>
    <mergeCell ref="B2777:D2777"/>
    <mergeCell ref="F2768:F2769"/>
    <mergeCell ref="G2768:J2768"/>
    <mergeCell ref="G2769:J2769"/>
    <mergeCell ref="C2773:D2773"/>
    <mergeCell ref="J2773:L2773"/>
    <mergeCell ref="G2759:J2759"/>
    <mergeCell ref="C2763:D2763"/>
    <mergeCell ref="J2763:L2763"/>
    <mergeCell ref="C2755:D2755"/>
    <mergeCell ref="B2732:D2732"/>
    <mergeCell ref="B2670:D2670"/>
    <mergeCell ref="B2671:D2671"/>
    <mergeCell ref="F2672:F2673"/>
    <mergeCell ref="G2672:J2672"/>
    <mergeCell ref="G2673:J2673"/>
    <mergeCell ref="G2693:H2693"/>
    <mergeCell ref="K2693:L2693"/>
    <mergeCell ref="B2679:D2679"/>
    <mergeCell ref="G2679:H2679"/>
    <mergeCell ref="I2679:J2679"/>
    <mergeCell ref="B2680:D2680"/>
    <mergeCell ref="I2710:J2710"/>
    <mergeCell ref="B2713:D2713"/>
    <mergeCell ref="B2717:D2717"/>
    <mergeCell ref="B2718:D2718"/>
    <mergeCell ref="A2714:L2714"/>
    <mergeCell ref="B2706:D2706"/>
    <mergeCell ref="C2708:D2708"/>
    <mergeCell ref="J2708:L2708"/>
    <mergeCell ref="B2709:D2709"/>
    <mergeCell ref="I2709:J2709"/>
    <mergeCell ref="K2709:L2709"/>
    <mergeCell ref="B2711:D2711"/>
    <mergeCell ref="I2711:J2711"/>
    <mergeCell ref="C2682:D2682"/>
    <mergeCell ref="J2682:L2682"/>
    <mergeCell ref="I2712:J2712"/>
    <mergeCell ref="B2705:D2705"/>
    <mergeCell ref="I2705:J2705"/>
    <mergeCell ref="C2687:D2687"/>
    <mergeCell ref="J2687:L2687"/>
    <mergeCell ref="B2688:D2688"/>
    <mergeCell ref="B2704:D2704"/>
    <mergeCell ref="I2704:J2704"/>
    <mergeCell ref="K2704:L2704"/>
    <mergeCell ref="A2676:L2676"/>
    <mergeCell ref="A2681:L2681"/>
    <mergeCell ref="A2691:L2691"/>
    <mergeCell ref="A2702:L2702"/>
    <mergeCell ref="B2690:D2690"/>
    <mergeCell ref="C2703:D2703"/>
    <mergeCell ref="J2703:L2703"/>
    <mergeCell ref="B2694:D2694"/>
    <mergeCell ref="B2695:D2695"/>
    <mergeCell ref="B2697:D2697"/>
    <mergeCell ref="F2698:F2699"/>
    <mergeCell ref="B2696:D2696"/>
    <mergeCell ref="G2698:J2698"/>
    <mergeCell ref="G2699:J2699"/>
    <mergeCell ref="C2692:D2692"/>
    <mergeCell ref="J2692:L2692"/>
    <mergeCell ref="B2693:D2693"/>
    <mergeCell ref="C2677:D2677"/>
    <mergeCell ref="J2677:L2677"/>
    <mergeCell ref="B2678:D2678"/>
    <mergeCell ref="G2678:H2678"/>
    <mergeCell ref="I2678:J2678"/>
    <mergeCell ref="K2678:L2678"/>
    <mergeCell ref="I2688:J2688"/>
    <mergeCell ref="K2688:L2688"/>
    <mergeCell ref="B2683:D2683"/>
    <mergeCell ref="G2683:H2683"/>
    <mergeCell ref="I2683:J2683"/>
    <mergeCell ref="K2683:L2683"/>
    <mergeCell ref="C2667:D2667"/>
    <mergeCell ref="J2667:L2667"/>
    <mergeCell ref="B2668:D2668"/>
    <mergeCell ref="G2668:H2668"/>
    <mergeCell ref="K2668:L2668"/>
    <mergeCell ref="B2669:D2669"/>
    <mergeCell ref="B2664:D2664"/>
    <mergeCell ref="I2664:J2664"/>
    <mergeCell ref="B2665:D2665"/>
    <mergeCell ref="C2662:D2662"/>
    <mergeCell ref="J2662:L2662"/>
    <mergeCell ref="B2663:D2663"/>
    <mergeCell ref="I2663:J2663"/>
    <mergeCell ref="K2663:L2663"/>
    <mergeCell ref="B2631:D2631"/>
    <mergeCell ref="B2632:D2632"/>
    <mergeCell ref="F2632:F2633"/>
    <mergeCell ref="G2632:J2632"/>
    <mergeCell ref="G2633:J2633"/>
    <mergeCell ref="A2636:L2636"/>
    <mergeCell ref="A2641:L2641"/>
    <mergeCell ref="B2659:D2659"/>
    <mergeCell ref="I2659:J2659"/>
    <mergeCell ref="B2660:D2660"/>
    <mergeCell ref="A2661:L2661"/>
    <mergeCell ref="A2666:L2666"/>
    <mergeCell ref="B2658:D2658"/>
    <mergeCell ref="I2658:J2658"/>
    <mergeCell ref="K2658:L2658"/>
    <mergeCell ref="B2653:D2653"/>
    <mergeCell ref="I2653:J2653"/>
    <mergeCell ref="K2653:L2653"/>
    <mergeCell ref="B2654:D2654"/>
    <mergeCell ref="I2654:J2654"/>
    <mergeCell ref="B2655:D2655"/>
    <mergeCell ref="B2649:D2649"/>
    <mergeCell ref="I2649:J2649"/>
    <mergeCell ref="B2650:D2650"/>
    <mergeCell ref="C2652:D2652"/>
    <mergeCell ref="J2652:L2652"/>
    <mergeCell ref="C2657:D2657"/>
    <mergeCell ref="J2657:L2657"/>
    <mergeCell ref="A2656:L2656"/>
    <mergeCell ref="A2651:L2651"/>
    <mergeCell ref="B2645:D2645"/>
    <mergeCell ref="C2647:D2647"/>
    <mergeCell ref="J2647:L2647"/>
    <mergeCell ref="B2648:D2648"/>
    <mergeCell ref="I2648:J2648"/>
    <mergeCell ref="K2648:L2648"/>
    <mergeCell ref="C2642:D2642"/>
    <mergeCell ref="J2642:L2642"/>
    <mergeCell ref="B2643:D2643"/>
    <mergeCell ref="I2643:J2643"/>
    <mergeCell ref="K2643:L2643"/>
    <mergeCell ref="B2644:D2644"/>
    <mergeCell ref="I2644:J2644"/>
    <mergeCell ref="B2639:D2639"/>
    <mergeCell ref="I2639:J2639"/>
    <mergeCell ref="B2640:D2640"/>
    <mergeCell ref="C2637:D2637"/>
    <mergeCell ref="J2637:L2637"/>
    <mergeCell ref="B2638:D2638"/>
    <mergeCell ref="I2638:J2638"/>
    <mergeCell ref="K2638:L2638"/>
    <mergeCell ref="G2601:J2601"/>
    <mergeCell ref="G2602:J2602"/>
    <mergeCell ref="B2628:D2628"/>
    <mergeCell ref="G2628:H2628"/>
    <mergeCell ref="K2628:L2628"/>
    <mergeCell ref="B2629:D2629"/>
    <mergeCell ref="B2630:D2630"/>
    <mergeCell ref="G2622:J2622"/>
    <mergeCell ref="B2623:D2623"/>
    <mergeCell ref="G2623:J2623"/>
    <mergeCell ref="C2627:D2627"/>
    <mergeCell ref="J2627:L2627"/>
    <mergeCell ref="B2618:D2618"/>
    <mergeCell ref="B2619:D2619"/>
    <mergeCell ref="B2620:D2620"/>
    <mergeCell ref="B2621:D2621"/>
    <mergeCell ref="B2622:D2622"/>
    <mergeCell ref="F2622:F2623"/>
    <mergeCell ref="C2616:D2616"/>
    <mergeCell ref="J2616:L2616"/>
    <mergeCell ref="B2617:D2617"/>
    <mergeCell ref="G2617:H2617"/>
    <mergeCell ref="K2617:L2617"/>
    <mergeCell ref="A2626:L2626"/>
    <mergeCell ref="F2601:F2602"/>
    <mergeCell ref="A2615:L2615"/>
    <mergeCell ref="C2606:D2606"/>
    <mergeCell ref="J2606:L2606"/>
    <mergeCell ref="B2607:D2607"/>
    <mergeCell ref="G2607:H2607"/>
    <mergeCell ref="K2607:L2607"/>
    <mergeCell ref="A2605:L2605"/>
    <mergeCell ref="B2533:D2533"/>
    <mergeCell ref="B2534:D2534"/>
    <mergeCell ref="K2519:L2519"/>
    <mergeCell ref="C2565:D2565"/>
    <mergeCell ref="J2565:L2565"/>
    <mergeCell ref="B2566:D2566"/>
    <mergeCell ref="G2566:H2566"/>
    <mergeCell ref="I2566:J2566"/>
    <mergeCell ref="K2566:L2566"/>
    <mergeCell ref="F2560:F2561"/>
    <mergeCell ref="G2560:J2560"/>
    <mergeCell ref="G2561:J2561"/>
    <mergeCell ref="B2578:D2578"/>
    <mergeCell ref="B2579:D2579"/>
    <mergeCell ref="B2580:D2580"/>
    <mergeCell ref="F2581:F2582"/>
    <mergeCell ref="B2608:D2608"/>
    <mergeCell ref="G2581:J2581"/>
    <mergeCell ref="G2582:J2582"/>
    <mergeCell ref="C2596:D2596"/>
    <mergeCell ref="J2596:L2596"/>
    <mergeCell ref="B2597:D2597"/>
    <mergeCell ref="G2597:H2597"/>
    <mergeCell ref="K2597:L2597"/>
    <mergeCell ref="A2585:L2585"/>
    <mergeCell ref="A2525:L2525"/>
    <mergeCell ref="C2553:D2553"/>
    <mergeCell ref="A2540:L2540"/>
    <mergeCell ref="A2552:L2552"/>
    <mergeCell ref="B2542:D2542"/>
    <mergeCell ref="G2542:H2542"/>
    <mergeCell ref="K2542:L2542"/>
    <mergeCell ref="A2466:L2466"/>
    <mergeCell ref="C2531:D2531"/>
    <mergeCell ref="J2531:L2531"/>
    <mergeCell ref="B2532:D2532"/>
    <mergeCell ref="G2532:H2532"/>
    <mergeCell ref="K2532:L2532"/>
    <mergeCell ref="A2497:L2497"/>
    <mergeCell ref="A2498:C2498"/>
    <mergeCell ref="D2498:L2498"/>
    <mergeCell ref="A2499:C2499"/>
    <mergeCell ref="D2499:L2499"/>
    <mergeCell ref="A2500:C2500"/>
    <mergeCell ref="D2500:L2500"/>
    <mergeCell ref="A2501:C2501"/>
    <mergeCell ref="D2501:L2501"/>
    <mergeCell ref="A2502:C2502"/>
    <mergeCell ref="D2502:L2502"/>
    <mergeCell ref="A2503:C2503"/>
    <mergeCell ref="D2503:L2503"/>
    <mergeCell ref="B2528:D2528"/>
    <mergeCell ref="I2528:J2528"/>
    <mergeCell ref="D2506:L2506"/>
    <mergeCell ref="A2507:L2507"/>
    <mergeCell ref="A2517:L2517"/>
    <mergeCell ref="A2530:L2530"/>
    <mergeCell ref="B2529:D2529"/>
    <mergeCell ref="B2520:D2520"/>
    <mergeCell ref="F2521:F2522"/>
    <mergeCell ref="G2521:J2521"/>
    <mergeCell ref="G2522:J2522"/>
    <mergeCell ref="C2526:D2526"/>
    <mergeCell ref="J2526:L2526"/>
    <mergeCell ref="C2518:D2518"/>
    <mergeCell ref="J2518:L2518"/>
    <mergeCell ref="B2519:D2519"/>
    <mergeCell ref="G2519:H2519"/>
    <mergeCell ref="A2476:L2476"/>
    <mergeCell ref="C2541:D2541"/>
    <mergeCell ref="J2541:L2541"/>
    <mergeCell ref="B2492:D2492"/>
    <mergeCell ref="F2493:F2494"/>
    <mergeCell ref="G2493:J2493"/>
    <mergeCell ref="G2494:J2494"/>
    <mergeCell ref="B2510:D2510"/>
    <mergeCell ref="B2511:D2511"/>
    <mergeCell ref="B2512:D2512"/>
    <mergeCell ref="B2513:D2513"/>
    <mergeCell ref="F2513:F2514"/>
    <mergeCell ref="G2513:J2513"/>
    <mergeCell ref="G2514:J2514"/>
    <mergeCell ref="C2508:D2508"/>
    <mergeCell ref="J2508:L2508"/>
    <mergeCell ref="B2509:D2509"/>
    <mergeCell ref="G2509:H2509"/>
    <mergeCell ref="K2509:L2509"/>
    <mergeCell ref="B2527:D2527"/>
    <mergeCell ref="I2527:J2527"/>
    <mergeCell ref="K2527:L2527"/>
    <mergeCell ref="B2535:D2535"/>
    <mergeCell ref="B2536:D2536"/>
    <mergeCell ref="F2536:F2537"/>
    <mergeCell ref="G2536:J2536"/>
    <mergeCell ref="G2537:J2537"/>
    <mergeCell ref="A2504:C2504"/>
    <mergeCell ref="D2504:L2504"/>
    <mergeCell ref="A2505:C2505"/>
    <mergeCell ref="D2505:L2505"/>
    <mergeCell ref="A2506:C2506"/>
    <mergeCell ref="A2464:C2464"/>
    <mergeCell ref="D2464:L2464"/>
    <mergeCell ref="A2465:C2465"/>
    <mergeCell ref="D2465:L2465"/>
    <mergeCell ref="B2486:D2486"/>
    <mergeCell ref="B2487:D2487"/>
    <mergeCell ref="B2489:D2489"/>
    <mergeCell ref="B2490:D2490"/>
    <mergeCell ref="B2491:D2491"/>
    <mergeCell ref="C2482:D2482"/>
    <mergeCell ref="J2482:L2482"/>
    <mergeCell ref="B2483:D2483"/>
    <mergeCell ref="K2483:L2483"/>
    <mergeCell ref="B2484:D2484"/>
    <mergeCell ref="B2485:D2485"/>
    <mergeCell ref="B2479:D2479"/>
    <mergeCell ref="G2479:H2479"/>
    <mergeCell ref="I2479:J2479"/>
    <mergeCell ref="B2480:D2480"/>
    <mergeCell ref="A2481:L2481"/>
    <mergeCell ref="C2477:D2477"/>
    <mergeCell ref="J2477:L2477"/>
    <mergeCell ref="B2478:D2478"/>
    <mergeCell ref="G2478:H2478"/>
    <mergeCell ref="I2478:J2478"/>
    <mergeCell ref="K2478:L2478"/>
    <mergeCell ref="B2473:D2473"/>
    <mergeCell ref="I2473:J2473"/>
    <mergeCell ref="K2473:L2473"/>
    <mergeCell ref="B2474:D2474"/>
    <mergeCell ref="I2474:J2474"/>
    <mergeCell ref="B2475:D2475"/>
    <mergeCell ref="B2469:D2469"/>
    <mergeCell ref="I2469:J2469"/>
    <mergeCell ref="B2470:D2470"/>
    <mergeCell ref="C2472:D2472"/>
    <mergeCell ref="J2472:L2472"/>
    <mergeCell ref="C2467:D2467"/>
    <mergeCell ref="J2467:L2467"/>
    <mergeCell ref="B2468:D2468"/>
    <mergeCell ref="I2468:J2468"/>
    <mergeCell ref="K2468:L2468"/>
    <mergeCell ref="D2397:L2397"/>
    <mergeCell ref="A2456:L2456"/>
    <mergeCell ref="A2457:C2457"/>
    <mergeCell ref="D2457:L2457"/>
    <mergeCell ref="A2458:C2458"/>
    <mergeCell ref="D2458:L2458"/>
    <mergeCell ref="B2443:D2443"/>
    <mergeCell ref="B2444:D2444"/>
    <mergeCell ref="B2445:D2445"/>
    <mergeCell ref="B2446:D2446"/>
    <mergeCell ref="C2441:D2441"/>
    <mergeCell ref="J2441:L2441"/>
    <mergeCell ref="B2442:D2442"/>
    <mergeCell ref="G2442:H2442"/>
    <mergeCell ref="K2442:L2442"/>
    <mergeCell ref="A2440:L2440"/>
    <mergeCell ref="B2438:D2438"/>
    <mergeCell ref="I2438:J2438"/>
    <mergeCell ref="A2430:L2430"/>
    <mergeCell ref="A2398:C2398"/>
    <mergeCell ref="D2398:L2398"/>
    <mergeCell ref="B2439:D2439"/>
    <mergeCell ref="B2434:D2434"/>
    <mergeCell ref="C2436:D2436"/>
    <mergeCell ref="A2459:C2459"/>
    <mergeCell ref="D2459:L2459"/>
    <mergeCell ref="A2460:C2460"/>
    <mergeCell ref="D2460:L2460"/>
    <mergeCell ref="A2461:C2461"/>
    <mergeCell ref="D2461:L2461"/>
    <mergeCell ref="A2462:C2462"/>
    <mergeCell ref="D2462:L2462"/>
    <mergeCell ref="A2463:C2463"/>
    <mergeCell ref="D2463:L2463"/>
    <mergeCell ref="B2448:D2448"/>
    <mergeCell ref="B2449:D2449"/>
    <mergeCell ref="B2450:D2450"/>
    <mergeCell ref="B2451:D2451"/>
    <mergeCell ref="F2452:F2453"/>
    <mergeCell ref="G2452:J2452"/>
    <mergeCell ref="G2453:J2453"/>
    <mergeCell ref="J2436:L2436"/>
    <mergeCell ref="B2437:D2437"/>
    <mergeCell ref="I2437:J2437"/>
    <mergeCell ref="K2437:L2437"/>
    <mergeCell ref="C2415:D2415"/>
    <mergeCell ref="J2415:L2415"/>
    <mergeCell ref="B2416:D2416"/>
    <mergeCell ref="A2402:C2402"/>
    <mergeCell ref="A2403:L2403"/>
    <mergeCell ref="A2414:L2414"/>
    <mergeCell ref="B2432:D2432"/>
    <mergeCell ref="G2432:H2432"/>
    <mergeCell ref="I2432:J2432"/>
    <mergeCell ref="K2432:L2432"/>
    <mergeCell ref="B2433:D2433"/>
    <mergeCell ref="I2433:J2433"/>
    <mergeCell ref="A2435:L2435"/>
    <mergeCell ref="A2394:C2394"/>
    <mergeCell ref="D2394:L2394"/>
    <mergeCell ref="A2401:C2401"/>
    <mergeCell ref="D2401:L2401"/>
    <mergeCell ref="B2428:D2428"/>
    <mergeCell ref="I2428:J2428"/>
    <mergeCell ref="B2429:D2429"/>
    <mergeCell ref="C2431:D2431"/>
    <mergeCell ref="J2431:L2431"/>
    <mergeCell ref="C2426:D2426"/>
    <mergeCell ref="J2426:L2426"/>
    <mergeCell ref="B2427:D2427"/>
    <mergeCell ref="I2427:J2427"/>
    <mergeCell ref="K2427:L2427"/>
    <mergeCell ref="B2417:D2417"/>
    <mergeCell ref="B2418:D2418"/>
    <mergeCell ref="B2419:D2419"/>
    <mergeCell ref="B2420:D2420"/>
    <mergeCell ref="F2421:F2422"/>
    <mergeCell ref="G2421:J2421"/>
    <mergeCell ref="G2422:J2422"/>
    <mergeCell ref="G2416:H2416"/>
    <mergeCell ref="A2425:L2425"/>
    <mergeCell ref="K2416:L2416"/>
    <mergeCell ref="B2406:D2406"/>
    <mergeCell ref="B2407:D2407"/>
    <mergeCell ref="B2408:D2408"/>
    <mergeCell ref="B2409:D2409"/>
    <mergeCell ref="F2410:F2411"/>
    <mergeCell ref="G2410:J2410"/>
    <mergeCell ref="G2411:J2411"/>
    <mergeCell ref="C2404:D2404"/>
    <mergeCell ref="J2404:L2404"/>
    <mergeCell ref="B2405:D2405"/>
    <mergeCell ref="G2405:H2405"/>
    <mergeCell ref="K2405:L2405"/>
    <mergeCell ref="B2385:D2385"/>
    <mergeCell ref="B2386:D2386"/>
    <mergeCell ref="B2377:D2377"/>
    <mergeCell ref="I2377:J2377"/>
    <mergeCell ref="I2378:J2378"/>
    <mergeCell ref="B2380:D2380"/>
    <mergeCell ref="C2382:D2382"/>
    <mergeCell ref="J2382:L2382"/>
    <mergeCell ref="A2381:L2381"/>
    <mergeCell ref="B2391:D2391"/>
    <mergeCell ref="I2391:J2391"/>
    <mergeCell ref="B2388:D2388"/>
    <mergeCell ref="F2389:F2390"/>
    <mergeCell ref="G2389:J2389"/>
    <mergeCell ref="G2390:J2390"/>
    <mergeCell ref="B2383:D2383"/>
    <mergeCell ref="G2383:H2383"/>
    <mergeCell ref="K2383:L2383"/>
    <mergeCell ref="D2402:L2402"/>
    <mergeCell ref="D2400:L2400"/>
    <mergeCell ref="A2395:C2395"/>
    <mergeCell ref="D2395:L2395"/>
    <mergeCell ref="A2396:C2396"/>
    <mergeCell ref="D2396:L2396"/>
    <mergeCell ref="A2397:C2397"/>
    <mergeCell ref="B2376:D2376"/>
    <mergeCell ref="G2376:H2376"/>
    <mergeCell ref="I2376:J2376"/>
    <mergeCell ref="K2376:L2376"/>
    <mergeCell ref="B2368:D2368"/>
    <mergeCell ref="G2368:H2368"/>
    <mergeCell ref="K2368:L2368"/>
    <mergeCell ref="B2369:D2369"/>
    <mergeCell ref="F2370:F2371"/>
    <mergeCell ref="G2370:J2370"/>
    <mergeCell ref="G2371:J2371"/>
    <mergeCell ref="C2375:D2375"/>
    <mergeCell ref="J2375:L2375"/>
    <mergeCell ref="B2387:D2387"/>
    <mergeCell ref="I2387:J2387"/>
    <mergeCell ref="A2393:L2393"/>
    <mergeCell ref="B2384:D2384"/>
    <mergeCell ref="J2343:L2343"/>
    <mergeCell ref="B2354:D2354"/>
    <mergeCell ref="I2354:J2354"/>
    <mergeCell ref="I2363:J2363"/>
    <mergeCell ref="K2363:L2363"/>
    <mergeCell ref="B2359:D2359"/>
    <mergeCell ref="I2359:J2359"/>
    <mergeCell ref="B2360:D2360"/>
    <mergeCell ref="G2339:J2339"/>
    <mergeCell ref="G2338:J2338"/>
    <mergeCell ref="F2338:F2339"/>
    <mergeCell ref="C2343:D2343"/>
    <mergeCell ref="I2345:J2345"/>
    <mergeCell ref="B2337:E2337"/>
    <mergeCell ref="A2342:L2342"/>
    <mergeCell ref="A2347:L2347"/>
    <mergeCell ref="A2356:L2356"/>
    <mergeCell ref="B2349:D2349"/>
    <mergeCell ref="G2349:H2349"/>
    <mergeCell ref="K2349:L2349"/>
    <mergeCell ref="B2350:D2350"/>
    <mergeCell ref="G2350:H2350"/>
    <mergeCell ref="B2346:D2346"/>
    <mergeCell ref="C2352:D2352"/>
    <mergeCell ref="J2352:L2352"/>
    <mergeCell ref="B2353:D2353"/>
    <mergeCell ref="G2353:H2353"/>
    <mergeCell ref="I2353:J2353"/>
    <mergeCell ref="K2353:L2353"/>
    <mergeCell ref="B2344:D2344"/>
    <mergeCell ref="G2344:H2344"/>
    <mergeCell ref="I2344:J2344"/>
    <mergeCell ref="B2331:D2331"/>
    <mergeCell ref="B2332:D2332"/>
    <mergeCell ref="B2333:D2333"/>
    <mergeCell ref="B2334:D2334"/>
    <mergeCell ref="B2335:D2335"/>
    <mergeCell ref="B2336:D2336"/>
    <mergeCell ref="C2329:D2329"/>
    <mergeCell ref="J2329:L2329"/>
    <mergeCell ref="B2330:D2330"/>
    <mergeCell ref="G2330:H2330"/>
    <mergeCell ref="K2330:L2330"/>
    <mergeCell ref="A2315:L2315"/>
    <mergeCell ref="C2317:D2317"/>
    <mergeCell ref="J2317:L2317"/>
    <mergeCell ref="B2322:D2322"/>
    <mergeCell ref="B2327:D2327"/>
    <mergeCell ref="B2364:D2364"/>
    <mergeCell ref="I2364:J2364"/>
    <mergeCell ref="A2320:L2320"/>
    <mergeCell ref="C2325:D2325"/>
    <mergeCell ref="J2325:L2325"/>
    <mergeCell ref="C2362:D2362"/>
    <mergeCell ref="J2362:L2362"/>
    <mergeCell ref="B2363:D2363"/>
    <mergeCell ref="G2363:H2363"/>
    <mergeCell ref="C2357:D2357"/>
    <mergeCell ref="J2357:L2357"/>
    <mergeCell ref="B2358:D2358"/>
    <mergeCell ref="G2358:H2358"/>
    <mergeCell ref="I2358:J2358"/>
    <mergeCell ref="K2358:L2358"/>
    <mergeCell ref="A2361:L2361"/>
    <mergeCell ref="B2326:D2326"/>
    <mergeCell ref="A2316:L2316"/>
    <mergeCell ref="B2290:D2290"/>
    <mergeCell ref="I2290:J2290"/>
    <mergeCell ref="B2291:D2291"/>
    <mergeCell ref="I2291:J2291"/>
    <mergeCell ref="B2292:D2292"/>
    <mergeCell ref="I2292:J2292"/>
    <mergeCell ref="K2306:L2306"/>
    <mergeCell ref="A2308:L2308"/>
    <mergeCell ref="B2303:D2303"/>
    <mergeCell ref="G2303:H2303"/>
    <mergeCell ref="B2318:D2318"/>
    <mergeCell ref="G2318:H2318"/>
    <mergeCell ref="K2318:L2318"/>
    <mergeCell ref="B2319:D2319"/>
    <mergeCell ref="B2314:D2314"/>
    <mergeCell ref="G2314:I2314"/>
    <mergeCell ref="B2310:D2310"/>
    <mergeCell ref="G2310:H2310"/>
    <mergeCell ref="K2310:L2310"/>
    <mergeCell ref="B2311:D2311"/>
    <mergeCell ref="B2312:D2312"/>
    <mergeCell ref="G2319:H2319"/>
    <mergeCell ref="C2321:D2321"/>
    <mergeCell ref="J2321:L2321"/>
    <mergeCell ref="G2322:H2322"/>
    <mergeCell ref="K2322:L2322"/>
    <mergeCell ref="B2323:D2323"/>
    <mergeCell ref="G2323:H2323"/>
    <mergeCell ref="A2296:L2296"/>
    <mergeCell ref="G2326:H2326"/>
    <mergeCell ref="B2282:D2282"/>
    <mergeCell ref="I2282:J2282"/>
    <mergeCell ref="B2283:D2283"/>
    <mergeCell ref="I2283:J2283"/>
    <mergeCell ref="B2284:D2284"/>
    <mergeCell ref="I2284:J2284"/>
    <mergeCell ref="B2281:D2281"/>
    <mergeCell ref="G2281:H2281"/>
    <mergeCell ref="I2281:J2281"/>
    <mergeCell ref="K2281:L2281"/>
    <mergeCell ref="B2293:D2293"/>
    <mergeCell ref="I2293:J2293"/>
    <mergeCell ref="B2294:D2294"/>
    <mergeCell ref="B2295:D2295"/>
    <mergeCell ref="C2309:D2309"/>
    <mergeCell ref="J2309:L2309"/>
    <mergeCell ref="A2240:L2240"/>
    <mergeCell ref="F2255:F2256"/>
    <mergeCell ref="G2255:J2255"/>
    <mergeCell ref="G2256:J2256"/>
    <mergeCell ref="A2264:C2264"/>
    <mergeCell ref="D2264:L2264"/>
    <mergeCell ref="A2265:C2265"/>
    <mergeCell ref="D2265:L2265"/>
    <mergeCell ref="A2266:C2266"/>
    <mergeCell ref="D2266:L2266"/>
    <mergeCell ref="B2286:D2286"/>
    <mergeCell ref="C2288:D2288"/>
    <mergeCell ref="J2288:L2288"/>
    <mergeCell ref="B2289:D2289"/>
    <mergeCell ref="G2289:H2289"/>
    <mergeCell ref="I2289:J2289"/>
    <mergeCell ref="K2289:L2289"/>
    <mergeCell ref="A2287:L2287"/>
    <mergeCell ref="G2182:H2182"/>
    <mergeCell ref="B2276:D2276"/>
    <mergeCell ref="I2276:J2276"/>
    <mergeCell ref="B2277:D2277"/>
    <mergeCell ref="I2277:J2277"/>
    <mergeCell ref="B2278:D2278"/>
    <mergeCell ref="A2279:L2279"/>
    <mergeCell ref="A2236:C2236"/>
    <mergeCell ref="D2236:L2236"/>
    <mergeCell ref="A2237:C2237"/>
    <mergeCell ref="D2237:L2237"/>
    <mergeCell ref="A2238:C2238"/>
    <mergeCell ref="D2238:L2238"/>
    <mergeCell ref="A2239:C2239"/>
    <mergeCell ref="D2239:L2239"/>
    <mergeCell ref="C2274:D2274"/>
    <mergeCell ref="J2274:L2274"/>
    <mergeCell ref="B2275:D2275"/>
    <mergeCell ref="G2275:H2275"/>
    <mergeCell ref="I2275:J2275"/>
    <mergeCell ref="K2275:L2275"/>
    <mergeCell ref="A2261:C2261"/>
    <mergeCell ref="D2261:L2261"/>
    <mergeCell ref="A2262:C2262"/>
    <mergeCell ref="D2262:L2262"/>
    <mergeCell ref="A2263:C2263"/>
    <mergeCell ref="D2263:L2263"/>
    <mergeCell ref="G2242:H2242"/>
    <mergeCell ref="K2242:L2242"/>
    <mergeCell ref="B2243:D2243"/>
    <mergeCell ref="B2157:D2157"/>
    <mergeCell ref="B2158:D2158"/>
    <mergeCell ref="B2159:D2159"/>
    <mergeCell ref="B2160:D2160"/>
    <mergeCell ref="B2161:D2161"/>
    <mergeCell ref="B2162:D2162"/>
    <mergeCell ref="A2171:C2171"/>
    <mergeCell ref="D2171:L2171"/>
    <mergeCell ref="A2170:L2170"/>
    <mergeCell ref="B2164:D2164"/>
    <mergeCell ref="D2179:L2179"/>
    <mergeCell ref="C2280:D2280"/>
    <mergeCell ref="J2280:L2280"/>
    <mergeCell ref="A2172:C2172"/>
    <mergeCell ref="D2172:L2172"/>
    <mergeCell ref="A2173:C2173"/>
    <mergeCell ref="D2173:L2173"/>
    <mergeCell ref="B2189:D2189"/>
    <mergeCell ref="B2190:D2190"/>
    <mergeCell ref="B2191:D2191"/>
    <mergeCell ref="B2192:D2192"/>
    <mergeCell ref="B2193:D2193"/>
    <mergeCell ref="B2194:D2194"/>
    <mergeCell ref="B2183:D2183"/>
    <mergeCell ref="B2184:D2184"/>
    <mergeCell ref="B2185:D2185"/>
    <mergeCell ref="B2186:D2186"/>
    <mergeCell ref="B2187:D2187"/>
    <mergeCell ref="B2188:D2188"/>
    <mergeCell ref="C2181:D2181"/>
    <mergeCell ref="J2181:L2181"/>
    <mergeCell ref="B2182:D2182"/>
    <mergeCell ref="B2135:D2135"/>
    <mergeCell ref="B2136:D2136"/>
    <mergeCell ref="B2137:D2137"/>
    <mergeCell ref="B2138:D2138"/>
    <mergeCell ref="B2139:D2139"/>
    <mergeCell ref="F2140:F2141"/>
    <mergeCell ref="B2131:D2131"/>
    <mergeCell ref="G2131:H2131"/>
    <mergeCell ref="K2131:L2131"/>
    <mergeCell ref="B2132:D2132"/>
    <mergeCell ref="B2133:D2133"/>
    <mergeCell ref="B2134:D2134"/>
    <mergeCell ref="C2130:D2130"/>
    <mergeCell ref="J2130:L2130"/>
    <mergeCell ref="G2140:J2140"/>
    <mergeCell ref="G2141:J2141"/>
    <mergeCell ref="A2144:L2144"/>
    <mergeCell ref="A2148:C2148"/>
    <mergeCell ref="D2148:L2148"/>
    <mergeCell ref="A2145:C2145"/>
    <mergeCell ref="D2145:L2145"/>
    <mergeCell ref="A2146:C2146"/>
    <mergeCell ref="D2146:L2146"/>
    <mergeCell ref="A2147:C2147"/>
    <mergeCell ref="D2147:L2147"/>
    <mergeCell ref="B2163:D2163"/>
    <mergeCell ref="A2154:L2154"/>
    <mergeCell ref="A2149:C2149"/>
    <mergeCell ref="D2149:L2149"/>
    <mergeCell ref="A2150:C2150"/>
    <mergeCell ref="A2122:C2122"/>
    <mergeCell ref="D2122:L2122"/>
    <mergeCell ref="A2123:C2123"/>
    <mergeCell ref="D2123:L2123"/>
    <mergeCell ref="A2124:C2124"/>
    <mergeCell ref="D2124:L2124"/>
    <mergeCell ref="A2125:C2125"/>
    <mergeCell ref="A2128:C2128"/>
    <mergeCell ref="D2128:L2128"/>
    <mergeCell ref="A2129:L2129"/>
    <mergeCell ref="B2108:D2108"/>
    <mergeCell ref="B2109:D2109"/>
    <mergeCell ref="B2110:D2110"/>
    <mergeCell ref="B2111:D2111"/>
    <mergeCell ref="B2112:D2112"/>
    <mergeCell ref="B2113:D2113"/>
    <mergeCell ref="B2102:D2102"/>
    <mergeCell ref="B2103:D2103"/>
    <mergeCell ref="B2104:D2104"/>
    <mergeCell ref="B2105:D2105"/>
    <mergeCell ref="B2106:D2106"/>
    <mergeCell ref="B2107:D2107"/>
    <mergeCell ref="D2125:L2125"/>
    <mergeCell ref="A2126:C2126"/>
    <mergeCell ref="D2126:L2126"/>
    <mergeCell ref="A2127:C2127"/>
    <mergeCell ref="D2127:L2127"/>
    <mergeCell ref="A2120:C2120"/>
    <mergeCell ref="D2120:L2120"/>
    <mergeCell ref="A2121:C2121"/>
    <mergeCell ref="D2121:L2121"/>
    <mergeCell ref="B2114:D2114"/>
    <mergeCell ref="F2115:F2116"/>
    <mergeCell ref="G2115:J2115"/>
    <mergeCell ref="G2116:J2116"/>
    <mergeCell ref="A2119:L2119"/>
    <mergeCell ref="C2099:D2099"/>
    <mergeCell ref="J2099:L2099"/>
    <mergeCell ref="B2100:D2100"/>
    <mergeCell ref="G2100:H2100"/>
    <mergeCell ref="K2100:L2100"/>
    <mergeCell ref="B2101:D2101"/>
    <mergeCell ref="D2077:L2077"/>
    <mergeCell ref="A2078:C2078"/>
    <mergeCell ref="D2078:L2078"/>
    <mergeCell ref="B2094:D2094"/>
    <mergeCell ref="F2094:F2095"/>
    <mergeCell ref="G2094:J2094"/>
    <mergeCell ref="G2095:J2095"/>
    <mergeCell ref="B2088:D2088"/>
    <mergeCell ref="B2089:D2089"/>
    <mergeCell ref="B2090:D2090"/>
    <mergeCell ref="B2091:D2091"/>
    <mergeCell ref="B2092:D2092"/>
    <mergeCell ref="B2093:D2093"/>
    <mergeCell ref="B2082:D2082"/>
    <mergeCell ref="B2083:D2083"/>
    <mergeCell ref="B2084:D2084"/>
    <mergeCell ref="B2085:D2085"/>
    <mergeCell ref="B2086:D2086"/>
    <mergeCell ref="B2087:D2087"/>
    <mergeCell ref="A2079:L2079"/>
    <mergeCell ref="A2098:L2098"/>
    <mergeCell ref="B2061:D2061"/>
    <mergeCell ref="B2062:D2062"/>
    <mergeCell ref="B2063:D2063"/>
    <mergeCell ref="B2064:D2064"/>
    <mergeCell ref="F2065:F2066"/>
    <mergeCell ref="G2065:J2065"/>
    <mergeCell ref="G2066:J2066"/>
    <mergeCell ref="B2056:D2056"/>
    <mergeCell ref="B2057:D2057"/>
    <mergeCell ref="B2058:D2058"/>
    <mergeCell ref="B2059:D2059"/>
    <mergeCell ref="B2060:D2060"/>
    <mergeCell ref="A2073:C2073"/>
    <mergeCell ref="D2073:L2073"/>
    <mergeCell ref="C2080:D2080"/>
    <mergeCell ref="J2080:L2080"/>
    <mergeCell ref="B2081:D2081"/>
    <mergeCell ref="G2081:H2081"/>
    <mergeCell ref="K2081:L2081"/>
    <mergeCell ref="A2070:C2070"/>
    <mergeCell ref="D2070:L2070"/>
    <mergeCell ref="A2071:C2071"/>
    <mergeCell ref="D2071:L2071"/>
    <mergeCell ref="A2072:C2072"/>
    <mergeCell ref="D2072:L2072"/>
    <mergeCell ref="A2074:C2074"/>
    <mergeCell ref="D2074:L2074"/>
    <mergeCell ref="A2075:C2075"/>
    <mergeCell ref="D2075:L2075"/>
    <mergeCell ref="A2076:C2076"/>
    <mergeCell ref="D2076:L2076"/>
    <mergeCell ref="A2077:C2077"/>
    <mergeCell ref="B2052:D2052"/>
    <mergeCell ref="G2052:H2052"/>
    <mergeCell ref="K2052:L2052"/>
    <mergeCell ref="B2053:D2053"/>
    <mergeCell ref="B2054:D2054"/>
    <mergeCell ref="B2055:D2055"/>
    <mergeCell ref="B2047:D2047"/>
    <mergeCell ref="I2047:J2047"/>
    <mergeCell ref="B2049:D2049"/>
    <mergeCell ref="C2051:D2051"/>
    <mergeCell ref="J2051:L2051"/>
    <mergeCell ref="B2044:D2044"/>
    <mergeCell ref="I2044:J2044"/>
    <mergeCell ref="B2045:D2045"/>
    <mergeCell ref="I2045:J2045"/>
    <mergeCell ref="B2046:D2046"/>
    <mergeCell ref="I2046:J2046"/>
    <mergeCell ref="A2050:L2050"/>
    <mergeCell ref="B2040:D2040"/>
    <mergeCell ref="C2042:D2042"/>
    <mergeCell ref="J2042:L2042"/>
    <mergeCell ref="B2043:D2043"/>
    <mergeCell ref="G2043:H2043"/>
    <mergeCell ref="I2043:J2043"/>
    <mergeCell ref="K2043:L2043"/>
    <mergeCell ref="B2036:D2036"/>
    <mergeCell ref="I2036:J2036"/>
    <mergeCell ref="B2037:D2037"/>
    <mergeCell ref="I2037:J2037"/>
    <mergeCell ref="B2038:D2038"/>
    <mergeCell ref="I2038:J2038"/>
    <mergeCell ref="B2034:D2034"/>
    <mergeCell ref="G2034:H2034"/>
    <mergeCell ref="I2034:J2034"/>
    <mergeCell ref="K2034:L2034"/>
    <mergeCell ref="B2035:D2035"/>
    <mergeCell ref="I2035:J2035"/>
    <mergeCell ref="A2041:L2041"/>
    <mergeCell ref="B2014:D2014"/>
    <mergeCell ref="B2015:D2015"/>
    <mergeCell ref="F2016:F2017"/>
    <mergeCell ref="C2009:D2009"/>
    <mergeCell ref="J2009:L2009"/>
    <mergeCell ref="B2010:D2010"/>
    <mergeCell ref="G2010:H2010"/>
    <mergeCell ref="K2010:L2010"/>
    <mergeCell ref="G2028:J2028"/>
    <mergeCell ref="G2029:J2029"/>
    <mergeCell ref="B2030:D2030"/>
    <mergeCell ref="C2033:D2033"/>
    <mergeCell ref="J2033:L2033"/>
    <mergeCell ref="B2023:D2023"/>
    <mergeCell ref="B2024:D2024"/>
    <mergeCell ref="B2025:D2025"/>
    <mergeCell ref="B2026:D2026"/>
    <mergeCell ref="B2027:D2027"/>
    <mergeCell ref="F2028:F2029"/>
    <mergeCell ref="G2016:J2016"/>
    <mergeCell ref="G2017:J2017"/>
    <mergeCell ref="C2021:D2021"/>
    <mergeCell ref="J2021:L2021"/>
    <mergeCell ref="B2022:D2022"/>
    <mergeCell ref="G2022:H2022"/>
    <mergeCell ref="K2022:L2022"/>
    <mergeCell ref="A2020:L2020"/>
    <mergeCell ref="A2032:L2032"/>
    <mergeCell ref="B2018:D2018"/>
    <mergeCell ref="B2028:D2028"/>
    <mergeCell ref="A1985:C1985"/>
    <mergeCell ref="D1985:L1985"/>
    <mergeCell ref="A1986:L1986"/>
    <mergeCell ref="A1999:C1999"/>
    <mergeCell ref="D1999:L1999"/>
    <mergeCell ref="B1989:D1989"/>
    <mergeCell ref="B1990:D1990"/>
    <mergeCell ref="B1992:D1992"/>
    <mergeCell ref="B1993:D1993"/>
    <mergeCell ref="F1994:F1995"/>
    <mergeCell ref="G1994:J1994"/>
    <mergeCell ref="G1995:J1995"/>
    <mergeCell ref="B1991:D1991"/>
    <mergeCell ref="A1998:L1998"/>
    <mergeCell ref="B2011:D2011"/>
    <mergeCell ref="B2012:D2012"/>
    <mergeCell ref="B2013:D2013"/>
    <mergeCell ref="A2002:C2002"/>
    <mergeCell ref="D2002:L2002"/>
    <mergeCell ref="A2003:C2003"/>
    <mergeCell ref="D2003:L2003"/>
    <mergeCell ref="A2004:C2004"/>
    <mergeCell ref="D2004:L2004"/>
    <mergeCell ref="A2005:C2005"/>
    <mergeCell ref="D2005:L2005"/>
    <mergeCell ref="A2006:C2006"/>
    <mergeCell ref="D2006:L2006"/>
    <mergeCell ref="A2007:C2007"/>
    <mergeCell ref="D2007:L2007"/>
    <mergeCell ref="A2008:L2008"/>
    <mergeCell ref="B1970:D1970"/>
    <mergeCell ref="F1972:F1973"/>
    <mergeCell ref="G1972:J1972"/>
    <mergeCell ref="G1973:J1973"/>
    <mergeCell ref="C1966:D1966"/>
    <mergeCell ref="J1966:L1966"/>
    <mergeCell ref="B1967:D1967"/>
    <mergeCell ref="G1967:H1967"/>
    <mergeCell ref="K1967:L1967"/>
    <mergeCell ref="B1968:D1968"/>
    <mergeCell ref="C1987:D1987"/>
    <mergeCell ref="J1987:L1987"/>
    <mergeCell ref="B1988:D1988"/>
    <mergeCell ref="G1988:H1988"/>
    <mergeCell ref="K1988:L1988"/>
    <mergeCell ref="A1978:C1978"/>
    <mergeCell ref="D1978:L1978"/>
    <mergeCell ref="A1979:C1979"/>
    <mergeCell ref="D1979:L1979"/>
    <mergeCell ref="A1980:C1980"/>
    <mergeCell ref="D1980:L1980"/>
    <mergeCell ref="A1977:C1977"/>
    <mergeCell ref="D1977:L1977"/>
    <mergeCell ref="A1976:L1976"/>
    <mergeCell ref="A1981:C1981"/>
    <mergeCell ref="D1981:L1981"/>
    <mergeCell ref="A1982:C1982"/>
    <mergeCell ref="D1982:L1982"/>
    <mergeCell ref="A1983:C1983"/>
    <mergeCell ref="D1983:L1983"/>
    <mergeCell ref="A1984:C1984"/>
    <mergeCell ref="D1984:L1984"/>
    <mergeCell ref="B1946:D1946"/>
    <mergeCell ref="B1947:D1947"/>
    <mergeCell ref="B1948:D1948"/>
    <mergeCell ref="F1939:F1940"/>
    <mergeCell ref="G1939:J1939"/>
    <mergeCell ref="G1940:J1940"/>
    <mergeCell ref="C1944:D1944"/>
    <mergeCell ref="J1944:L1944"/>
    <mergeCell ref="B1935:D1935"/>
    <mergeCell ref="G1935:H1935"/>
    <mergeCell ref="K1935:L1935"/>
    <mergeCell ref="B1936:D1936"/>
    <mergeCell ref="B1937:D1937"/>
    <mergeCell ref="B1938:D1938"/>
    <mergeCell ref="B1959:D1959"/>
    <mergeCell ref="B1960:D1960"/>
    <mergeCell ref="F1961:F1962"/>
    <mergeCell ref="G1961:J1961"/>
    <mergeCell ref="G1962:J1962"/>
    <mergeCell ref="C1957:D1957"/>
    <mergeCell ref="J1957:L1957"/>
    <mergeCell ref="B1958:D1958"/>
    <mergeCell ref="G1958:H1958"/>
    <mergeCell ref="K1958:L1958"/>
    <mergeCell ref="B1949:D1949"/>
    <mergeCell ref="B1950:D1950"/>
    <mergeCell ref="B1951:D1951"/>
    <mergeCell ref="F1952:F1953"/>
    <mergeCell ref="G1952:J1952"/>
    <mergeCell ref="G1953:J1953"/>
    <mergeCell ref="A1956:L1956"/>
    <mergeCell ref="B1931:D1931"/>
    <mergeCell ref="B1932:D1932"/>
    <mergeCell ref="C1934:D1934"/>
    <mergeCell ref="J1934:L1934"/>
    <mergeCell ref="B1928:D1928"/>
    <mergeCell ref="I1928:J1928"/>
    <mergeCell ref="B1929:D1929"/>
    <mergeCell ref="I1929:J1929"/>
    <mergeCell ref="B1930:D1930"/>
    <mergeCell ref="I1930:J1930"/>
    <mergeCell ref="B1926:D1926"/>
    <mergeCell ref="G1926:H1926"/>
    <mergeCell ref="I1926:J1926"/>
    <mergeCell ref="K1926:L1926"/>
    <mergeCell ref="B1927:D1927"/>
    <mergeCell ref="I1927:J1927"/>
    <mergeCell ref="B1945:D1945"/>
    <mergeCell ref="G1945:H1945"/>
    <mergeCell ref="K1945:L1945"/>
    <mergeCell ref="A1933:L1933"/>
    <mergeCell ref="A1943:L1943"/>
    <mergeCell ref="B1922:D1922"/>
    <mergeCell ref="I1922:J1922"/>
    <mergeCell ref="B1923:D1923"/>
    <mergeCell ref="A1919:L1919"/>
    <mergeCell ref="C1925:D1925"/>
    <mergeCell ref="J1925:L1925"/>
    <mergeCell ref="G1915:J1915"/>
    <mergeCell ref="G1916:J1916"/>
    <mergeCell ref="C1920:D1920"/>
    <mergeCell ref="J1920:L1920"/>
    <mergeCell ref="B1921:D1921"/>
    <mergeCell ref="G1921:H1921"/>
    <mergeCell ref="I1921:J1921"/>
    <mergeCell ref="K1921:L1921"/>
    <mergeCell ref="B1910:D1910"/>
    <mergeCell ref="B1911:D1911"/>
    <mergeCell ref="B1912:D1912"/>
    <mergeCell ref="B1913:D1913"/>
    <mergeCell ref="B1914:D1914"/>
    <mergeCell ref="F1915:F1916"/>
    <mergeCell ref="A1924:L1924"/>
    <mergeCell ref="B1905:D1905"/>
    <mergeCell ref="A1893:L1893"/>
    <mergeCell ref="B1906:D1906"/>
    <mergeCell ref="C1908:D1908"/>
    <mergeCell ref="J1908:L1908"/>
    <mergeCell ref="B1909:D1909"/>
    <mergeCell ref="G1909:H1909"/>
    <mergeCell ref="K1909:L1909"/>
    <mergeCell ref="B1899:D1899"/>
    <mergeCell ref="B1900:D1900"/>
    <mergeCell ref="B1901:D1901"/>
    <mergeCell ref="B1902:D1902"/>
    <mergeCell ref="F1903:F1904"/>
    <mergeCell ref="G1903:J1903"/>
    <mergeCell ref="G1904:J1904"/>
    <mergeCell ref="B1895:D1895"/>
    <mergeCell ref="G1895:H1895"/>
    <mergeCell ref="K1895:L1895"/>
    <mergeCell ref="B1896:D1896"/>
    <mergeCell ref="B1897:D1897"/>
    <mergeCell ref="B1898:D1898"/>
    <mergeCell ref="A1907:L1907"/>
    <mergeCell ref="B1869:D1869"/>
    <mergeCell ref="G1869:H1869"/>
    <mergeCell ref="K1869:L1869"/>
    <mergeCell ref="A1867:L1867"/>
    <mergeCell ref="F1889:F1890"/>
    <mergeCell ref="G1889:J1889"/>
    <mergeCell ref="G1890:J1890"/>
    <mergeCell ref="C1894:D1894"/>
    <mergeCell ref="J1894:L1894"/>
    <mergeCell ref="B1884:D1884"/>
    <mergeCell ref="B1885:D1885"/>
    <mergeCell ref="B1886:D1886"/>
    <mergeCell ref="B1887:D1887"/>
    <mergeCell ref="B1888:D1888"/>
    <mergeCell ref="C1882:D1882"/>
    <mergeCell ref="J1882:L1882"/>
    <mergeCell ref="B1883:D1883"/>
    <mergeCell ref="G1883:H1883"/>
    <mergeCell ref="K1883:L1883"/>
    <mergeCell ref="B1892:D1892"/>
    <mergeCell ref="B1879:D1879"/>
    <mergeCell ref="G1842:J1842"/>
    <mergeCell ref="G1843:J1843"/>
    <mergeCell ref="C1836:D1836"/>
    <mergeCell ref="J1836:L1836"/>
    <mergeCell ref="B1837:D1837"/>
    <mergeCell ref="G1837:H1837"/>
    <mergeCell ref="K1837:L1837"/>
    <mergeCell ref="B1860:D1860"/>
    <mergeCell ref="B1861:D1861"/>
    <mergeCell ref="B1862:D1862"/>
    <mergeCell ref="F1863:F1864"/>
    <mergeCell ref="G1863:J1863"/>
    <mergeCell ref="G1864:J1864"/>
    <mergeCell ref="C1858:D1858"/>
    <mergeCell ref="J1858:L1858"/>
    <mergeCell ref="B1859:D1859"/>
    <mergeCell ref="G1859:H1859"/>
    <mergeCell ref="K1859:L1859"/>
    <mergeCell ref="B1849:D1849"/>
    <mergeCell ref="B1850:D1850"/>
    <mergeCell ref="B1851:D1851"/>
    <mergeCell ref="B1852:D1852"/>
    <mergeCell ref="F1853:F1854"/>
    <mergeCell ref="G1853:J1853"/>
    <mergeCell ref="G1854:J1854"/>
    <mergeCell ref="A1857:L1857"/>
    <mergeCell ref="G1848:H1848"/>
    <mergeCell ref="K1848:L1848"/>
    <mergeCell ref="B1838:D1838"/>
    <mergeCell ref="B1839:D1839"/>
    <mergeCell ref="A1846:L1846"/>
    <mergeCell ref="B1827:D1827"/>
    <mergeCell ref="B1828:D1828"/>
    <mergeCell ref="B1829:D1829"/>
    <mergeCell ref="B1830:D1830"/>
    <mergeCell ref="F1831:F1832"/>
    <mergeCell ref="G1831:J1831"/>
    <mergeCell ref="G1832:J1832"/>
    <mergeCell ref="B1826:D1826"/>
    <mergeCell ref="G1826:H1826"/>
    <mergeCell ref="K1826:L1826"/>
    <mergeCell ref="C1815:D1815"/>
    <mergeCell ref="J1815:L1815"/>
    <mergeCell ref="B1816:D1816"/>
    <mergeCell ref="G1816:H1816"/>
    <mergeCell ref="K1816:L1816"/>
    <mergeCell ref="B1817:D1817"/>
    <mergeCell ref="B1818:D1818"/>
    <mergeCell ref="B1819:D1819"/>
    <mergeCell ref="F1820:F1821"/>
    <mergeCell ref="G1820:J1820"/>
    <mergeCell ref="G1783:J1783"/>
    <mergeCell ref="G1784:J1784"/>
    <mergeCell ref="B1758:D1758"/>
    <mergeCell ref="B1759:D1759"/>
    <mergeCell ref="B1760:D1760"/>
    <mergeCell ref="B1761:D1761"/>
    <mergeCell ref="F1763:F1764"/>
    <mergeCell ref="G1763:J1763"/>
    <mergeCell ref="G1764:J1764"/>
    <mergeCell ref="B1754:D1754"/>
    <mergeCell ref="A1750:L1750"/>
    <mergeCell ref="C1756:D1756"/>
    <mergeCell ref="J1756:L1756"/>
    <mergeCell ref="K1757:L1757"/>
    <mergeCell ref="C1778:D1778"/>
    <mergeCell ref="J1778:L1778"/>
    <mergeCell ref="B1779:D1779"/>
    <mergeCell ref="G1779:H1779"/>
    <mergeCell ref="K1779:L1779"/>
    <mergeCell ref="A1769:C1769"/>
    <mergeCell ref="D1769:L1769"/>
    <mergeCell ref="A1770:C1770"/>
    <mergeCell ref="D1770:L1770"/>
    <mergeCell ref="A1771:C1771"/>
    <mergeCell ref="D1771:L1771"/>
    <mergeCell ref="A1768:C1768"/>
    <mergeCell ref="D1768:L1768"/>
    <mergeCell ref="A1775:C1775"/>
    <mergeCell ref="D1775:L1775"/>
    <mergeCell ref="A1776:C1776"/>
    <mergeCell ref="D1776:L1776"/>
    <mergeCell ref="B1752:D1752"/>
    <mergeCell ref="G1752:H1752"/>
    <mergeCell ref="I1752:J1752"/>
    <mergeCell ref="K1752:L1752"/>
    <mergeCell ref="B1744:D1744"/>
    <mergeCell ref="B1753:D1753"/>
    <mergeCell ref="I1753:J1753"/>
    <mergeCell ref="B1749:D1749"/>
    <mergeCell ref="C1751:D1751"/>
    <mergeCell ref="J1751:L1751"/>
    <mergeCell ref="B1747:D1747"/>
    <mergeCell ref="G1747:H1747"/>
    <mergeCell ref="I1747:J1747"/>
    <mergeCell ref="K1747:L1747"/>
    <mergeCell ref="B1748:D1748"/>
    <mergeCell ref="G1748:H1748"/>
    <mergeCell ref="I1748:J1748"/>
    <mergeCell ref="B1719:D1719"/>
    <mergeCell ref="G1719:H1719"/>
    <mergeCell ref="I1719:J1719"/>
    <mergeCell ref="K1719:L1719"/>
    <mergeCell ref="F1726:F1727"/>
    <mergeCell ref="G1726:J1726"/>
    <mergeCell ref="G1727:J1727"/>
    <mergeCell ref="B1737:D1737"/>
    <mergeCell ref="I1737:J1737"/>
    <mergeCell ref="K1737:L1737"/>
    <mergeCell ref="B1738:D1738"/>
    <mergeCell ref="I1738:J1738"/>
    <mergeCell ref="B1739:D1739"/>
    <mergeCell ref="I1733:J1733"/>
    <mergeCell ref="B1734:D1734"/>
    <mergeCell ref="A1730:L1730"/>
    <mergeCell ref="C1736:D1736"/>
    <mergeCell ref="J1736:L1736"/>
    <mergeCell ref="C1731:D1731"/>
    <mergeCell ref="J1731:L1731"/>
    <mergeCell ref="B1732:D1732"/>
    <mergeCell ref="I1732:J1732"/>
    <mergeCell ref="K1732:L1732"/>
    <mergeCell ref="B1724:D1724"/>
    <mergeCell ref="G1724:H1724"/>
    <mergeCell ref="K1724:L1724"/>
    <mergeCell ref="B1725:D1725"/>
    <mergeCell ref="B1729:D1729"/>
    <mergeCell ref="A1691:C1691"/>
    <mergeCell ref="D1691:L1691"/>
    <mergeCell ref="A1692:C1692"/>
    <mergeCell ref="D1692:L1692"/>
    <mergeCell ref="A1693:C1693"/>
    <mergeCell ref="D1693:L1693"/>
    <mergeCell ref="A1690:C1690"/>
    <mergeCell ref="D1690:L1690"/>
    <mergeCell ref="A1689:L1689"/>
    <mergeCell ref="F1708:F1709"/>
    <mergeCell ref="G1708:J1708"/>
    <mergeCell ref="G1709:J1709"/>
    <mergeCell ref="C1713:D1713"/>
    <mergeCell ref="J1713:L1713"/>
    <mergeCell ref="B1702:D1702"/>
    <mergeCell ref="B1703:D1703"/>
    <mergeCell ref="B1704:D1704"/>
    <mergeCell ref="B1705:D1705"/>
    <mergeCell ref="B1706:D1706"/>
    <mergeCell ref="B1707:D1707"/>
    <mergeCell ref="C1700:D1700"/>
    <mergeCell ref="J1700:L1700"/>
    <mergeCell ref="B1701:D1701"/>
    <mergeCell ref="G1701:H1701"/>
    <mergeCell ref="K1701:L1701"/>
    <mergeCell ref="A1694:C1694"/>
    <mergeCell ref="D1694:L1694"/>
    <mergeCell ref="A1695:C1695"/>
    <mergeCell ref="D1695:L1695"/>
    <mergeCell ref="A1696:C1696"/>
    <mergeCell ref="D1696:L1696"/>
    <mergeCell ref="A1697:C1697"/>
    <mergeCell ref="B1680:D1680"/>
    <mergeCell ref="B1681:D1681"/>
    <mergeCell ref="B1682:D1682"/>
    <mergeCell ref="B1684:D1684"/>
    <mergeCell ref="F1685:F1686"/>
    <mergeCell ref="G1685:J1685"/>
    <mergeCell ref="G1686:J1686"/>
    <mergeCell ref="B1677:D1677"/>
    <mergeCell ref="G1677:H1677"/>
    <mergeCell ref="K1677:L1677"/>
    <mergeCell ref="B1678:D1678"/>
    <mergeCell ref="B1683:D1683"/>
    <mergeCell ref="B1679:D1679"/>
    <mergeCell ref="B1670:D1670"/>
    <mergeCell ref="F1671:F1672"/>
    <mergeCell ref="G1671:J1671"/>
    <mergeCell ref="G1672:J1672"/>
    <mergeCell ref="C1676:D1676"/>
    <mergeCell ref="J1676:L1676"/>
    <mergeCell ref="B1664:D1664"/>
    <mergeCell ref="B1665:D1665"/>
    <mergeCell ref="B1666:D1666"/>
    <mergeCell ref="B1667:D1667"/>
    <mergeCell ref="B1668:D1668"/>
    <mergeCell ref="B1669:D1669"/>
    <mergeCell ref="G1657:J1657"/>
    <mergeCell ref="G1658:J1658"/>
    <mergeCell ref="C1662:D1662"/>
    <mergeCell ref="J1662:L1662"/>
    <mergeCell ref="B1663:D1663"/>
    <mergeCell ref="G1663:H1663"/>
    <mergeCell ref="K1663:L1663"/>
    <mergeCell ref="B1653:D1653"/>
    <mergeCell ref="B1654:D1654"/>
    <mergeCell ref="B1655:D1655"/>
    <mergeCell ref="B1656:D1656"/>
    <mergeCell ref="B1657:D1657"/>
    <mergeCell ref="F1657:F1658"/>
    <mergeCell ref="A1640:C1640"/>
    <mergeCell ref="D1640:L1640"/>
    <mergeCell ref="C1651:D1651"/>
    <mergeCell ref="J1651:L1651"/>
    <mergeCell ref="B1652:D1652"/>
    <mergeCell ref="G1652:H1652"/>
    <mergeCell ref="K1652:L1652"/>
    <mergeCell ref="A1637:C1637"/>
    <mergeCell ref="D1637:L1637"/>
    <mergeCell ref="A1638:C1638"/>
    <mergeCell ref="D1638:L1638"/>
    <mergeCell ref="A1639:C1639"/>
    <mergeCell ref="D1639:L1639"/>
    <mergeCell ref="A1636:L1636"/>
    <mergeCell ref="A1641:C1641"/>
    <mergeCell ref="D1641:L1641"/>
    <mergeCell ref="A1642:C1642"/>
    <mergeCell ref="D1642:L1642"/>
    <mergeCell ref="A1643:C1643"/>
    <mergeCell ref="D1643:L1643"/>
    <mergeCell ref="A1644:C1644"/>
    <mergeCell ref="D1644:L1644"/>
    <mergeCell ref="A1645:C1645"/>
    <mergeCell ref="D1645:L1645"/>
    <mergeCell ref="B1649:D1649"/>
    <mergeCell ref="G1649:H1649"/>
    <mergeCell ref="A1650:L1650"/>
    <mergeCell ref="G1648:H1648"/>
    <mergeCell ref="K1648:L1648"/>
    <mergeCell ref="B1622:D1622"/>
    <mergeCell ref="B1616:D1616"/>
    <mergeCell ref="I1616:J1616"/>
    <mergeCell ref="K1616:L1616"/>
    <mergeCell ref="B1617:D1617"/>
    <mergeCell ref="I1617:J1617"/>
    <mergeCell ref="B1618:D1618"/>
    <mergeCell ref="C1615:D1615"/>
    <mergeCell ref="J1615:L1615"/>
    <mergeCell ref="G1635:I1635"/>
    <mergeCell ref="B1629:D1629"/>
    <mergeCell ref="B1630:D1630"/>
    <mergeCell ref="B1631:D1631"/>
    <mergeCell ref="F1633:F1634"/>
    <mergeCell ref="G1633:J1633"/>
    <mergeCell ref="G1634:J1634"/>
    <mergeCell ref="B1623:D1623"/>
    <mergeCell ref="B1624:D1624"/>
    <mergeCell ref="B1625:D1625"/>
    <mergeCell ref="B1626:D1626"/>
    <mergeCell ref="B1627:D1627"/>
    <mergeCell ref="B1628:D1628"/>
    <mergeCell ref="B1611:D1611"/>
    <mergeCell ref="I1611:J1611"/>
    <mergeCell ref="B1602:D1602"/>
    <mergeCell ref="I1602:J1602"/>
    <mergeCell ref="B1603:D1603"/>
    <mergeCell ref="C1609:D1609"/>
    <mergeCell ref="J1609:L1609"/>
    <mergeCell ref="B1600:D1600"/>
    <mergeCell ref="I1600:J1600"/>
    <mergeCell ref="K1600:L1600"/>
    <mergeCell ref="B1601:D1601"/>
    <mergeCell ref="I1601:J1601"/>
    <mergeCell ref="A1614:L1614"/>
    <mergeCell ref="C1620:D1620"/>
    <mergeCell ref="J1620:L1620"/>
    <mergeCell ref="B1621:D1621"/>
    <mergeCell ref="K1621:L1621"/>
    <mergeCell ref="K1610:L1610"/>
    <mergeCell ref="I1610:J1610"/>
    <mergeCell ref="I1612:J1612"/>
    <mergeCell ref="G1610:H1610"/>
    <mergeCell ref="B1610:D1610"/>
    <mergeCell ref="B1613:D1613"/>
    <mergeCell ref="B1612:D1612"/>
    <mergeCell ref="B1606:D1606"/>
    <mergeCell ref="G1606:H1606"/>
    <mergeCell ref="K1606:L1606"/>
    <mergeCell ref="B1607:D1607"/>
    <mergeCell ref="G1607:H1607"/>
    <mergeCell ref="B1597:D1597"/>
    <mergeCell ref="A1593:L1593"/>
    <mergeCell ref="C1599:D1599"/>
    <mergeCell ref="J1599:L1599"/>
    <mergeCell ref="C1594:D1594"/>
    <mergeCell ref="J1594:L1594"/>
    <mergeCell ref="B1595:D1595"/>
    <mergeCell ref="I1595:J1595"/>
    <mergeCell ref="K1595:L1595"/>
    <mergeCell ref="B1590:D1590"/>
    <mergeCell ref="I1590:J1590"/>
    <mergeCell ref="K1590:L1590"/>
    <mergeCell ref="B1591:D1591"/>
    <mergeCell ref="I1591:J1591"/>
    <mergeCell ref="B1592:D1592"/>
    <mergeCell ref="B1551:D1551"/>
    <mergeCell ref="B1544:D1544"/>
    <mergeCell ref="B1545:D1545"/>
    <mergeCell ref="B1546:D1546"/>
    <mergeCell ref="B1547:D1547"/>
    <mergeCell ref="F1549:F1550"/>
    <mergeCell ref="G1549:J1549"/>
    <mergeCell ref="G1550:J1550"/>
    <mergeCell ref="A1553:L1553"/>
    <mergeCell ref="B1566:D1566"/>
    <mergeCell ref="I1566:J1566"/>
    <mergeCell ref="B1567:D1567"/>
    <mergeCell ref="C1579:D1579"/>
    <mergeCell ref="J1579:L1579"/>
    <mergeCell ref="C1564:D1564"/>
    <mergeCell ref="J1564:L1564"/>
    <mergeCell ref="B1565:D1565"/>
    <mergeCell ref="I1565:J1565"/>
    <mergeCell ref="K1565:L1565"/>
    <mergeCell ref="A1554:C1554"/>
    <mergeCell ref="D1554:L1554"/>
    <mergeCell ref="A1555:C1555"/>
    <mergeCell ref="D1555:L1555"/>
    <mergeCell ref="A1556:C1556"/>
    <mergeCell ref="D1556:L1556"/>
    <mergeCell ref="A1557:C1557"/>
    <mergeCell ref="D1557:L1557"/>
    <mergeCell ref="A1558:C1558"/>
    <mergeCell ref="D1558:L1558"/>
    <mergeCell ref="A1559:C1559"/>
    <mergeCell ref="D1559:L1559"/>
    <mergeCell ref="A1560:C1560"/>
    <mergeCell ref="A1523:C1523"/>
    <mergeCell ref="D1523:L1523"/>
    <mergeCell ref="A1524:C1524"/>
    <mergeCell ref="D1524:L1524"/>
    <mergeCell ref="B1540:D1540"/>
    <mergeCell ref="A1532:L1532"/>
    <mergeCell ref="J1542:L1542"/>
    <mergeCell ref="G1543:H1543"/>
    <mergeCell ref="K1543:L1543"/>
    <mergeCell ref="C1537:D1537"/>
    <mergeCell ref="J1537:L1537"/>
    <mergeCell ref="B1538:D1538"/>
    <mergeCell ref="I1538:J1538"/>
    <mergeCell ref="K1538:L1538"/>
    <mergeCell ref="B1539:D1539"/>
    <mergeCell ref="I1539:J1539"/>
    <mergeCell ref="B1528:D1528"/>
    <mergeCell ref="I1528:J1528"/>
    <mergeCell ref="B1529:D1529"/>
    <mergeCell ref="G1530:I1530"/>
    <mergeCell ref="C1542:D1542"/>
    <mergeCell ref="A1531:L1531"/>
    <mergeCell ref="A1525:L1525"/>
    <mergeCell ref="A1541:L1541"/>
    <mergeCell ref="B1530:D1530"/>
    <mergeCell ref="B1508:D1508"/>
    <mergeCell ref="B1509:D1509"/>
    <mergeCell ref="B1510:D1510"/>
    <mergeCell ref="F1511:F1512"/>
    <mergeCell ref="G1511:J1511"/>
    <mergeCell ref="G1512:J1512"/>
    <mergeCell ref="B1502:D1502"/>
    <mergeCell ref="B1503:D1503"/>
    <mergeCell ref="B1504:D1504"/>
    <mergeCell ref="B1505:D1505"/>
    <mergeCell ref="B1506:D1506"/>
    <mergeCell ref="B1507:D1507"/>
    <mergeCell ref="C1526:D1526"/>
    <mergeCell ref="J1526:L1526"/>
    <mergeCell ref="B1527:D1527"/>
    <mergeCell ref="I1527:J1527"/>
    <mergeCell ref="K1527:L1527"/>
    <mergeCell ref="A1517:C1517"/>
    <mergeCell ref="D1517:L1517"/>
    <mergeCell ref="A1518:C1518"/>
    <mergeCell ref="D1518:L1518"/>
    <mergeCell ref="A1519:C1519"/>
    <mergeCell ref="D1519:L1519"/>
    <mergeCell ref="A1516:C1516"/>
    <mergeCell ref="D1516:L1516"/>
    <mergeCell ref="A1515:L1515"/>
    <mergeCell ref="A1520:C1520"/>
    <mergeCell ref="D1520:L1520"/>
    <mergeCell ref="A1521:C1521"/>
    <mergeCell ref="D1521:L1521"/>
    <mergeCell ref="A1522:C1522"/>
    <mergeCell ref="D1522:L1522"/>
    <mergeCell ref="B1498:D1498"/>
    <mergeCell ref="G1498:H1498"/>
    <mergeCell ref="K1498:L1498"/>
    <mergeCell ref="B1499:D1499"/>
    <mergeCell ref="B1500:D1500"/>
    <mergeCell ref="B1501:D1501"/>
    <mergeCell ref="F1492:F1493"/>
    <mergeCell ref="G1492:J1492"/>
    <mergeCell ref="G1493:J1493"/>
    <mergeCell ref="C1497:D1497"/>
    <mergeCell ref="J1497:L1497"/>
    <mergeCell ref="B1486:D1486"/>
    <mergeCell ref="B1487:D1487"/>
    <mergeCell ref="B1488:D1488"/>
    <mergeCell ref="B1489:D1489"/>
    <mergeCell ref="B1490:D1490"/>
    <mergeCell ref="B1491:D1491"/>
    <mergeCell ref="A1496:L1496"/>
    <mergeCell ref="B1480:D1480"/>
    <mergeCell ref="B1481:D1481"/>
    <mergeCell ref="B1482:D1482"/>
    <mergeCell ref="B1483:D1483"/>
    <mergeCell ref="B1484:D1484"/>
    <mergeCell ref="B1485:D1485"/>
    <mergeCell ref="B1476:D1476"/>
    <mergeCell ref="C1478:D1478"/>
    <mergeCell ref="J1478:L1478"/>
    <mergeCell ref="B1479:D1479"/>
    <mergeCell ref="G1479:H1479"/>
    <mergeCell ref="K1479:L1479"/>
    <mergeCell ref="F1451:F1452"/>
    <mergeCell ref="G1451:J1451"/>
    <mergeCell ref="G1452:J1452"/>
    <mergeCell ref="B1442:D1442"/>
    <mergeCell ref="B1443:D1443"/>
    <mergeCell ref="B1444:D1444"/>
    <mergeCell ref="B1445:D1445"/>
    <mergeCell ref="B1446:D1446"/>
    <mergeCell ref="B1447:D1447"/>
    <mergeCell ref="A1459:C1459"/>
    <mergeCell ref="D1459:L1459"/>
    <mergeCell ref="C1466:D1466"/>
    <mergeCell ref="J1466:L1466"/>
    <mergeCell ref="B1467:D1467"/>
    <mergeCell ref="G1467:H1467"/>
    <mergeCell ref="K1467:L1467"/>
    <mergeCell ref="A1456:C1456"/>
    <mergeCell ref="D1456:L1456"/>
    <mergeCell ref="A1457:C1457"/>
    <mergeCell ref="D1457:L1457"/>
    <mergeCell ref="A1458:C1458"/>
    <mergeCell ref="A1374:C1374"/>
    <mergeCell ref="D1374:L1374"/>
    <mergeCell ref="A1375:C1375"/>
    <mergeCell ref="D1375:L1375"/>
    <mergeCell ref="A1376:C1376"/>
    <mergeCell ref="D1376:L1376"/>
    <mergeCell ref="A1373:C1373"/>
    <mergeCell ref="D1373:L1373"/>
    <mergeCell ref="K1384:L1384"/>
    <mergeCell ref="B1399:D1399"/>
    <mergeCell ref="G1399:H1399"/>
    <mergeCell ref="I1399:J1399"/>
    <mergeCell ref="K1399:L1399"/>
    <mergeCell ref="B1400:D1400"/>
    <mergeCell ref="I1400:J1400"/>
    <mergeCell ref="B1395:D1395"/>
    <mergeCell ref="I1395:J1395"/>
    <mergeCell ref="B1396:D1396"/>
    <mergeCell ref="A1392:L1392"/>
    <mergeCell ref="C1398:D1398"/>
    <mergeCell ref="J1398:L1398"/>
    <mergeCell ref="B1391:D1391"/>
    <mergeCell ref="C1393:D1393"/>
    <mergeCell ref="J1393:L1393"/>
    <mergeCell ref="B1394:D1394"/>
    <mergeCell ref="I1394:J1394"/>
    <mergeCell ref="K1394:L1394"/>
    <mergeCell ref="A1397:L1397"/>
    <mergeCell ref="J1388:L1388"/>
    <mergeCell ref="I1389:J1389"/>
    <mergeCell ref="K1389:L1389"/>
    <mergeCell ref="B1390:D1390"/>
    <mergeCell ref="B1367:D1367"/>
    <mergeCell ref="F1368:F1369"/>
    <mergeCell ref="G1368:J1368"/>
    <mergeCell ref="G1369:J1369"/>
    <mergeCell ref="A1347:D1348"/>
    <mergeCell ref="A1349:D1350"/>
    <mergeCell ref="G1371:I1371"/>
    <mergeCell ref="B1361:D1361"/>
    <mergeCell ref="I1362:J1362"/>
    <mergeCell ref="B1363:D1363"/>
    <mergeCell ref="B1364:D1364"/>
    <mergeCell ref="B1365:D1365"/>
    <mergeCell ref="B1366:D1366"/>
    <mergeCell ref="B1358:D1358"/>
    <mergeCell ref="G1358:H1358"/>
    <mergeCell ref="K1358:L1358"/>
    <mergeCell ref="B1359:D1359"/>
    <mergeCell ref="B1360:D1360"/>
    <mergeCell ref="B1355:D1355"/>
    <mergeCell ref="A1351:L1351"/>
    <mergeCell ref="A1335:D1336"/>
    <mergeCell ref="B1340:D1340"/>
    <mergeCell ref="B1341:D1341"/>
    <mergeCell ref="B1342:D1342"/>
    <mergeCell ref="B1343:D1343"/>
    <mergeCell ref="C1357:D1357"/>
    <mergeCell ref="J1357:L1357"/>
    <mergeCell ref="C1352:D1352"/>
    <mergeCell ref="J1352:L1352"/>
    <mergeCell ref="B1353:D1353"/>
    <mergeCell ref="I1353:J1353"/>
    <mergeCell ref="K1353:L1353"/>
    <mergeCell ref="B1345:D1345"/>
    <mergeCell ref="B1346:D1346"/>
    <mergeCell ref="F1347:F1348"/>
    <mergeCell ref="G1347:J1347"/>
    <mergeCell ref="G1348:J1348"/>
    <mergeCell ref="D1285:L1285"/>
    <mergeCell ref="A1286:C1286"/>
    <mergeCell ref="D1286:L1286"/>
    <mergeCell ref="B1344:D1344"/>
    <mergeCell ref="B1334:D1334"/>
    <mergeCell ref="C1338:D1338"/>
    <mergeCell ref="J1338:L1338"/>
    <mergeCell ref="B1339:D1339"/>
    <mergeCell ref="G1339:H1339"/>
    <mergeCell ref="B1330:D1330"/>
    <mergeCell ref="G1330:H1330"/>
    <mergeCell ref="K1330:L1330"/>
    <mergeCell ref="B1331:D1331"/>
    <mergeCell ref="B1332:D1332"/>
    <mergeCell ref="B1333:D1333"/>
    <mergeCell ref="B1354:D1354"/>
    <mergeCell ref="I1354:J1354"/>
    <mergeCell ref="A1287:C1287"/>
    <mergeCell ref="D1287:L1287"/>
    <mergeCell ref="A1288:C1288"/>
    <mergeCell ref="D1288:L1288"/>
    <mergeCell ref="A1308:L1308"/>
    <mergeCell ref="A1311:C1311"/>
    <mergeCell ref="D1311:L1311"/>
    <mergeCell ref="A1312:C1312"/>
    <mergeCell ref="D1312:L1312"/>
    <mergeCell ref="A1309:C1309"/>
    <mergeCell ref="D1309:L1309"/>
    <mergeCell ref="A1310:C1310"/>
    <mergeCell ref="D1310:L1310"/>
    <mergeCell ref="B1303:D1303"/>
    <mergeCell ref="B1304:D1304"/>
    <mergeCell ref="B1258:D1258"/>
    <mergeCell ref="B1259:D1259"/>
    <mergeCell ref="B1249:D1249"/>
    <mergeCell ref="B1250:D1250"/>
    <mergeCell ref="B1251:D1251"/>
    <mergeCell ref="B1252:D1252"/>
    <mergeCell ref="B1253:D1253"/>
    <mergeCell ref="A1280:C1280"/>
    <mergeCell ref="D1280:L1280"/>
    <mergeCell ref="A1281:C1281"/>
    <mergeCell ref="D1281:L1281"/>
    <mergeCell ref="A1282:C1282"/>
    <mergeCell ref="D1282:L1282"/>
    <mergeCell ref="B1276:D1276"/>
    <mergeCell ref="A1279:L1279"/>
    <mergeCell ref="B1297:D1297"/>
    <mergeCell ref="B1298:D1298"/>
    <mergeCell ref="B1292:D1292"/>
    <mergeCell ref="B1293:D1293"/>
    <mergeCell ref="B1294:D1294"/>
    <mergeCell ref="I1295:J1295"/>
    <mergeCell ref="B1296:D1296"/>
    <mergeCell ref="C1290:D1290"/>
    <mergeCell ref="J1290:L1290"/>
    <mergeCell ref="B1291:D1291"/>
    <mergeCell ref="G1291:H1291"/>
    <mergeCell ref="K1291:L1291"/>
    <mergeCell ref="A1283:C1283"/>
    <mergeCell ref="D1283:L1283"/>
    <mergeCell ref="A1284:C1284"/>
    <mergeCell ref="D1284:L1284"/>
    <mergeCell ref="A1285:C1285"/>
    <mergeCell ref="B1228:D1228"/>
    <mergeCell ref="B1229:D1229"/>
    <mergeCell ref="B1230:D1230"/>
    <mergeCell ref="B1231:D1231"/>
    <mergeCell ref="B1232:D1232"/>
    <mergeCell ref="A1240:L1240"/>
    <mergeCell ref="A1238:D1239"/>
    <mergeCell ref="B1245:D1245"/>
    <mergeCell ref="B1246:D1246"/>
    <mergeCell ref="B1247:D1247"/>
    <mergeCell ref="B1248:D1248"/>
    <mergeCell ref="B1272:D1272"/>
    <mergeCell ref="G1272:H1272"/>
    <mergeCell ref="K1272:L1272"/>
    <mergeCell ref="B1273:D1273"/>
    <mergeCell ref="B1274:D1274"/>
    <mergeCell ref="B1275:D1275"/>
    <mergeCell ref="B1265:D1265"/>
    <mergeCell ref="B1266:D1266"/>
    <mergeCell ref="B1267:D1267"/>
    <mergeCell ref="C1271:D1271"/>
    <mergeCell ref="J1271:L1271"/>
    <mergeCell ref="C1263:D1263"/>
    <mergeCell ref="J1263:L1263"/>
    <mergeCell ref="B1264:D1264"/>
    <mergeCell ref="G1264:H1264"/>
    <mergeCell ref="K1264:L1264"/>
    <mergeCell ref="A1268:D1269"/>
    <mergeCell ref="A1260:D1261"/>
    <mergeCell ref="B1255:D1255"/>
    <mergeCell ref="B1256:D1256"/>
    <mergeCell ref="B1257:D1257"/>
    <mergeCell ref="B1254:D1254"/>
    <mergeCell ref="B1243:D1243"/>
    <mergeCell ref="B1244:D1244"/>
    <mergeCell ref="B1221:D1221"/>
    <mergeCell ref="C1225:D1225"/>
    <mergeCell ref="J1225:L1225"/>
    <mergeCell ref="B1226:D1226"/>
    <mergeCell ref="G1226:H1226"/>
    <mergeCell ref="K1226:L1226"/>
    <mergeCell ref="B1216:D1216"/>
    <mergeCell ref="B1217:D1217"/>
    <mergeCell ref="B1218:D1218"/>
    <mergeCell ref="B1219:D1219"/>
    <mergeCell ref="B1220:D1220"/>
    <mergeCell ref="B1210:D1210"/>
    <mergeCell ref="B1211:D1211"/>
    <mergeCell ref="B1212:D1212"/>
    <mergeCell ref="B1213:D1213"/>
    <mergeCell ref="B1214:D1214"/>
    <mergeCell ref="B1215:D1215"/>
    <mergeCell ref="A1224:L1224"/>
    <mergeCell ref="C1241:D1241"/>
    <mergeCell ref="J1241:L1241"/>
    <mergeCell ref="B1242:D1242"/>
    <mergeCell ref="G1242:H1242"/>
    <mergeCell ref="K1242:L1242"/>
    <mergeCell ref="B1233:D1233"/>
    <mergeCell ref="B1234:D1234"/>
    <mergeCell ref="B1235:D1235"/>
    <mergeCell ref="B1236:D1236"/>
    <mergeCell ref="B1237:D1237"/>
    <mergeCell ref="B1227:D1227"/>
    <mergeCell ref="B1207:D1207"/>
    <mergeCell ref="B1208:D1208"/>
    <mergeCell ref="B1209:D1209"/>
    <mergeCell ref="B1199:D1199"/>
    <mergeCell ref="B1200:D1200"/>
    <mergeCell ref="B1201:D1201"/>
    <mergeCell ref="C1205:D1205"/>
    <mergeCell ref="J1205:L1205"/>
    <mergeCell ref="C1196:D1196"/>
    <mergeCell ref="J1196:L1196"/>
    <mergeCell ref="B1197:D1197"/>
    <mergeCell ref="G1197:H1197"/>
    <mergeCell ref="K1197:L1197"/>
    <mergeCell ref="B1198:D1198"/>
    <mergeCell ref="B1189:D1189"/>
    <mergeCell ref="B1190:D1190"/>
    <mergeCell ref="B1191:D1191"/>
    <mergeCell ref="B1192:D1192"/>
    <mergeCell ref="B1184:D1184"/>
    <mergeCell ref="B1185:D1185"/>
    <mergeCell ref="B1186:D1186"/>
    <mergeCell ref="B1187:D1187"/>
    <mergeCell ref="B1188:D1188"/>
    <mergeCell ref="B1178:D1178"/>
    <mergeCell ref="B1179:D1179"/>
    <mergeCell ref="B1180:D1180"/>
    <mergeCell ref="B1181:D1181"/>
    <mergeCell ref="B1182:D1182"/>
    <mergeCell ref="B1183:D1183"/>
    <mergeCell ref="B1206:D1206"/>
    <mergeCell ref="C1175:D1175"/>
    <mergeCell ref="J1175:L1175"/>
    <mergeCell ref="B1176:D1176"/>
    <mergeCell ref="G1176:H1176"/>
    <mergeCell ref="K1176:L1176"/>
    <mergeCell ref="B1177:D1177"/>
    <mergeCell ref="G1206:H1206"/>
    <mergeCell ref="K1206:L1206"/>
    <mergeCell ref="B1168:D1168"/>
    <mergeCell ref="B1169:D1169"/>
    <mergeCell ref="B1170:D1170"/>
    <mergeCell ref="B1171:D1171"/>
    <mergeCell ref="B1162:D1162"/>
    <mergeCell ref="C1166:D1166"/>
    <mergeCell ref="J1166:L1166"/>
    <mergeCell ref="B1167:D1167"/>
    <mergeCell ref="G1167:H1167"/>
    <mergeCell ref="K1167:L1167"/>
    <mergeCell ref="B1156:D1156"/>
    <mergeCell ref="B1157:D1157"/>
    <mergeCell ref="B1158:D1158"/>
    <mergeCell ref="B1159:D1159"/>
    <mergeCell ref="B1160:D1160"/>
    <mergeCell ref="B1161:D1161"/>
    <mergeCell ref="B1150:D1150"/>
    <mergeCell ref="B1151:D1151"/>
    <mergeCell ref="B1152:D1152"/>
    <mergeCell ref="B1153:D1153"/>
    <mergeCell ref="B1154:D1154"/>
    <mergeCell ref="B1155:D1155"/>
    <mergeCell ref="A1163:D1164"/>
    <mergeCell ref="B1145:D1145"/>
    <mergeCell ref="G1145:H1145"/>
    <mergeCell ref="K1145:L1145"/>
    <mergeCell ref="B1146:D1146"/>
    <mergeCell ref="B1147:D1147"/>
    <mergeCell ref="B1148:D1148"/>
    <mergeCell ref="B1149:D1149"/>
    <mergeCell ref="C1144:D1144"/>
    <mergeCell ref="J1144:L1144"/>
    <mergeCell ref="B1134:D1134"/>
    <mergeCell ref="B1135:D1135"/>
    <mergeCell ref="B1136:D1136"/>
    <mergeCell ref="B1137:D1137"/>
    <mergeCell ref="B1138:D1138"/>
    <mergeCell ref="B1129:D1129"/>
    <mergeCell ref="B1130:D1130"/>
    <mergeCell ref="B1131:D1131"/>
    <mergeCell ref="B1132:D1132"/>
    <mergeCell ref="B1133:D1133"/>
    <mergeCell ref="B1139:D1139"/>
    <mergeCell ref="B1140:D1140"/>
    <mergeCell ref="A1141:D1142"/>
    <mergeCell ref="C1127:D1127"/>
    <mergeCell ref="J1127:L1127"/>
    <mergeCell ref="B1128:D1128"/>
    <mergeCell ref="G1128:H1128"/>
    <mergeCell ref="K1128:L1128"/>
    <mergeCell ref="B1122:D1122"/>
    <mergeCell ref="B1123:D1123"/>
    <mergeCell ref="B1115:D1115"/>
    <mergeCell ref="B1116:D1116"/>
    <mergeCell ref="B1117:D1117"/>
    <mergeCell ref="B1118:D1118"/>
    <mergeCell ref="B1119:D1119"/>
    <mergeCell ref="B1120:D1120"/>
    <mergeCell ref="B1109:D1109"/>
    <mergeCell ref="B1110:D1110"/>
    <mergeCell ref="B1111:D1111"/>
    <mergeCell ref="B1112:D1112"/>
    <mergeCell ref="B1113:D1113"/>
    <mergeCell ref="B1114:D1114"/>
    <mergeCell ref="A1124:D1125"/>
    <mergeCell ref="C1106:D1106"/>
    <mergeCell ref="J1106:L1106"/>
    <mergeCell ref="B1107:D1107"/>
    <mergeCell ref="G1107:H1107"/>
    <mergeCell ref="K1107:L1107"/>
    <mergeCell ref="B1108:D1108"/>
    <mergeCell ref="B1100:D1100"/>
    <mergeCell ref="B1101:D1101"/>
    <mergeCell ref="B1102:D1102"/>
    <mergeCell ref="B1094:D1094"/>
    <mergeCell ref="B1095:D1095"/>
    <mergeCell ref="B1096:D1096"/>
    <mergeCell ref="B1097:D1097"/>
    <mergeCell ref="B1098:D1098"/>
    <mergeCell ref="B1099:D1099"/>
    <mergeCell ref="B1121:D1121"/>
    <mergeCell ref="A1071:C1071"/>
    <mergeCell ref="D1071:L1071"/>
    <mergeCell ref="A1072:C1072"/>
    <mergeCell ref="D1072:L1072"/>
    <mergeCell ref="C1079:D1079"/>
    <mergeCell ref="J1079:L1079"/>
    <mergeCell ref="A1089:D1090"/>
    <mergeCell ref="A1103:D1104"/>
    <mergeCell ref="A1069:C1069"/>
    <mergeCell ref="D1069:L1069"/>
    <mergeCell ref="A1070:C1070"/>
    <mergeCell ref="D1070:L1070"/>
    <mergeCell ref="A1076:C1076"/>
    <mergeCell ref="D1076:L1076"/>
    <mergeCell ref="A1077:C1077"/>
    <mergeCell ref="D1077:L1077"/>
    <mergeCell ref="C1092:D1092"/>
    <mergeCell ref="J1092:L1092"/>
    <mergeCell ref="B1093:D1093"/>
    <mergeCell ref="G1093:H1093"/>
    <mergeCell ref="K1093:L1093"/>
    <mergeCell ref="B1084:D1084"/>
    <mergeCell ref="B1085:D1085"/>
    <mergeCell ref="B1086:D1086"/>
    <mergeCell ref="B1087:D1087"/>
    <mergeCell ref="B1088:D1088"/>
    <mergeCell ref="B1080:D1080"/>
    <mergeCell ref="G1080:H1080"/>
    <mergeCell ref="K1080:L1080"/>
    <mergeCell ref="B1081:D1081"/>
    <mergeCell ref="B1082:D1082"/>
    <mergeCell ref="B1083:D1083"/>
    <mergeCell ref="A1078:L1078"/>
    <mergeCell ref="A1075:C1075"/>
    <mergeCell ref="D1075:L1075"/>
    <mergeCell ref="B1063:D1063"/>
    <mergeCell ref="B1064:D1064"/>
    <mergeCell ref="B1065:D1065"/>
    <mergeCell ref="B1058:D1058"/>
    <mergeCell ref="B1059:D1059"/>
    <mergeCell ref="B1060:D1060"/>
    <mergeCell ref="B1061:D1061"/>
    <mergeCell ref="B1062:D1062"/>
    <mergeCell ref="B1054:D1054"/>
    <mergeCell ref="B1055:D1055"/>
    <mergeCell ref="B1056:D1056"/>
    <mergeCell ref="B1057:D1057"/>
    <mergeCell ref="B1048:D1048"/>
    <mergeCell ref="B1049:D1049"/>
    <mergeCell ref="B1050:D1050"/>
    <mergeCell ref="B1051:D1051"/>
    <mergeCell ref="B1052:D1052"/>
    <mergeCell ref="B1053:D1053"/>
    <mergeCell ref="B1045:D1045"/>
    <mergeCell ref="G1045:H1045"/>
    <mergeCell ref="K1045:L1045"/>
    <mergeCell ref="A1043:L1043"/>
    <mergeCell ref="B1046:D1046"/>
    <mergeCell ref="B1047:D1047"/>
    <mergeCell ref="B1038:D1038"/>
    <mergeCell ref="B1039:D1039"/>
    <mergeCell ref="B1040:D1040"/>
    <mergeCell ref="C1044:D1044"/>
    <mergeCell ref="J1044:L1044"/>
    <mergeCell ref="B1034:D1034"/>
    <mergeCell ref="B1035:D1035"/>
    <mergeCell ref="B1036:D1036"/>
    <mergeCell ref="B1037:D1037"/>
    <mergeCell ref="B1028:D1028"/>
    <mergeCell ref="B1029:D1029"/>
    <mergeCell ref="B1030:D1030"/>
    <mergeCell ref="B1031:D1031"/>
    <mergeCell ref="B1032:D1032"/>
    <mergeCell ref="B1033:D1033"/>
    <mergeCell ref="A1041:D1042"/>
    <mergeCell ref="B1022:D1022"/>
    <mergeCell ref="B1023:D1023"/>
    <mergeCell ref="B1024:D1024"/>
    <mergeCell ref="B1025:D1025"/>
    <mergeCell ref="B1026:D1026"/>
    <mergeCell ref="B1027:D1027"/>
    <mergeCell ref="B1016:D1016"/>
    <mergeCell ref="C1020:D1020"/>
    <mergeCell ref="J1020:L1020"/>
    <mergeCell ref="B1021:D1021"/>
    <mergeCell ref="G1021:H1021"/>
    <mergeCell ref="K1021:L1021"/>
    <mergeCell ref="B1010:D1010"/>
    <mergeCell ref="B1011:D1011"/>
    <mergeCell ref="B1012:D1012"/>
    <mergeCell ref="B1013:D1013"/>
    <mergeCell ref="B1014:D1014"/>
    <mergeCell ref="B1015:D1015"/>
    <mergeCell ref="A1017:D1018"/>
    <mergeCell ref="B1006:D1006"/>
    <mergeCell ref="B1007:D1007"/>
    <mergeCell ref="B1008:D1008"/>
    <mergeCell ref="B1009:D1009"/>
    <mergeCell ref="B1000:D1000"/>
    <mergeCell ref="G1000:H1000"/>
    <mergeCell ref="K1000:L1000"/>
    <mergeCell ref="B1001:D1001"/>
    <mergeCell ref="B1002:D1002"/>
    <mergeCell ref="B1003:D1003"/>
    <mergeCell ref="B994:D994"/>
    <mergeCell ref="B995:D995"/>
    <mergeCell ref="C999:D999"/>
    <mergeCell ref="J999:L999"/>
    <mergeCell ref="B970:D970"/>
    <mergeCell ref="B971:D971"/>
    <mergeCell ref="B972:D972"/>
    <mergeCell ref="C991:D991"/>
    <mergeCell ref="J991:L991"/>
    <mergeCell ref="B992:D992"/>
    <mergeCell ref="G992:H992"/>
    <mergeCell ref="K992:L992"/>
    <mergeCell ref="B993:D993"/>
    <mergeCell ref="B984:D984"/>
    <mergeCell ref="B985:D985"/>
    <mergeCell ref="B986:D986"/>
    <mergeCell ref="B987:D987"/>
    <mergeCell ref="B979:D979"/>
    <mergeCell ref="B980:D980"/>
    <mergeCell ref="B981:D981"/>
    <mergeCell ref="B982:D982"/>
    <mergeCell ref="B983:D983"/>
    <mergeCell ref="B1004:D1004"/>
    <mergeCell ref="B1005:D1005"/>
    <mergeCell ref="A909:C909"/>
    <mergeCell ref="D909:L909"/>
    <mergeCell ref="A910:C910"/>
    <mergeCell ref="D910:L910"/>
    <mergeCell ref="A911:C911"/>
    <mergeCell ref="D911:L911"/>
    <mergeCell ref="B905:D905"/>
    <mergeCell ref="B906:D906"/>
    <mergeCell ref="B927:D927"/>
    <mergeCell ref="B928:D928"/>
    <mergeCell ref="B929:D929"/>
    <mergeCell ref="B930:D930"/>
    <mergeCell ref="B931:D931"/>
    <mergeCell ref="B921:D921"/>
    <mergeCell ref="B922:D922"/>
    <mergeCell ref="B923:D923"/>
    <mergeCell ref="B924:D924"/>
    <mergeCell ref="B925:D925"/>
    <mergeCell ref="B926:D926"/>
    <mergeCell ref="C919:D919"/>
    <mergeCell ref="J919:L919"/>
    <mergeCell ref="B920:D920"/>
    <mergeCell ref="G920:H920"/>
    <mergeCell ref="K920:L920"/>
    <mergeCell ref="A918:L918"/>
    <mergeCell ref="A912:C912"/>
    <mergeCell ref="D912:L912"/>
    <mergeCell ref="A913:C913"/>
    <mergeCell ref="D913:L913"/>
    <mergeCell ref="A914:C914"/>
    <mergeCell ref="D914:L914"/>
    <mergeCell ref="C902:D902"/>
    <mergeCell ref="J902:L902"/>
    <mergeCell ref="B903:D903"/>
    <mergeCell ref="G903:H903"/>
    <mergeCell ref="K903:L903"/>
    <mergeCell ref="B904:D904"/>
    <mergeCell ref="B895:D895"/>
    <mergeCell ref="B896:D896"/>
    <mergeCell ref="B897:D897"/>
    <mergeCell ref="B898:D898"/>
    <mergeCell ref="C893:D893"/>
    <mergeCell ref="J893:L893"/>
    <mergeCell ref="B894:D894"/>
    <mergeCell ref="G894:H894"/>
    <mergeCell ref="K894:L894"/>
    <mergeCell ref="A890:D891"/>
    <mergeCell ref="A899:D900"/>
    <mergeCell ref="B886:D886"/>
    <mergeCell ref="G886:H886"/>
    <mergeCell ref="K886:L886"/>
    <mergeCell ref="B887:D887"/>
    <mergeCell ref="B888:D888"/>
    <mergeCell ref="B889:D889"/>
    <mergeCell ref="B880:D880"/>
    <mergeCell ref="B881:D881"/>
    <mergeCell ref="C885:D885"/>
    <mergeCell ref="J885:L885"/>
    <mergeCell ref="B874:D874"/>
    <mergeCell ref="B875:D875"/>
    <mergeCell ref="B876:D876"/>
    <mergeCell ref="B877:D877"/>
    <mergeCell ref="B878:D878"/>
    <mergeCell ref="B879:D879"/>
    <mergeCell ref="A882:D883"/>
    <mergeCell ref="B868:D868"/>
    <mergeCell ref="B869:D869"/>
    <mergeCell ref="B870:D870"/>
    <mergeCell ref="B871:D871"/>
    <mergeCell ref="B872:D872"/>
    <mergeCell ref="B873:D873"/>
    <mergeCell ref="C866:D866"/>
    <mergeCell ref="J866:L866"/>
    <mergeCell ref="B867:D867"/>
    <mergeCell ref="G867:H867"/>
    <mergeCell ref="K867:L867"/>
    <mergeCell ref="B857:D857"/>
    <mergeCell ref="B858:D858"/>
    <mergeCell ref="B859:D859"/>
    <mergeCell ref="B860:D860"/>
    <mergeCell ref="B861:D861"/>
    <mergeCell ref="B862:D862"/>
    <mergeCell ref="A863:D864"/>
    <mergeCell ref="C854:D854"/>
    <mergeCell ref="J854:L854"/>
    <mergeCell ref="B855:D855"/>
    <mergeCell ref="G855:H855"/>
    <mergeCell ref="K855:L855"/>
    <mergeCell ref="B856:D856"/>
    <mergeCell ref="B847:D847"/>
    <mergeCell ref="B848:D848"/>
    <mergeCell ref="B849:D849"/>
    <mergeCell ref="B850:D850"/>
    <mergeCell ref="B841:D841"/>
    <mergeCell ref="B842:D842"/>
    <mergeCell ref="B843:D843"/>
    <mergeCell ref="B844:D844"/>
    <mergeCell ref="B845:D845"/>
    <mergeCell ref="B846:D846"/>
    <mergeCell ref="A851:D852"/>
    <mergeCell ref="C838:D838"/>
    <mergeCell ref="J838:L838"/>
    <mergeCell ref="B839:D839"/>
    <mergeCell ref="G839:H839"/>
    <mergeCell ref="K839:L839"/>
    <mergeCell ref="B840:D840"/>
    <mergeCell ref="B831:D831"/>
    <mergeCell ref="B832:D832"/>
    <mergeCell ref="B833:D833"/>
    <mergeCell ref="B834:D834"/>
    <mergeCell ref="B825:D825"/>
    <mergeCell ref="C829:D829"/>
    <mergeCell ref="J829:L829"/>
    <mergeCell ref="B830:D830"/>
    <mergeCell ref="G830:H830"/>
    <mergeCell ref="K830:L830"/>
    <mergeCell ref="A826:D827"/>
    <mergeCell ref="A835:D836"/>
    <mergeCell ref="B795:D795"/>
    <mergeCell ref="B796:D796"/>
    <mergeCell ref="B797:D797"/>
    <mergeCell ref="B798:D798"/>
    <mergeCell ref="B819:D819"/>
    <mergeCell ref="B820:D820"/>
    <mergeCell ref="B821:D821"/>
    <mergeCell ref="B822:D822"/>
    <mergeCell ref="B823:D823"/>
    <mergeCell ref="B824:D824"/>
    <mergeCell ref="C817:D817"/>
    <mergeCell ref="J817:L817"/>
    <mergeCell ref="B818:D818"/>
    <mergeCell ref="G818:H818"/>
    <mergeCell ref="K818:L818"/>
    <mergeCell ref="B809:D809"/>
    <mergeCell ref="B810:D810"/>
    <mergeCell ref="B811:D811"/>
    <mergeCell ref="B812:D812"/>
    <mergeCell ref="B813:D813"/>
    <mergeCell ref="B805:D805"/>
    <mergeCell ref="G805:H805"/>
    <mergeCell ref="K805:L805"/>
    <mergeCell ref="B806:D806"/>
    <mergeCell ref="B807:D807"/>
    <mergeCell ref="B808:D808"/>
    <mergeCell ref="B799:D799"/>
    <mergeCell ref="B800:D800"/>
    <mergeCell ref="C804:D804"/>
    <mergeCell ref="J804:L804"/>
    <mergeCell ref="A814:D815"/>
    <mergeCell ref="B773:D773"/>
    <mergeCell ref="B774:D774"/>
    <mergeCell ref="B775:D775"/>
    <mergeCell ref="B776:D776"/>
    <mergeCell ref="B777:D777"/>
    <mergeCell ref="B769:D769"/>
    <mergeCell ref="B770:D770"/>
    <mergeCell ref="B771:D771"/>
    <mergeCell ref="B772:D772"/>
    <mergeCell ref="C767:D767"/>
    <mergeCell ref="J767:L767"/>
    <mergeCell ref="B768:D768"/>
    <mergeCell ref="G768:H768"/>
    <mergeCell ref="K768:L768"/>
    <mergeCell ref="C791:D791"/>
    <mergeCell ref="J791:L791"/>
    <mergeCell ref="B792:D792"/>
    <mergeCell ref="G792:H792"/>
    <mergeCell ref="K792:L792"/>
    <mergeCell ref="B784:D784"/>
    <mergeCell ref="B785:D785"/>
    <mergeCell ref="B786:D786"/>
    <mergeCell ref="B787:D787"/>
    <mergeCell ref="C781:D781"/>
    <mergeCell ref="J781:L781"/>
    <mergeCell ref="B782:D782"/>
    <mergeCell ref="G782:H782"/>
    <mergeCell ref="K782:L782"/>
    <mergeCell ref="B783:D783"/>
    <mergeCell ref="J756:L756"/>
    <mergeCell ref="B757:D757"/>
    <mergeCell ref="G757:H757"/>
    <mergeCell ref="K757:L757"/>
    <mergeCell ref="C734:D734"/>
    <mergeCell ref="J734:L734"/>
    <mergeCell ref="B735:D735"/>
    <mergeCell ref="G735:H735"/>
    <mergeCell ref="I735:J735"/>
    <mergeCell ref="K735:L735"/>
    <mergeCell ref="I737:J737"/>
    <mergeCell ref="B730:D730"/>
    <mergeCell ref="I730:J730"/>
    <mergeCell ref="B731:D731"/>
    <mergeCell ref="I731:J731"/>
    <mergeCell ref="K749:L749"/>
    <mergeCell ref="B750:D750"/>
    <mergeCell ref="G750:H750"/>
    <mergeCell ref="B753:D753"/>
    <mergeCell ref="G753:H753"/>
    <mergeCell ref="K753:L753"/>
    <mergeCell ref="B754:D754"/>
    <mergeCell ref="G754:H754"/>
    <mergeCell ref="B741:D741"/>
    <mergeCell ref="G741:H741"/>
    <mergeCell ref="K741:L741"/>
    <mergeCell ref="B742:D742"/>
    <mergeCell ref="G742:H742"/>
    <mergeCell ref="B745:D745"/>
    <mergeCell ref="G745:H745"/>
    <mergeCell ref="B696:D696"/>
    <mergeCell ref="F697:F698"/>
    <mergeCell ref="G697:J697"/>
    <mergeCell ref="G698:J698"/>
    <mergeCell ref="A701:L701"/>
    <mergeCell ref="A713:L713"/>
    <mergeCell ref="A727:L727"/>
    <mergeCell ref="C702:D702"/>
    <mergeCell ref="J702:L702"/>
    <mergeCell ref="G703:H703"/>
    <mergeCell ref="K703:L703"/>
    <mergeCell ref="B703:D703"/>
    <mergeCell ref="B704:D704"/>
    <mergeCell ref="G715:H715"/>
    <mergeCell ref="I715:J715"/>
    <mergeCell ref="K715:L715"/>
    <mergeCell ref="B719:D719"/>
    <mergeCell ref="I719:J719"/>
    <mergeCell ref="B720:D720"/>
    <mergeCell ref="I720:J720"/>
    <mergeCell ref="B716:D716"/>
    <mergeCell ref="I716:J716"/>
    <mergeCell ref="B717:D717"/>
    <mergeCell ref="I717:J717"/>
    <mergeCell ref="B725:D725"/>
    <mergeCell ref="I725:J725"/>
    <mergeCell ref="B705:D705"/>
    <mergeCell ref="B706:D706"/>
    <mergeCell ref="B707:D707"/>
    <mergeCell ref="B708:D708"/>
    <mergeCell ref="B709:D709"/>
    <mergeCell ref="B710:D710"/>
    <mergeCell ref="B693:D693"/>
    <mergeCell ref="B694:D694"/>
    <mergeCell ref="B695:D695"/>
    <mergeCell ref="B669:D669"/>
    <mergeCell ref="I669:J669"/>
    <mergeCell ref="K669:L669"/>
    <mergeCell ref="B672:D672"/>
    <mergeCell ref="B689:D689"/>
    <mergeCell ref="J691:L691"/>
    <mergeCell ref="B692:D692"/>
    <mergeCell ref="G692:H692"/>
    <mergeCell ref="K692:L692"/>
    <mergeCell ref="C686:D686"/>
    <mergeCell ref="J686:L686"/>
    <mergeCell ref="B687:D687"/>
    <mergeCell ref="I687:J687"/>
    <mergeCell ref="K687:L687"/>
    <mergeCell ref="B688:D688"/>
    <mergeCell ref="I688:J688"/>
    <mergeCell ref="A690:L690"/>
    <mergeCell ref="B684:D684"/>
    <mergeCell ref="C679:D679"/>
    <mergeCell ref="J679:L679"/>
    <mergeCell ref="B680:D680"/>
    <mergeCell ref="I680:J680"/>
    <mergeCell ref="K680:L680"/>
    <mergeCell ref="A685:L685"/>
    <mergeCell ref="A683:H683"/>
    <mergeCell ref="B666:D666"/>
    <mergeCell ref="C668:D668"/>
    <mergeCell ref="J668:L668"/>
    <mergeCell ref="B664:D664"/>
    <mergeCell ref="I664:J664"/>
    <mergeCell ref="K664:L664"/>
    <mergeCell ref="B665:D665"/>
    <mergeCell ref="I665:J665"/>
    <mergeCell ref="B681:D681"/>
    <mergeCell ref="I681:J681"/>
    <mergeCell ref="B682:D682"/>
    <mergeCell ref="I682:J682"/>
    <mergeCell ref="B660:D660"/>
    <mergeCell ref="I660:J660"/>
    <mergeCell ref="B661:D661"/>
    <mergeCell ref="A657:L657"/>
    <mergeCell ref="C663:D663"/>
    <mergeCell ref="J663:L663"/>
    <mergeCell ref="B676:D676"/>
    <mergeCell ref="I676:J676"/>
    <mergeCell ref="B677:D677"/>
    <mergeCell ref="C674:D674"/>
    <mergeCell ref="J674:L674"/>
    <mergeCell ref="B675:D675"/>
    <mergeCell ref="I675:J675"/>
    <mergeCell ref="K675:L675"/>
    <mergeCell ref="A662:L662"/>
    <mergeCell ref="A667:L667"/>
    <mergeCell ref="A673:L673"/>
    <mergeCell ref="A678:L678"/>
    <mergeCell ref="B656:D656"/>
    <mergeCell ref="C658:D658"/>
    <mergeCell ref="J658:L658"/>
    <mergeCell ref="B659:D659"/>
    <mergeCell ref="I659:J659"/>
    <mergeCell ref="K659:L659"/>
    <mergeCell ref="B654:D654"/>
    <mergeCell ref="G654:H654"/>
    <mergeCell ref="I654:J654"/>
    <mergeCell ref="K654:L654"/>
    <mergeCell ref="B655:D655"/>
    <mergeCell ref="I655:J655"/>
    <mergeCell ref="B650:D650"/>
    <mergeCell ref="I650:J650"/>
    <mergeCell ref="B651:D651"/>
    <mergeCell ref="A647:L647"/>
    <mergeCell ref="C653:D653"/>
    <mergeCell ref="J653:L653"/>
    <mergeCell ref="C648:D648"/>
    <mergeCell ref="J648:L648"/>
    <mergeCell ref="B649:D649"/>
    <mergeCell ref="I649:J649"/>
    <mergeCell ref="K649:L649"/>
    <mergeCell ref="A652:L652"/>
    <mergeCell ref="B644:D644"/>
    <mergeCell ref="G644:H644"/>
    <mergeCell ref="I644:J644"/>
    <mergeCell ref="K644:L644"/>
    <mergeCell ref="B645:D645"/>
    <mergeCell ref="I645:J645"/>
    <mergeCell ref="B640:D640"/>
    <mergeCell ref="I640:J640"/>
    <mergeCell ref="B641:D641"/>
    <mergeCell ref="A637:L637"/>
    <mergeCell ref="C643:D643"/>
    <mergeCell ref="J643:L643"/>
    <mergeCell ref="C638:D638"/>
    <mergeCell ref="J638:L638"/>
    <mergeCell ref="B639:D639"/>
    <mergeCell ref="I639:J639"/>
    <mergeCell ref="K639:L639"/>
    <mergeCell ref="B634:D634"/>
    <mergeCell ref="I634:J634"/>
    <mergeCell ref="K634:L634"/>
    <mergeCell ref="B635:D635"/>
    <mergeCell ref="I635:J635"/>
    <mergeCell ref="B636:D636"/>
    <mergeCell ref="G630:J630"/>
    <mergeCell ref="C633:D633"/>
    <mergeCell ref="J633:L633"/>
    <mergeCell ref="B625:D625"/>
    <mergeCell ref="G625:H625"/>
    <mergeCell ref="K625:L625"/>
    <mergeCell ref="B626:D626"/>
    <mergeCell ref="B627:D627"/>
    <mergeCell ref="F629:F630"/>
    <mergeCell ref="G629:J629"/>
    <mergeCell ref="C624:D624"/>
    <mergeCell ref="J624:L624"/>
    <mergeCell ref="J596:L596"/>
    <mergeCell ref="B597:D597"/>
    <mergeCell ref="G597:H597"/>
    <mergeCell ref="K597:L597"/>
    <mergeCell ref="B573:D573"/>
    <mergeCell ref="F574:F575"/>
    <mergeCell ref="G574:J574"/>
    <mergeCell ref="G575:J575"/>
    <mergeCell ref="B574:D576"/>
    <mergeCell ref="A578:L578"/>
    <mergeCell ref="B588:D588"/>
    <mergeCell ref="G588:H588"/>
    <mergeCell ref="K588:L588"/>
    <mergeCell ref="B589:D589"/>
    <mergeCell ref="B590:D590"/>
    <mergeCell ref="F591:F592"/>
    <mergeCell ref="G591:J591"/>
    <mergeCell ref="G592:J592"/>
    <mergeCell ref="B581:D581"/>
    <mergeCell ref="F582:F583"/>
    <mergeCell ref="G582:J582"/>
    <mergeCell ref="G583:J583"/>
    <mergeCell ref="C587:D587"/>
    <mergeCell ref="J587:L587"/>
    <mergeCell ref="C579:D579"/>
    <mergeCell ref="J579:L579"/>
    <mergeCell ref="B580:D580"/>
    <mergeCell ref="G580:H580"/>
    <mergeCell ref="K580:L580"/>
    <mergeCell ref="A586:L586"/>
    <mergeCell ref="A595:L595"/>
    <mergeCell ref="B558:D558"/>
    <mergeCell ref="I558:J558"/>
    <mergeCell ref="K558:L558"/>
    <mergeCell ref="B559:D559"/>
    <mergeCell ref="I559:J559"/>
    <mergeCell ref="B560:D560"/>
    <mergeCell ref="G553:I553"/>
    <mergeCell ref="C557:D557"/>
    <mergeCell ref="G557:H557"/>
    <mergeCell ref="J557:L557"/>
    <mergeCell ref="B551:D551"/>
    <mergeCell ref="I551:J551"/>
    <mergeCell ref="B552:D552"/>
    <mergeCell ref="I552:J552"/>
    <mergeCell ref="C571:D571"/>
    <mergeCell ref="J571:L571"/>
    <mergeCell ref="B572:D572"/>
    <mergeCell ref="G572:H572"/>
    <mergeCell ref="K572:L572"/>
    <mergeCell ref="B567:D567"/>
    <mergeCell ref="I567:J567"/>
    <mergeCell ref="B568:D568"/>
    <mergeCell ref="C565:D565"/>
    <mergeCell ref="G565:H565"/>
    <mergeCell ref="J565:L565"/>
    <mergeCell ref="B566:D566"/>
    <mergeCell ref="I566:J566"/>
    <mergeCell ref="K566:L566"/>
    <mergeCell ref="A561:L563"/>
    <mergeCell ref="E568:H568"/>
    <mergeCell ref="A570:L570"/>
    <mergeCell ref="A569:L569"/>
    <mergeCell ref="C549:D549"/>
    <mergeCell ref="J549:L549"/>
    <mergeCell ref="B550:D550"/>
    <mergeCell ref="G550:H550"/>
    <mergeCell ref="I550:J550"/>
    <mergeCell ref="K550:L550"/>
    <mergeCell ref="B543:D543"/>
    <mergeCell ref="I543:J543"/>
    <mergeCell ref="B544:D544"/>
    <mergeCell ref="I544:J544"/>
    <mergeCell ref="I545:J545"/>
    <mergeCell ref="B539:D539"/>
    <mergeCell ref="C541:D541"/>
    <mergeCell ref="J541:L541"/>
    <mergeCell ref="B542:D542"/>
    <mergeCell ref="G542:H542"/>
    <mergeCell ref="I542:J542"/>
    <mergeCell ref="K542:L542"/>
    <mergeCell ref="B545:D545"/>
    <mergeCell ref="B546:D546"/>
    <mergeCell ref="I546:J546"/>
    <mergeCell ref="B515:D515"/>
    <mergeCell ref="B516:D516"/>
    <mergeCell ref="B517:D517"/>
    <mergeCell ref="B519:D519"/>
    <mergeCell ref="F521:F522"/>
    <mergeCell ref="G521:J521"/>
    <mergeCell ref="G522:J522"/>
    <mergeCell ref="B510:D510"/>
    <mergeCell ref="C513:D513"/>
    <mergeCell ref="J513:L513"/>
    <mergeCell ref="B514:D514"/>
    <mergeCell ref="G514:H514"/>
    <mergeCell ref="K514:L514"/>
    <mergeCell ref="B537:D537"/>
    <mergeCell ref="I537:J537"/>
    <mergeCell ref="K537:L537"/>
    <mergeCell ref="B538:D538"/>
    <mergeCell ref="I538:J538"/>
    <mergeCell ref="C536:D536"/>
    <mergeCell ref="J536:L536"/>
    <mergeCell ref="G537:H537"/>
    <mergeCell ref="D527:L527"/>
    <mergeCell ref="D533:L533"/>
    <mergeCell ref="A534:C534"/>
    <mergeCell ref="D534:L534"/>
    <mergeCell ref="A529:C529"/>
    <mergeCell ref="D529:L529"/>
    <mergeCell ref="A530:C530"/>
    <mergeCell ref="D530:L530"/>
    <mergeCell ref="A531:C531"/>
    <mergeCell ref="D531:L531"/>
    <mergeCell ref="A532:C532"/>
    <mergeCell ref="B507:D507"/>
    <mergeCell ref="I507:J507"/>
    <mergeCell ref="B508:D508"/>
    <mergeCell ref="I508:J508"/>
    <mergeCell ref="C504:D504"/>
    <mergeCell ref="J504:L504"/>
    <mergeCell ref="B505:D505"/>
    <mergeCell ref="G505:H505"/>
    <mergeCell ref="I505:J505"/>
    <mergeCell ref="K505:L505"/>
    <mergeCell ref="B496:D496"/>
    <mergeCell ref="G498:H498"/>
    <mergeCell ref="B499:D499"/>
    <mergeCell ref="F499:F500"/>
    <mergeCell ref="G499:J499"/>
    <mergeCell ref="G500:J500"/>
    <mergeCell ref="B497:D497"/>
    <mergeCell ref="B464:D464"/>
    <mergeCell ref="A465:I465"/>
    <mergeCell ref="B463:D463"/>
    <mergeCell ref="B492:D492"/>
    <mergeCell ref="G492:H492"/>
    <mergeCell ref="K492:L492"/>
    <mergeCell ref="B494:D494"/>
    <mergeCell ref="B495:D495"/>
    <mergeCell ref="B493:D493"/>
    <mergeCell ref="C491:D491"/>
    <mergeCell ref="J491:L491"/>
    <mergeCell ref="G486:J486"/>
    <mergeCell ref="G487:J487"/>
    <mergeCell ref="B486:D486"/>
    <mergeCell ref="B506:D506"/>
    <mergeCell ref="I506:J506"/>
    <mergeCell ref="B476:D476"/>
    <mergeCell ref="G476:H476"/>
    <mergeCell ref="K476:L476"/>
    <mergeCell ref="B477:D477"/>
    <mergeCell ref="G477:H477"/>
    <mergeCell ref="B487:D487"/>
    <mergeCell ref="F486:F487"/>
    <mergeCell ref="J479:L479"/>
    <mergeCell ref="B480:D480"/>
    <mergeCell ref="G480:H480"/>
    <mergeCell ref="K480:L480"/>
    <mergeCell ref="B481:D481"/>
    <mergeCell ref="B470:D470"/>
    <mergeCell ref="I470:J470"/>
    <mergeCell ref="G472:I472"/>
    <mergeCell ref="B468:D468"/>
    <mergeCell ref="G468:H468"/>
    <mergeCell ref="I468:J468"/>
    <mergeCell ref="B469:D469"/>
    <mergeCell ref="I469:J469"/>
    <mergeCell ref="C479:D479"/>
    <mergeCell ref="A474:L474"/>
    <mergeCell ref="C475:D475"/>
    <mergeCell ref="J475:L475"/>
    <mergeCell ref="K405:L405"/>
    <mergeCell ref="B406:D406"/>
    <mergeCell ref="G406:H406"/>
    <mergeCell ref="A439:L439"/>
    <mergeCell ref="B409:D409"/>
    <mergeCell ref="G409:H409"/>
    <mergeCell ref="K409:L409"/>
    <mergeCell ref="B410:D410"/>
    <mergeCell ref="G463:H463"/>
    <mergeCell ref="A456:L456"/>
    <mergeCell ref="C445:D445"/>
    <mergeCell ref="J445:L445"/>
    <mergeCell ref="B446:D446"/>
    <mergeCell ref="B447:D447"/>
    <mergeCell ref="B458:D458"/>
    <mergeCell ref="G458:H458"/>
    <mergeCell ref="K458:L458"/>
    <mergeCell ref="B459:D459"/>
    <mergeCell ref="G459:H459"/>
    <mergeCell ref="A460:L460"/>
    <mergeCell ref="I430:J430"/>
    <mergeCell ref="B431:D431"/>
    <mergeCell ref="I431:J431"/>
    <mergeCell ref="B432:D432"/>
    <mergeCell ref="B433:D433"/>
    <mergeCell ref="I433:J433"/>
    <mergeCell ref="I437:J437"/>
    <mergeCell ref="B438:D438"/>
    <mergeCell ref="C461:D461"/>
    <mergeCell ref="J461:L461"/>
    <mergeCell ref="B462:D462"/>
    <mergeCell ref="D341:L341"/>
    <mergeCell ref="F333:F334"/>
    <mergeCell ref="G333:J333"/>
    <mergeCell ref="G334:J334"/>
    <mergeCell ref="B329:D329"/>
    <mergeCell ref="G329:H329"/>
    <mergeCell ref="K329:L329"/>
    <mergeCell ref="B330:D330"/>
    <mergeCell ref="B331:D331"/>
    <mergeCell ref="B332:D332"/>
    <mergeCell ref="A367:C367"/>
    <mergeCell ref="D367:L367"/>
    <mergeCell ref="F359:F360"/>
    <mergeCell ref="G359:J359"/>
    <mergeCell ref="G360:J360"/>
    <mergeCell ref="A363:L363"/>
    <mergeCell ref="A364:C364"/>
    <mergeCell ref="D364:L364"/>
    <mergeCell ref="B349:D349"/>
    <mergeCell ref="B350:D350"/>
    <mergeCell ref="B352:D352"/>
    <mergeCell ref="B354:D354"/>
    <mergeCell ref="B355:D355"/>
    <mergeCell ref="B357:D357"/>
    <mergeCell ref="B426:D426"/>
    <mergeCell ref="B356:D356"/>
    <mergeCell ref="A346:L346"/>
    <mergeCell ref="C347:D347"/>
    <mergeCell ref="J347:L347"/>
    <mergeCell ref="G348:H348"/>
    <mergeCell ref="K348:L348"/>
    <mergeCell ref="A365:C365"/>
    <mergeCell ref="D365:L365"/>
    <mergeCell ref="F323:F324"/>
    <mergeCell ref="G323:J323"/>
    <mergeCell ref="G324:J324"/>
    <mergeCell ref="A327:L327"/>
    <mergeCell ref="C328:D328"/>
    <mergeCell ref="J328:L328"/>
    <mergeCell ref="A345:C345"/>
    <mergeCell ref="D345:L345"/>
    <mergeCell ref="B319:D319"/>
    <mergeCell ref="G319:H319"/>
    <mergeCell ref="K319:L319"/>
    <mergeCell ref="B320:D320"/>
    <mergeCell ref="B321:D321"/>
    <mergeCell ref="B322:D322"/>
    <mergeCell ref="B315:D315"/>
    <mergeCell ref="I315:J315"/>
    <mergeCell ref="A317:L317"/>
    <mergeCell ref="J318:L318"/>
    <mergeCell ref="A337:L337"/>
    <mergeCell ref="A338:C338"/>
    <mergeCell ref="D338:L338"/>
    <mergeCell ref="A342:C342"/>
    <mergeCell ref="D342:L342"/>
    <mergeCell ref="A343:C343"/>
    <mergeCell ref="D343:L343"/>
    <mergeCell ref="A344:C344"/>
    <mergeCell ref="D344:L344"/>
    <mergeCell ref="A339:C339"/>
    <mergeCell ref="D339:L339"/>
    <mergeCell ref="A340:C340"/>
    <mergeCell ref="D340:L340"/>
    <mergeCell ref="A341:C341"/>
    <mergeCell ref="A312:L312"/>
    <mergeCell ref="C313:D313"/>
    <mergeCell ref="J313:L313"/>
    <mergeCell ref="B314:D314"/>
    <mergeCell ref="I314:J314"/>
    <mergeCell ref="K314:L314"/>
    <mergeCell ref="B306:D306"/>
    <mergeCell ref="F308:F309"/>
    <mergeCell ref="G308:J308"/>
    <mergeCell ref="B309:D309"/>
    <mergeCell ref="G309:J309"/>
    <mergeCell ref="C303:D303"/>
    <mergeCell ref="J303:L303"/>
    <mergeCell ref="B304:D304"/>
    <mergeCell ref="G304:H304"/>
    <mergeCell ref="K304:L304"/>
    <mergeCell ref="B305:D305"/>
    <mergeCell ref="B299:D299"/>
    <mergeCell ref="I299:J299"/>
    <mergeCell ref="I300:J300"/>
    <mergeCell ref="B301:D301"/>
    <mergeCell ref="A302:L302"/>
    <mergeCell ref="B297:D297"/>
    <mergeCell ref="I297:J297"/>
    <mergeCell ref="K297:L297"/>
    <mergeCell ref="B298:D298"/>
    <mergeCell ref="I298:J298"/>
    <mergeCell ref="B293:D293"/>
    <mergeCell ref="I293:J293"/>
    <mergeCell ref="A295:L295"/>
    <mergeCell ref="C296:D296"/>
    <mergeCell ref="J296:L296"/>
    <mergeCell ref="A294:E294"/>
    <mergeCell ref="B282:D282"/>
    <mergeCell ref="I282:J282"/>
    <mergeCell ref="K282:L282"/>
    <mergeCell ref="A290:L290"/>
    <mergeCell ref="C291:D291"/>
    <mergeCell ref="J291:L291"/>
    <mergeCell ref="B292:D292"/>
    <mergeCell ref="I292:J292"/>
    <mergeCell ref="K292:L292"/>
    <mergeCell ref="B287:D287"/>
    <mergeCell ref="I287:J287"/>
    <mergeCell ref="K287:L287"/>
    <mergeCell ref="B288:D288"/>
    <mergeCell ref="I288:J288"/>
    <mergeCell ref="B289:D289"/>
    <mergeCell ref="B283:D283"/>
    <mergeCell ref="I283:J283"/>
    <mergeCell ref="B284:D284"/>
    <mergeCell ref="A285:L285"/>
    <mergeCell ref="C286:D286"/>
    <mergeCell ref="J286:L286"/>
    <mergeCell ref="G292:H292"/>
    <mergeCell ref="C271:D271"/>
    <mergeCell ref="J271:L271"/>
    <mergeCell ref="B272:D272"/>
    <mergeCell ref="I272:J272"/>
    <mergeCell ref="K272:L272"/>
    <mergeCell ref="B273:D273"/>
    <mergeCell ref="I273:J273"/>
    <mergeCell ref="B268:D268"/>
    <mergeCell ref="I268:J268"/>
    <mergeCell ref="B269:D269"/>
    <mergeCell ref="A270:L270"/>
    <mergeCell ref="C266:D266"/>
    <mergeCell ref="J266:L266"/>
    <mergeCell ref="B267:D267"/>
    <mergeCell ref="I267:J267"/>
    <mergeCell ref="K267:L267"/>
    <mergeCell ref="C281:D281"/>
    <mergeCell ref="J281:L281"/>
    <mergeCell ref="B278:D278"/>
    <mergeCell ref="I278:J278"/>
    <mergeCell ref="A280:L280"/>
    <mergeCell ref="B274:D274"/>
    <mergeCell ref="A275:L275"/>
    <mergeCell ref="C276:D276"/>
    <mergeCell ref="J276:L276"/>
    <mergeCell ref="B277:D277"/>
    <mergeCell ref="I277:J277"/>
    <mergeCell ref="K277:L277"/>
    <mergeCell ref="B259:D259"/>
    <mergeCell ref="G259:H259"/>
    <mergeCell ref="K259:L259"/>
    <mergeCell ref="B260:D260"/>
    <mergeCell ref="F261:F262"/>
    <mergeCell ref="G261:J261"/>
    <mergeCell ref="G262:J262"/>
    <mergeCell ref="B255:D255"/>
    <mergeCell ref="I255:J255"/>
    <mergeCell ref="B256:D256"/>
    <mergeCell ref="A257:L257"/>
    <mergeCell ref="C258:D258"/>
    <mergeCell ref="J258:L258"/>
    <mergeCell ref="C245:D245"/>
    <mergeCell ref="J245:L245"/>
    <mergeCell ref="B250:D250"/>
    <mergeCell ref="G250:H250"/>
    <mergeCell ref="K250:L250"/>
    <mergeCell ref="B251:D251"/>
    <mergeCell ref="G251:H251"/>
    <mergeCell ref="B246:D246"/>
    <mergeCell ref="G246:H246"/>
    <mergeCell ref="K246:L246"/>
    <mergeCell ref="B247:D247"/>
    <mergeCell ref="G247:H247"/>
    <mergeCell ref="A238:C238"/>
    <mergeCell ref="D238:L238"/>
    <mergeCell ref="A239:C239"/>
    <mergeCell ref="D239:L239"/>
    <mergeCell ref="A240:C240"/>
    <mergeCell ref="D240:L240"/>
    <mergeCell ref="C253:D253"/>
    <mergeCell ref="J253:L253"/>
    <mergeCell ref="B254:D254"/>
    <mergeCell ref="I254:J254"/>
    <mergeCell ref="K254:L254"/>
    <mergeCell ref="A236:C236"/>
    <mergeCell ref="D235:L235"/>
    <mergeCell ref="A237:C237"/>
    <mergeCell ref="D236:L236"/>
    <mergeCell ref="D237:L237"/>
    <mergeCell ref="A248:L248"/>
    <mergeCell ref="C249:D249"/>
    <mergeCell ref="J249:L249"/>
    <mergeCell ref="A252:L252"/>
    <mergeCell ref="A242:C242"/>
    <mergeCell ref="A243:C243"/>
    <mergeCell ref="D242:L242"/>
    <mergeCell ref="D243:L243"/>
    <mergeCell ref="B228:D228"/>
    <mergeCell ref="B229:D229"/>
    <mergeCell ref="B230:D230"/>
    <mergeCell ref="D203:L203"/>
    <mergeCell ref="I231:J231"/>
    <mergeCell ref="I232:J232"/>
    <mergeCell ref="A224:L224"/>
    <mergeCell ref="C225:D225"/>
    <mergeCell ref="J225:L225"/>
    <mergeCell ref="C226:D226"/>
    <mergeCell ref="K226:L226"/>
    <mergeCell ref="B227:D227"/>
    <mergeCell ref="B218:D218"/>
    <mergeCell ref="G218:H218"/>
    <mergeCell ref="K218:L218"/>
    <mergeCell ref="B219:D219"/>
    <mergeCell ref="B220:D220"/>
    <mergeCell ref="F220:F221"/>
    <mergeCell ref="G220:J220"/>
    <mergeCell ref="G221:J221"/>
    <mergeCell ref="I218:J218"/>
    <mergeCell ref="I219:J219"/>
    <mergeCell ref="A216:L216"/>
    <mergeCell ref="J217:L217"/>
    <mergeCell ref="D210:L210"/>
    <mergeCell ref="A211:L211"/>
    <mergeCell ref="C212:D212"/>
    <mergeCell ref="J212:L212"/>
    <mergeCell ref="B214:D214"/>
    <mergeCell ref="I214:J214"/>
    <mergeCell ref="B215:D215"/>
    <mergeCell ref="C49:D49"/>
    <mergeCell ref="J49:L49"/>
    <mergeCell ref="I191:J191"/>
    <mergeCell ref="A207:C207"/>
    <mergeCell ref="D207:L207"/>
    <mergeCell ref="A210:C210"/>
    <mergeCell ref="B213:D213"/>
    <mergeCell ref="I213:J213"/>
    <mergeCell ref="K213:L213"/>
    <mergeCell ref="J194:L194"/>
    <mergeCell ref="B195:D195"/>
    <mergeCell ref="G195:H195"/>
    <mergeCell ref="I195:J195"/>
    <mergeCell ref="K195:L195"/>
    <mergeCell ref="A208:C208"/>
    <mergeCell ref="D208:L208"/>
    <mergeCell ref="A209:C209"/>
    <mergeCell ref="D209:L209"/>
    <mergeCell ref="A204:C204"/>
    <mergeCell ref="D204:L204"/>
    <mergeCell ref="A205:C205"/>
    <mergeCell ref="D205:L205"/>
    <mergeCell ref="A206:C206"/>
    <mergeCell ref="D206:L206"/>
    <mergeCell ref="B199:D199"/>
    <mergeCell ref="A202:C202"/>
    <mergeCell ref="D202:L202"/>
    <mergeCell ref="A203:C203"/>
    <mergeCell ref="G198:J198"/>
    <mergeCell ref="B192:D192"/>
    <mergeCell ref="A193:L193"/>
    <mergeCell ref="C194:D194"/>
    <mergeCell ref="B10:D10"/>
    <mergeCell ref="B11:D11"/>
    <mergeCell ref="B12:D12"/>
    <mergeCell ref="B13:D13"/>
    <mergeCell ref="B14:D14"/>
    <mergeCell ref="B15:D15"/>
    <mergeCell ref="B16:D16"/>
    <mergeCell ref="B17:D17"/>
    <mergeCell ref="B18:D18"/>
    <mergeCell ref="B19:D19"/>
    <mergeCell ref="B20:D20"/>
    <mergeCell ref="B21:D21"/>
    <mergeCell ref="B22:D22"/>
    <mergeCell ref="B23:D23"/>
    <mergeCell ref="B45:D45"/>
    <mergeCell ref="B46:D46"/>
    <mergeCell ref="A48:L48"/>
    <mergeCell ref="B24:D24"/>
    <mergeCell ref="B25:D25"/>
    <mergeCell ref="A27:L27"/>
    <mergeCell ref="C28:D28"/>
    <mergeCell ref="J28:L28"/>
    <mergeCell ref="B29:D29"/>
    <mergeCell ref="B30:D30"/>
    <mergeCell ref="B31:D31"/>
    <mergeCell ref="B32:D32"/>
    <mergeCell ref="B33:D33"/>
    <mergeCell ref="B34:D34"/>
    <mergeCell ref="B35:D35"/>
    <mergeCell ref="B40:D40"/>
    <mergeCell ref="B41:D41"/>
    <mergeCell ref="B42:D42"/>
    <mergeCell ref="A1:L1"/>
    <mergeCell ref="A2:L2"/>
    <mergeCell ref="A4:L4"/>
    <mergeCell ref="A6:L6"/>
    <mergeCell ref="B186:D186"/>
    <mergeCell ref="I186:J186"/>
    <mergeCell ref="B187:D187"/>
    <mergeCell ref="A188:L188"/>
    <mergeCell ref="C189:D189"/>
    <mergeCell ref="J189:L189"/>
    <mergeCell ref="A7:L7"/>
    <mergeCell ref="C184:D184"/>
    <mergeCell ref="J184:L184"/>
    <mergeCell ref="B185:D185"/>
    <mergeCell ref="I185:J185"/>
    <mergeCell ref="K185:L185"/>
    <mergeCell ref="B36:D36"/>
    <mergeCell ref="B37:D37"/>
    <mergeCell ref="B38:D38"/>
    <mergeCell ref="B39:D39"/>
    <mergeCell ref="J172:L172"/>
    <mergeCell ref="A175:L175"/>
    <mergeCell ref="A95:L95"/>
    <mergeCell ref="C96:D96"/>
    <mergeCell ref="J96:L96"/>
    <mergeCell ref="C112:D112"/>
    <mergeCell ref="J112:L112"/>
    <mergeCell ref="A115:L115"/>
    <mergeCell ref="B50:D50"/>
    <mergeCell ref="C8:D8"/>
    <mergeCell ref="J8:L8"/>
    <mergeCell ref="B9:D9"/>
    <mergeCell ref="A372:C372"/>
    <mergeCell ref="D372:L372"/>
    <mergeCell ref="A402:C402"/>
    <mergeCell ref="D402:L402"/>
    <mergeCell ref="A473:L473"/>
    <mergeCell ref="A525:L525"/>
    <mergeCell ref="A526:C526"/>
    <mergeCell ref="D526:L526"/>
    <mergeCell ref="A527:C527"/>
    <mergeCell ref="D398:L398"/>
    <mergeCell ref="B389:D389"/>
    <mergeCell ref="F390:F391"/>
    <mergeCell ref="G390:J390"/>
    <mergeCell ref="G391:J391"/>
    <mergeCell ref="A394:L394"/>
    <mergeCell ref="A395:C395"/>
    <mergeCell ref="D395:L395"/>
    <mergeCell ref="B434:D434"/>
    <mergeCell ref="I434:J434"/>
    <mergeCell ref="B435:D435"/>
    <mergeCell ref="I435:J435"/>
    <mergeCell ref="B436:D436"/>
    <mergeCell ref="I436:J436"/>
    <mergeCell ref="I381:J381"/>
    <mergeCell ref="C428:D428"/>
    <mergeCell ref="J428:L428"/>
    <mergeCell ref="B382:D382"/>
    <mergeCell ref="A383:L383"/>
    <mergeCell ref="G410:H410"/>
    <mergeCell ref="B417:D417"/>
    <mergeCell ref="G417:H417"/>
    <mergeCell ref="K417:L417"/>
    <mergeCell ref="G2751:J2751"/>
    <mergeCell ref="A2754:L2754"/>
    <mergeCell ref="A2762:L2762"/>
    <mergeCell ref="C2746:D2746"/>
    <mergeCell ref="J2746:L2746"/>
    <mergeCell ref="B2747:D2747"/>
    <mergeCell ref="G2747:H2747"/>
    <mergeCell ref="K2747:L2747"/>
    <mergeCell ref="B2764:D2764"/>
    <mergeCell ref="G2764:H2764"/>
    <mergeCell ref="F3030:F3031"/>
    <mergeCell ref="G3030:J3030"/>
    <mergeCell ref="B2554:D2554"/>
    <mergeCell ref="B2365:D2365"/>
    <mergeCell ref="C2367:D2367"/>
    <mergeCell ref="J2367:L2367"/>
    <mergeCell ref="A2366:L2366"/>
    <mergeCell ref="A2374:L2374"/>
    <mergeCell ref="A2399:C2399"/>
    <mergeCell ref="D2399:L2399"/>
    <mergeCell ref="A2400:C2400"/>
    <mergeCell ref="B2543:D2543"/>
    <mergeCell ref="B2544:D2544"/>
    <mergeCell ref="B2545:D2545"/>
    <mergeCell ref="B2546:D2546"/>
    <mergeCell ref="H2546:J2546"/>
    <mergeCell ref="B2547:D2547"/>
    <mergeCell ref="B2575:D2575"/>
    <mergeCell ref="B2576:D2576"/>
    <mergeCell ref="B2571:D2571"/>
    <mergeCell ref="G2571:H2571"/>
    <mergeCell ref="K2571:L2571"/>
    <mergeCell ref="K2344:L2344"/>
    <mergeCell ref="B2345:D2345"/>
    <mergeCell ref="B2355:D2355"/>
    <mergeCell ref="B51:D51"/>
    <mergeCell ref="B52:D52"/>
    <mergeCell ref="B53:D53"/>
    <mergeCell ref="B86:D86"/>
    <mergeCell ref="C73:D73"/>
    <mergeCell ref="J73:L73"/>
    <mergeCell ref="B74:D74"/>
    <mergeCell ref="B75:D75"/>
    <mergeCell ref="B54:D54"/>
    <mergeCell ref="B55:D55"/>
    <mergeCell ref="B56:D56"/>
    <mergeCell ref="B57:D57"/>
    <mergeCell ref="B58:D58"/>
    <mergeCell ref="B59:D59"/>
    <mergeCell ref="B60:D60"/>
    <mergeCell ref="B61:D61"/>
    <mergeCell ref="B62:D62"/>
    <mergeCell ref="B63:D63"/>
    <mergeCell ref="B64:D64"/>
    <mergeCell ref="B65:D65"/>
    <mergeCell ref="A67:D71"/>
    <mergeCell ref="F68:G70"/>
    <mergeCell ref="A72:L72"/>
    <mergeCell ref="B79:D79"/>
    <mergeCell ref="B80:D80"/>
    <mergeCell ref="B81:D81"/>
    <mergeCell ref="G74:H74"/>
    <mergeCell ref="K74:L74"/>
    <mergeCell ref="I196:J196"/>
    <mergeCell ref="B43:D43"/>
    <mergeCell ref="B44:D44"/>
    <mergeCell ref="A135:L135"/>
    <mergeCell ref="A155:L155"/>
    <mergeCell ref="C168:D168"/>
    <mergeCell ref="J168:L168"/>
    <mergeCell ref="C156:D156"/>
    <mergeCell ref="J156:L156"/>
    <mergeCell ref="A159:L159"/>
    <mergeCell ref="A167:L167"/>
    <mergeCell ref="C160:D160"/>
    <mergeCell ref="J160:L160"/>
    <mergeCell ref="F197:F198"/>
    <mergeCell ref="G197:J197"/>
    <mergeCell ref="B93:D93"/>
    <mergeCell ref="A76:L76"/>
    <mergeCell ref="C77:D77"/>
    <mergeCell ref="J77:L77"/>
    <mergeCell ref="B78:D78"/>
    <mergeCell ref="B105:D105"/>
    <mergeCell ref="B106:D106"/>
    <mergeCell ref="B109:D109"/>
    <mergeCell ref="B110:D110"/>
    <mergeCell ref="A107:L107"/>
    <mergeCell ref="C92:D92"/>
    <mergeCell ref="J92:L92"/>
    <mergeCell ref="B94:D94"/>
    <mergeCell ref="B190:D190"/>
    <mergeCell ref="I190:J190"/>
    <mergeCell ref="K190:L190"/>
    <mergeCell ref="B191:D191"/>
    <mergeCell ref="B196:D196"/>
    <mergeCell ref="G196:H196"/>
    <mergeCell ref="B181:D181"/>
    <mergeCell ref="A3:L3"/>
    <mergeCell ref="A5:L5"/>
    <mergeCell ref="A241:C241"/>
    <mergeCell ref="D241:L241"/>
    <mergeCell ref="A103:L103"/>
    <mergeCell ref="C104:D104"/>
    <mergeCell ref="J104:L104"/>
    <mergeCell ref="G110:H110"/>
    <mergeCell ref="K125:L125"/>
    <mergeCell ref="B126:D126"/>
    <mergeCell ref="G126:H126"/>
    <mergeCell ref="B142:D142"/>
    <mergeCell ref="B141:D141"/>
    <mergeCell ref="B129:D129"/>
    <mergeCell ref="B113:D113"/>
    <mergeCell ref="B114:D114"/>
    <mergeCell ref="B117:D117"/>
    <mergeCell ref="B118:D118"/>
    <mergeCell ref="A91:L91"/>
    <mergeCell ref="B97:D97"/>
    <mergeCell ref="C100:D100"/>
    <mergeCell ref="J100:L100"/>
    <mergeCell ref="B101:D101"/>
    <mergeCell ref="B102:D102"/>
    <mergeCell ref="C132:D132"/>
    <mergeCell ref="C140:D140"/>
    <mergeCell ref="J140:L140"/>
    <mergeCell ref="B134:D134"/>
    <mergeCell ref="B137:D137"/>
    <mergeCell ref="B138:D138"/>
    <mergeCell ref="A127:L127"/>
    <mergeCell ref="J132:L132"/>
    <mergeCell ref="A368:C368"/>
    <mergeCell ref="D368:L368"/>
    <mergeCell ref="B161:D161"/>
    <mergeCell ref="A179:L179"/>
    <mergeCell ref="C180:D180"/>
    <mergeCell ref="J374:L374"/>
    <mergeCell ref="B385:D385"/>
    <mergeCell ref="G385:H385"/>
    <mergeCell ref="K385:L385"/>
    <mergeCell ref="B386:D386"/>
    <mergeCell ref="B387:D387"/>
    <mergeCell ref="D400:L400"/>
    <mergeCell ref="A401:C401"/>
    <mergeCell ref="D401:L401"/>
    <mergeCell ref="A396:C396"/>
    <mergeCell ref="D396:L396"/>
    <mergeCell ref="A397:C397"/>
    <mergeCell ref="D397:L397"/>
    <mergeCell ref="A398:C398"/>
    <mergeCell ref="E192:H192"/>
    <mergeCell ref="A201:L201"/>
    <mergeCell ref="A234:L234"/>
    <mergeCell ref="A235:C235"/>
    <mergeCell ref="A232:E232"/>
    <mergeCell ref="A369:C369"/>
    <mergeCell ref="D369:L369"/>
    <mergeCell ref="A370:C370"/>
    <mergeCell ref="D370:L370"/>
    <mergeCell ref="A371:C371"/>
    <mergeCell ref="D371:L371"/>
    <mergeCell ref="K375:L375"/>
    <mergeCell ref="B376:D376"/>
    <mergeCell ref="I376:J376"/>
    <mergeCell ref="B377:D377"/>
    <mergeCell ref="A448:L448"/>
    <mergeCell ref="C453:D453"/>
    <mergeCell ref="J453:L453"/>
    <mergeCell ref="A556:L556"/>
    <mergeCell ref="E560:H560"/>
    <mergeCell ref="C384:D384"/>
    <mergeCell ref="J384:L384"/>
    <mergeCell ref="C379:D379"/>
    <mergeCell ref="J379:L379"/>
    <mergeCell ref="B380:D380"/>
    <mergeCell ref="I380:J380"/>
    <mergeCell ref="K380:L380"/>
    <mergeCell ref="A399:C399"/>
    <mergeCell ref="D399:L399"/>
    <mergeCell ref="A403:L403"/>
    <mergeCell ref="A407:L407"/>
    <mergeCell ref="D532:L532"/>
    <mergeCell ref="A533:C533"/>
    <mergeCell ref="A554:L555"/>
    <mergeCell ref="K429:L429"/>
    <mergeCell ref="B430:D430"/>
    <mergeCell ref="C440:D440"/>
    <mergeCell ref="J440:L440"/>
    <mergeCell ref="A419:L419"/>
    <mergeCell ref="B418:D418"/>
    <mergeCell ref="G418:H418"/>
    <mergeCell ref="B405:D405"/>
    <mergeCell ref="G405:H405"/>
    <mergeCell ref="A1068:L1068"/>
    <mergeCell ref="A1073:C1073"/>
    <mergeCell ref="D1073:L1073"/>
    <mergeCell ref="A1074:C1074"/>
    <mergeCell ref="D1074:L1074"/>
    <mergeCell ref="B961:D961"/>
    <mergeCell ref="B962:D962"/>
    <mergeCell ref="B954:D954"/>
    <mergeCell ref="G954:H954"/>
    <mergeCell ref="K954:L954"/>
    <mergeCell ref="B955:D955"/>
    <mergeCell ref="B956:D956"/>
    <mergeCell ref="B957:D957"/>
    <mergeCell ref="B948:D948"/>
    <mergeCell ref="B949:D949"/>
    <mergeCell ref="C953:D953"/>
    <mergeCell ref="J953:L953"/>
    <mergeCell ref="B973:D973"/>
    <mergeCell ref="B974:D974"/>
    <mergeCell ref="A952:L952"/>
    <mergeCell ref="A967:L967"/>
    <mergeCell ref="A990:L990"/>
    <mergeCell ref="A1019:L1019"/>
    <mergeCell ref="B975:D975"/>
    <mergeCell ref="B976:D976"/>
    <mergeCell ref="B977:D977"/>
    <mergeCell ref="B978:D978"/>
    <mergeCell ref="B969:D969"/>
    <mergeCell ref="G969:H969"/>
    <mergeCell ref="K969:L969"/>
    <mergeCell ref="C968:D968"/>
    <mergeCell ref="J968:L968"/>
    <mergeCell ref="B963:D963"/>
    <mergeCell ref="B964:D964"/>
    <mergeCell ref="B1305:D1305"/>
    <mergeCell ref="A1313:C1313"/>
    <mergeCell ref="D1313:L1313"/>
    <mergeCell ref="A1306:D1307"/>
    <mergeCell ref="B1299:D1299"/>
    <mergeCell ref="B1300:D1300"/>
    <mergeCell ref="B1301:D1301"/>
    <mergeCell ref="B1302:D1302"/>
    <mergeCell ref="A1326:D1327"/>
    <mergeCell ref="C1383:D1383"/>
    <mergeCell ref="J1383:L1383"/>
    <mergeCell ref="B1384:D1384"/>
    <mergeCell ref="I1384:J1384"/>
    <mergeCell ref="A1314:C1314"/>
    <mergeCell ref="D1314:L1314"/>
    <mergeCell ref="A1315:C1315"/>
    <mergeCell ref="D1315:L1315"/>
    <mergeCell ref="A1316:C1316"/>
    <mergeCell ref="D1316:L1316"/>
    <mergeCell ref="A1317:C1317"/>
    <mergeCell ref="D1317:L1317"/>
    <mergeCell ref="A1372:L1372"/>
    <mergeCell ref="A1377:C1377"/>
    <mergeCell ref="D1377:L1377"/>
    <mergeCell ref="A1378:C1378"/>
    <mergeCell ref="D1378:L1378"/>
    <mergeCell ref="A1379:C1379"/>
    <mergeCell ref="D1379:L1379"/>
    <mergeCell ref="B1324:D1324"/>
    <mergeCell ref="B1325:D1325"/>
    <mergeCell ref="C1329:D1329"/>
    <mergeCell ref="J1329:L1329"/>
    <mergeCell ref="B1320:D1320"/>
    <mergeCell ref="G1320:H1320"/>
    <mergeCell ref="K1320:L1320"/>
    <mergeCell ref="B1321:D1321"/>
    <mergeCell ref="B1322:D1322"/>
    <mergeCell ref="B1323:D1323"/>
    <mergeCell ref="C1319:D1319"/>
    <mergeCell ref="J1319:L1319"/>
    <mergeCell ref="B1585:D1585"/>
    <mergeCell ref="I1581:J1581"/>
    <mergeCell ref="B1582:D1582"/>
    <mergeCell ref="B1596:D1596"/>
    <mergeCell ref="I1596:J1596"/>
    <mergeCell ref="A1380:C1380"/>
    <mergeCell ref="D1380:L1380"/>
    <mergeCell ref="A1381:C1381"/>
    <mergeCell ref="D1381:L1381"/>
    <mergeCell ref="A1426:L1426"/>
    <mergeCell ref="A1427:C1427"/>
    <mergeCell ref="D1427:L1427"/>
    <mergeCell ref="A1428:C1428"/>
    <mergeCell ref="D1428:L1428"/>
    <mergeCell ref="A1429:C1429"/>
    <mergeCell ref="D1429:L1429"/>
    <mergeCell ref="A1430:C1430"/>
    <mergeCell ref="D1430:L1430"/>
    <mergeCell ref="A1431:C1431"/>
    <mergeCell ref="D1431:L1431"/>
    <mergeCell ref="A1432:C1432"/>
    <mergeCell ref="D1432:L1432"/>
    <mergeCell ref="B1385:D1385"/>
    <mergeCell ref="I1385:J1385"/>
    <mergeCell ref="B1386:D1386"/>
    <mergeCell ref="C1388:D1388"/>
    <mergeCell ref="A1772:C1772"/>
    <mergeCell ref="D1772:L1772"/>
    <mergeCell ref="A1773:C1773"/>
    <mergeCell ref="D1773:L1773"/>
    <mergeCell ref="A1774:C1774"/>
    <mergeCell ref="D1774:L1774"/>
    <mergeCell ref="B1720:D1720"/>
    <mergeCell ref="I1720:J1720"/>
    <mergeCell ref="B1721:D1721"/>
    <mergeCell ref="A1717:L1717"/>
    <mergeCell ref="C1723:D1723"/>
    <mergeCell ref="J1723:L1723"/>
    <mergeCell ref="B1716:D1716"/>
    <mergeCell ref="C1718:D1718"/>
    <mergeCell ref="J1718:L1718"/>
    <mergeCell ref="G1714:H1714"/>
    <mergeCell ref="I1714:J1714"/>
    <mergeCell ref="K1714:L1714"/>
    <mergeCell ref="B1715:D1715"/>
    <mergeCell ref="I1715:J1715"/>
    <mergeCell ref="B1733:D1733"/>
    <mergeCell ref="B1714:D1714"/>
    <mergeCell ref="B1743:D1743"/>
    <mergeCell ref="I1743:J1743"/>
    <mergeCell ref="A1740:L1740"/>
    <mergeCell ref="B1416:D1416"/>
    <mergeCell ref="B1417:D1417"/>
    <mergeCell ref="B1418:D1418"/>
    <mergeCell ref="A1811:C1811"/>
    <mergeCell ref="D1811:L1811"/>
    <mergeCell ref="A1812:C1812"/>
    <mergeCell ref="D1812:L1812"/>
    <mergeCell ref="A1813:C1813"/>
    <mergeCell ref="D1813:L1813"/>
    <mergeCell ref="B1855:E1855"/>
    <mergeCell ref="A1814:L1814"/>
    <mergeCell ref="A1835:L1835"/>
    <mergeCell ref="A2000:C2000"/>
    <mergeCell ref="D2000:L2000"/>
    <mergeCell ref="A2001:C2001"/>
    <mergeCell ref="D2001:L2001"/>
    <mergeCell ref="B1844:D1844"/>
    <mergeCell ref="B1389:D1389"/>
    <mergeCell ref="G1389:H1389"/>
    <mergeCell ref="I1390:J1390"/>
    <mergeCell ref="B1419:D1419"/>
    <mergeCell ref="B1420:D1420"/>
    <mergeCell ref="B1438:D1438"/>
    <mergeCell ref="G1438:H1438"/>
    <mergeCell ref="K1438:L1438"/>
    <mergeCell ref="B1439:D1439"/>
    <mergeCell ref="B1440:D1440"/>
    <mergeCell ref="B1441:D1441"/>
    <mergeCell ref="C1437:D1437"/>
    <mergeCell ref="J1437:L1437"/>
    <mergeCell ref="B1468:D1468"/>
    <mergeCell ref="B1469:D1469"/>
    <mergeCell ref="B1470:D1470"/>
    <mergeCell ref="B1471:D1471"/>
    <mergeCell ref="A1463:C1463"/>
    <mergeCell ref="D2152:L2152"/>
    <mergeCell ref="A2153:C2153"/>
    <mergeCell ref="D2153:L2153"/>
    <mergeCell ref="C2155:D2155"/>
    <mergeCell ref="J2155:L2155"/>
    <mergeCell ref="B2156:D2156"/>
    <mergeCell ref="G2156:H2156"/>
    <mergeCell ref="B1840:D1840"/>
    <mergeCell ref="B1841:D1841"/>
    <mergeCell ref="F1842:F1843"/>
    <mergeCell ref="A1881:L1881"/>
    <mergeCell ref="D2205:L2205"/>
    <mergeCell ref="A2206:C2206"/>
    <mergeCell ref="D2206:L2206"/>
    <mergeCell ref="C1746:D1746"/>
    <mergeCell ref="J1746:L1746"/>
    <mergeCell ref="C1741:D1741"/>
    <mergeCell ref="J1741:L1741"/>
    <mergeCell ref="B1742:D1742"/>
    <mergeCell ref="I1742:J1742"/>
    <mergeCell ref="K1742:L1742"/>
    <mergeCell ref="A2069:L2069"/>
    <mergeCell ref="A1806:C1806"/>
    <mergeCell ref="D1806:L1806"/>
    <mergeCell ref="A1807:C1807"/>
    <mergeCell ref="D1807:L1807"/>
    <mergeCell ref="A1808:C1808"/>
    <mergeCell ref="D1808:L1808"/>
    <mergeCell ref="A1809:C1809"/>
    <mergeCell ref="D1809:L1809"/>
    <mergeCell ref="A1810:C1810"/>
    <mergeCell ref="D1810:L1810"/>
    <mergeCell ref="D2202:L2202"/>
    <mergeCell ref="B2195:D2195"/>
    <mergeCell ref="B2196:D2196"/>
    <mergeCell ref="F2197:F2198"/>
    <mergeCell ref="G2197:J2197"/>
    <mergeCell ref="G2198:J2198"/>
    <mergeCell ref="B2220:D2220"/>
    <mergeCell ref="B2221:D2221"/>
    <mergeCell ref="C1847:D1847"/>
    <mergeCell ref="J1847:L1847"/>
    <mergeCell ref="B1848:D1848"/>
    <mergeCell ref="B1876:D1876"/>
    <mergeCell ref="F1877:F1878"/>
    <mergeCell ref="G1877:J1877"/>
    <mergeCell ref="G1878:J1878"/>
    <mergeCell ref="B1870:D1870"/>
    <mergeCell ref="B1871:D1871"/>
    <mergeCell ref="B1872:D1872"/>
    <mergeCell ref="B1873:D1873"/>
    <mergeCell ref="B1874:D1874"/>
    <mergeCell ref="B1875:D1875"/>
    <mergeCell ref="B1866:D1866"/>
    <mergeCell ref="C1868:D1868"/>
    <mergeCell ref="J1868:L1868"/>
    <mergeCell ref="A2208:C2208"/>
    <mergeCell ref="D2208:L2208"/>
    <mergeCell ref="A2209:C2209"/>
    <mergeCell ref="D2209:L2209"/>
    <mergeCell ref="D2150:L2150"/>
    <mergeCell ref="A2151:C2151"/>
    <mergeCell ref="D2151:L2151"/>
    <mergeCell ref="A2152:C2152"/>
    <mergeCell ref="A2210:C2210"/>
    <mergeCell ref="D2210:L2210"/>
    <mergeCell ref="A2201:L2201"/>
    <mergeCell ref="A2203:C2203"/>
    <mergeCell ref="D2203:L2203"/>
    <mergeCell ref="A2204:C2204"/>
    <mergeCell ref="D2204:L2204"/>
    <mergeCell ref="A2205:C2205"/>
    <mergeCell ref="K2182:L2182"/>
    <mergeCell ref="A2230:L2230"/>
    <mergeCell ref="A2231:C2231"/>
    <mergeCell ref="D2231:L2231"/>
    <mergeCell ref="K2156:L2156"/>
    <mergeCell ref="A2174:C2174"/>
    <mergeCell ref="D2174:L2174"/>
    <mergeCell ref="A2175:C2175"/>
    <mergeCell ref="D2175:L2175"/>
    <mergeCell ref="A2176:C2176"/>
    <mergeCell ref="D2176:L2176"/>
    <mergeCell ref="A2177:C2177"/>
    <mergeCell ref="D2177:L2177"/>
    <mergeCell ref="A2178:C2178"/>
    <mergeCell ref="D2178:L2178"/>
    <mergeCell ref="A2179:C2179"/>
    <mergeCell ref="B2165:D2165"/>
    <mergeCell ref="F2166:F2167"/>
    <mergeCell ref="G2166:J2166"/>
    <mergeCell ref="G2167:J2167"/>
    <mergeCell ref="A2207:C2207"/>
    <mergeCell ref="D2207:L2207"/>
    <mergeCell ref="A2180:L2180"/>
    <mergeCell ref="A2202:C2202"/>
    <mergeCell ref="A2232:C2232"/>
    <mergeCell ref="D2232:L2232"/>
    <mergeCell ref="A2233:C2233"/>
    <mergeCell ref="D2233:L2233"/>
    <mergeCell ref="A2234:C2234"/>
    <mergeCell ref="D2234:L2234"/>
    <mergeCell ref="A2235:C2235"/>
    <mergeCell ref="D2235:L2235"/>
    <mergeCell ref="A2211:L2211"/>
    <mergeCell ref="B2214:D2214"/>
    <mergeCell ref="B2215:D2215"/>
    <mergeCell ref="B2216:D2216"/>
    <mergeCell ref="B2217:D2217"/>
    <mergeCell ref="B2218:D2218"/>
    <mergeCell ref="B2219:D2219"/>
    <mergeCell ref="C2212:D2212"/>
    <mergeCell ref="J2212:L2212"/>
    <mergeCell ref="B2213:D2213"/>
    <mergeCell ref="G2213:H2213"/>
    <mergeCell ref="K2213:L2213"/>
    <mergeCell ref="F2226:F2227"/>
    <mergeCell ref="G2226:J2226"/>
    <mergeCell ref="G2227:J2227"/>
    <mergeCell ref="B2224:D2224"/>
    <mergeCell ref="B2225:D2225"/>
    <mergeCell ref="B2222:D2222"/>
    <mergeCell ref="B2223:D2223"/>
    <mergeCell ref="A2267:C2267"/>
    <mergeCell ref="D2267:L2267"/>
    <mergeCell ref="A2259:L2259"/>
    <mergeCell ref="A2260:C2260"/>
    <mergeCell ref="D2260:L2260"/>
    <mergeCell ref="A2268:C2268"/>
    <mergeCell ref="D2268:L2268"/>
    <mergeCell ref="J2241:L2241"/>
    <mergeCell ref="B2252:D2252"/>
    <mergeCell ref="B2253:D2253"/>
    <mergeCell ref="B2254:D2254"/>
    <mergeCell ref="B2246:D2246"/>
    <mergeCell ref="B2247:D2247"/>
    <mergeCell ref="B2248:D2248"/>
    <mergeCell ref="B2249:D2249"/>
    <mergeCell ref="B2250:D2250"/>
    <mergeCell ref="B2251:D2251"/>
    <mergeCell ref="C2241:D2241"/>
    <mergeCell ref="B2244:D2244"/>
    <mergeCell ref="B2245:D2245"/>
    <mergeCell ref="B2600:D2600"/>
    <mergeCell ref="B2572:D2572"/>
    <mergeCell ref="B2573:D2573"/>
    <mergeCell ref="B2574:D2574"/>
    <mergeCell ref="B2567:D2567"/>
    <mergeCell ref="I2567:J2567"/>
    <mergeCell ref="B2568:D2568"/>
    <mergeCell ref="C2570:D2570"/>
    <mergeCell ref="J2570:L2570"/>
    <mergeCell ref="A2569:L2569"/>
    <mergeCell ref="B2562:D2562"/>
    <mergeCell ref="I2562:J2562"/>
    <mergeCell ref="B2555:D2555"/>
    <mergeCell ref="B2556:D2556"/>
    <mergeCell ref="B2557:D2557"/>
    <mergeCell ref="B2558:D2558"/>
    <mergeCell ref="H2558:J2558"/>
    <mergeCell ref="B2559:D2559"/>
    <mergeCell ref="A2564:L2564"/>
    <mergeCell ref="D2591:L2591"/>
    <mergeCell ref="A2592:C2592"/>
    <mergeCell ref="D2592:L2592"/>
    <mergeCell ref="A2593:C2593"/>
    <mergeCell ref="D2593:L2593"/>
    <mergeCell ref="A2594:C2594"/>
    <mergeCell ref="D2594:L2594"/>
    <mergeCell ref="A2595:L2595"/>
    <mergeCell ref="B4640:D4640"/>
    <mergeCell ref="J2553:L2553"/>
    <mergeCell ref="B3859:D3859"/>
    <mergeCell ref="G2554:H2554"/>
    <mergeCell ref="K2554:L2554"/>
    <mergeCell ref="G3031:J3031"/>
    <mergeCell ref="G2866:J2866"/>
    <mergeCell ref="G2867:J2867"/>
    <mergeCell ref="B2748:D2748"/>
    <mergeCell ref="B2749:D2749"/>
    <mergeCell ref="F2750:F2751"/>
    <mergeCell ref="G2750:J2750"/>
    <mergeCell ref="B2609:D2609"/>
    <mergeCell ref="B2610:D2610"/>
    <mergeCell ref="B2611:D2611"/>
    <mergeCell ref="F2611:F2612"/>
    <mergeCell ref="G2611:J2611"/>
    <mergeCell ref="B2612:D2612"/>
    <mergeCell ref="G2612:J2612"/>
    <mergeCell ref="D2587:L2587"/>
    <mergeCell ref="A2588:C2588"/>
    <mergeCell ref="D2588:L2588"/>
    <mergeCell ref="A2589:C2589"/>
    <mergeCell ref="D2589:L2589"/>
    <mergeCell ref="A2590:C2590"/>
    <mergeCell ref="D2590:L2590"/>
    <mergeCell ref="A2591:C2591"/>
    <mergeCell ref="B2598:D2598"/>
    <mergeCell ref="B2599:D2599"/>
    <mergeCell ref="B3008:D3008"/>
    <mergeCell ref="B3750:D3750"/>
    <mergeCell ref="B3751:D3751"/>
    <mergeCell ref="A4134:F4134"/>
    <mergeCell ref="B4168:D4168"/>
    <mergeCell ref="G4168:H4168"/>
    <mergeCell ref="B4169:D4169"/>
    <mergeCell ref="G4186:H4186"/>
    <mergeCell ref="F4187:F4188"/>
    <mergeCell ref="G4187:J4187"/>
    <mergeCell ref="G4188:J4188"/>
    <mergeCell ref="C4181:D4181"/>
    <mergeCell ref="B4182:D4182"/>
    <mergeCell ref="G4182:H4182"/>
    <mergeCell ref="B4170:D4170"/>
    <mergeCell ref="B4059:D4059"/>
    <mergeCell ref="B4069:D4069"/>
    <mergeCell ref="B4183:D4183"/>
    <mergeCell ref="B4184:D4184"/>
    <mergeCell ref="B4185:D4185"/>
    <mergeCell ref="G4077:H4077"/>
    <mergeCell ref="I4077:J4077"/>
    <mergeCell ref="B4078:D4078"/>
    <mergeCell ref="I4078:J4078"/>
    <mergeCell ref="B4070:D4070"/>
    <mergeCell ref="F4071:F4072"/>
    <mergeCell ref="G4071:J4071"/>
    <mergeCell ref="G4072:J4072"/>
    <mergeCell ref="C4076:D4076"/>
    <mergeCell ref="G4061:J4061"/>
    <mergeCell ref="B4164:D4164"/>
    <mergeCell ref="C4160:D4160"/>
    <mergeCell ref="B4161:D4161"/>
    <mergeCell ref="G4062:J4062"/>
    <mergeCell ref="B4080:D4080"/>
    <mergeCell ref="F4800:F4801"/>
    <mergeCell ref="G4800:J4800"/>
    <mergeCell ref="B4801:D4802"/>
    <mergeCell ref="G4801:J4801"/>
    <mergeCell ref="B4792:D4792"/>
    <mergeCell ref="B4794:D4794"/>
    <mergeCell ref="B4793:D4793"/>
    <mergeCell ref="B4795:D4795"/>
    <mergeCell ref="B4796:D4796"/>
    <mergeCell ref="B4798:D4798"/>
    <mergeCell ref="B4789:D4789"/>
    <mergeCell ref="G4789:H4789"/>
    <mergeCell ref="B4790:D4790"/>
    <mergeCell ref="B4791:D4791"/>
    <mergeCell ref="C4788:D4788"/>
    <mergeCell ref="C4739:D4739"/>
    <mergeCell ref="B4740:D4740"/>
    <mergeCell ref="G4740:H4740"/>
    <mergeCell ref="C4747:D4747"/>
    <mergeCell ref="F4742:F4743"/>
    <mergeCell ref="G4742:J4742"/>
    <mergeCell ref="B4758:D4758"/>
    <mergeCell ref="G4758:H4758"/>
    <mergeCell ref="B4759:D4759"/>
    <mergeCell ref="B4760:D4760"/>
    <mergeCell ref="B4761:D4761"/>
    <mergeCell ref="B4752:D4752"/>
    <mergeCell ref="F4752:F4753"/>
    <mergeCell ref="G4752:J4752"/>
    <mergeCell ref="G4753:J4753"/>
    <mergeCell ref="C4757:D4757"/>
    <mergeCell ref="B4748:D4748"/>
    <mergeCell ref="B4797:D4797"/>
    <mergeCell ref="B4768:D4768"/>
    <mergeCell ref="G4768:H4768"/>
    <mergeCell ref="B4769:D4769"/>
    <mergeCell ref="B4770:D4770"/>
    <mergeCell ref="B4771:D4771"/>
    <mergeCell ref="B4762:D4762"/>
    <mergeCell ref="F4734:F4735"/>
    <mergeCell ref="B759:D759"/>
    <mergeCell ref="B758:D758"/>
    <mergeCell ref="B761:D761"/>
    <mergeCell ref="F762:F763"/>
    <mergeCell ref="G762:J762"/>
    <mergeCell ref="G763:J763"/>
    <mergeCell ref="B736:D736"/>
    <mergeCell ref="B718:D718"/>
    <mergeCell ref="I718:J718"/>
    <mergeCell ref="A722:L722"/>
    <mergeCell ref="C728:D728"/>
    <mergeCell ref="C4630:D4630"/>
    <mergeCell ref="J4630:L4630"/>
    <mergeCell ref="C4614:D4614"/>
    <mergeCell ref="J4614:L4614"/>
    <mergeCell ref="J4601:L4601"/>
    <mergeCell ref="K4602:L4602"/>
    <mergeCell ref="B760:D760"/>
    <mergeCell ref="G4683:J4683"/>
    <mergeCell ref="G4684:J4684"/>
    <mergeCell ref="B4632:D4632"/>
    <mergeCell ref="I4632:J4632"/>
    <mergeCell ref="B4682:D4682"/>
    <mergeCell ref="F4683:F4684"/>
    <mergeCell ref="A183:L183"/>
    <mergeCell ref="A244:L244"/>
    <mergeCell ref="A265:L265"/>
    <mergeCell ref="A373:L373"/>
    <mergeCell ref="A378:L378"/>
    <mergeCell ref="A427:L427"/>
    <mergeCell ref="A466:L466"/>
    <mergeCell ref="A478:L478"/>
    <mergeCell ref="A490:L490"/>
    <mergeCell ref="A503:L503"/>
    <mergeCell ref="A512:L512"/>
    <mergeCell ref="A535:L535"/>
    <mergeCell ref="A540:L540"/>
    <mergeCell ref="A548:L548"/>
    <mergeCell ref="A564:L564"/>
    <mergeCell ref="A528:C528"/>
    <mergeCell ref="D528:L528"/>
    <mergeCell ref="C374:D374"/>
    <mergeCell ref="C416:D416"/>
    <mergeCell ref="J404:L404"/>
    <mergeCell ref="J408:L408"/>
    <mergeCell ref="J416:L416"/>
    <mergeCell ref="J420:L420"/>
    <mergeCell ref="C420:D420"/>
    <mergeCell ref="B429:D429"/>
    <mergeCell ref="I429:J429"/>
    <mergeCell ref="C404:D404"/>
    <mergeCell ref="C408:D408"/>
    <mergeCell ref="B388:D388"/>
    <mergeCell ref="B381:D381"/>
    <mergeCell ref="B375:D375"/>
    <mergeCell ref="I375:J375"/>
    <mergeCell ref="J728:L728"/>
    <mergeCell ref="B729:D729"/>
    <mergeCell ref="G729:H729"/>
    <mergeCell ref="I729:J729"/>
    <mergeCell ref="K729:L729"/>
    <mergeCell ref="C723:D723"/>
    <mergeCell ref="J723:L723"/>
    <mergeCell ref="B724:D724"/>
    <mergeCell ref="G724:H724"/>
    <mergeCell ref="I724:J724"/>
    <mergeCell ref="K724:L724"/>
    <mergeCell ref="A423:L423"/>
    <mergeCell ref="C424:D424"/>
    <mergeCell ref="B670:D670"/>
    <mergeCell ref="I670:J670"/>
    <mergeCell ref="A671:H671"/>
    <mergeCell ref="I671:J671"/>
    <mergeCell ref="A604:L604"/>
    <mergeCell ref="A615:L615"/>
    <mergeCell ref="C714:D714"/>
    <mergeCell ref="J714:L714"/>
    <mergeCell ref="B715:D715"/>
    <mergeCell ref="A632:L632"/>
    <mergeCell ref="A642:L642"/>
    <mergeCell ref="C467:D467"/>
    <mergeCell ref="J467:L467"/>
    <mergeCell ref="G462:H462"/>
    <mergeCell ref="K462:L462"/>
    <mergeCell ref="B482:D482"/>
    <mergeCell ref="B483:D483"/>
    <mergeCell ref="B484:D484"/>
    <mergeCell ref="I432:J432"/>
    <mergeCell ref="B946:D946"/>
    <mergeCell ref="B947:D947"/>
    <mergeCell ref="B937:D937"/>
    <mergeCell ref="B938:D938"/>
    <mergeCell ref="B939:D939"/>
    <mergeCell ref="B940:D940"/>
    <mergeCell ref="B941:D941"/>
    <mergeCell ref="A733:L733"/>
    <mergeCell ref="A739:L739"/>
    <mergeCell ref="A766:L766"/>
    <mergeCell ref="A780:L780"/>
    <mergeCell ref="A790:L790"/>
    <mergeCell ref="A803:L803"/>
    <mergeCell ref="A816:L816"/>
    <mergeCell ref="A828:L828"/>
    <mergeCell ref="A837:L837"/>
    <mergeCell ref="A853:L853"/>
    <mergeCell ref="A865:L865"/>
    <mergeCell ref="A884:L884"/>
    <mergeCell ref="A892:L892"/>
    <mergeCell ref="A901:L901"/>
    <mergeCell ref="A915:C915"/>
    <mergeCell ref="D915:L915"/>
    <mergeCell ref="A916:C916"/>
    <mergeCell ref="D916:L916"/>
    <mergeCell ref="A917:C917"/>
    <mergeCell ref="D917:L917"/>
    <mergeCell ref="A934:L934"/>
    <mergeCell ref="B793:D793"/>
    <mergeCell ref="B794:D794"/>
    <mergeCell ref="I736:J736"/>
    <mergeCell ref="C756:D756"/>
    <mergeCell ref="A1562:C1562"/>
    <mergeCell ref="D1562:L1562"/>
    <mergeCell ref="C1584:D1584"/>
    <mergeCell ref="J1584:L1584"/>
    <mergeCell ref="G936:H936"/>
    <mergeCell ref="K936:L936"/>
    <mergeCell ref="B958:D958"/>
    <mergeCell ref="B959:D959"/>
    <mergeCell ref="B960:D960"/>
    <mergeCell ref="C935:D935"/>
    <mergeCell ref="J935:L935"/>
    <mergeCell ref="B936:D936"/>
    <mergeCell ref="A1262:L1262"/>
    <mergeCell ref="A1270:L1270"/>
    <mergeCell ref="A1289:L1289"/>
    <mergeCell ref="A1318:L1318"/>
    <mergeCell ref="A1328:L1328"/>
    <mergeCell ref="A1337:L1337"/>
    <mergeCell ref="A1356:L1356"/>
    <mergeCell ref="A1382:L1382"/>
    <mergeCell ref="A1091:L1091"/>
    <mergeCell ref="A1105:L1105"/>
    <mergeCell ref="A1126:L1126"/>
    <mergeCell ref="A1143:L1143"/>
    <mergeCell ref="A1165:L1165"/>
    <mergeCell ref="A1174:L1174"/>
    <mergeCell ref="A1195:L1195"/>
    <mergeCell ref="A1204:L1204"/>
    <mergeCell ref="B942:D942"/>
    <mergeCell ref="B943:D943"/>
    <mergeCell ref="B944:D944"/>
    <mergeCell ref="B945:D945"/>
    <mergeCell ref="I1405:J1405"/>
    <mergeCell ref="C1408:D1408"/>
    <mergeCell ref="B1409:D1409"/>
    <mergeCell ref="G1409:H1409"/>
    <mergeCell ref="K1409:L1409"/>
    <mergeCell ref="C1403:D1403"/>
    <mergeCell ref="J1403:L1403"/>
    <mergeCell ref="D1560:L1560"/>
    <mergeCell ref="A1561:C1561"/>
    <mergeCell ref="D1561:L1561"/>
    <mergeCell ref="B1404:D1404"/>
    <mergeCell ref="G1404:H1404"/>
    <mergeCell ref="I1404:J1404"/>
    <mergeCell ref="K1404:L1404"/>
    <mergeCell ref="B1406:D1406"/>
    <mergeCell ref="J1408:L1408"/>
    <mergeCell ref="D1458:L1458"/>
    <mergeCell ref="A1464:C1464"/>
    <mergeCell ref="D1464:L1464"/>
    <mergeCell ref="B1421:D1421"/>
    <mergeCell ref="F1422:F1423"/>
    <mergeCell ref="G1422:J1422"/>
    <mergeCell ref="G1423:J1423"/>
    <mergeCell ref="B1415:D1415"/>
    <mergeCell ref="D1463:L1463"/>
    <mergeCell ref="F1473:F1474"/>
    <mergeCell ref="G1473:J1473"/>
    <mergeCell ref="G1474:J1474"/>
    <mergeCell ref="A1477:L1477"/>
    <mergeCell ref="B1448:D1448"/>
    <mergeCell ref="B1449:D1449"/>
    <mergeCell ref="B1450:D1450"/>
    <mergeCell ref="K1585:L1585"/>
    <mergeCell ref="B1580:D1580"/>
    <mergeCell ref="I1580:J1580"/>
    <mergeCell ref="K1580:L1580"/>
    <mergeCell ref="B1581:D1581"/>
    <mergeCell ref="D1697:L1697"/>
    <mergeCell ref="A1698:C1698"/>
    <mergeCell ref="D1698:L1698"/>
    <mergeCell ref="A1767:L1767"/>
    <mergeCell ref="A1402:L1402"/>
    <mergeCell ref="A1407:L1407"/>
    <mergeCell ref="A1436:L1436"/>
    <mergeCell ref="A1465:L1465"/>
    <mergeCell ref="A1433:C1433"/>
    <mergeCell ref="D1433:L1433"/>
    <mergeCell ref="A1434:C1434"/>
    <mergeCell ref="D1434:L1434"/>
    <mergeCell ref="A1435:C1435"/>
    <mergeCell ref="D1435:L1435"/>
    <mergeCell ref="A1455:L1455"/>
    <mergeCell ref="A1460:C1460"/>
    <mergeCell ref="D1460:L1460"/>
    <mergeCell ref="A1461:C1461"/>
    <mergeCell ref="D1461:L1461"/>
    <mergeCell ref="A1462:C1462"/>
    <mergeCell ref="D1462:L1462"/>
    <mergeCell ref="B1410:D1410"/>
    <mergeCell ref="B1411:D1411"/>
    <mergeCell ref="B1412:D1412"/>
    <mergeCell ref="B1413:D1413"/>
    <mergeCell ref="B1414:D1414"/>
    <mergeCell ref="B1405:D1405"/>
    <mergeCell ref="B2757:D2757"/>
    <mergeCell ref="F2758:F2759"/>
    <mergeCell ref="G2758:J2758"/>
    <mergeCell ref="A1563:L1563"/>
    <mergeCell ref="A1568:L1568"/>
    <mergeCell ref="A1588:L1588"/>
    <mergeCell ref="A1598:L1598"/>
    <mergeCell ref="A1604:L1604"/>
    <mergeCell ref="A1619:L1619"/>
    <mergeCell ref="A1646:L1646"/>
    <mergeCell ref="A1661:L1661"/>
    <mergeCell ref="A1675:L1675"/>
    <mergeCell ref="A1699:L1699"/>
    <mergeCell ref="A1712:L1712"/>
    <mergeCell ref="A1722:L1722"/>
    <mergeCell ref="A1735:L1735"/>
    <mergeCell ref="A1755:L1755"/>
    <mergeCell ref="A1777:L1777"/>
    <mergeCell ref="A1787:L1787"/>
    <mergeCell ref="B1586:D1586"/>
    <mergeCell ref="C1569:D1569"/>
    <mergeCell ref="J1569:L1569"/>
    <mergeCell ref="B1570:D1570"/>
    <mergeCell ref="G1570:H1570"/>
    <mergeCell ref="I1570:J1570"/>
    <mergeCell ref="K1570:L1570"/>
    <mergeCell ref="I1586:J1586"/>
    <mergeCell ref="B1587:D1587"/>
    <mergeCell ref="A1583:L1583"/>
    <mergeCell ref="C1589:D1589"/>
    <mergeCell ref="J1589:L1589"/>
    <mergeCell ref="I1585:J1585"/>
    <mergeCell ref="I2947:J2947"/>
    <mergeCell ref="B2929:D2929"/>
    <mergeCell ref="B2922:D2922"/>
    <mergeCell ref="I2922:J2922"/>
    <mergeCell ref="B2923:D2923"/>
    <mergeCell ref="C2925:D2925"/>
    <mergeCell ref="B2918:D2918"/>
    <mergeCell ref="C2920:D2920"/>
    <mergeCell ref="C3024:D3024"/>
    <mergeCell ref="A1965:L1965"/>
    <mergeCell ref="F2548:F2549"/>
    <mergeCell ref="G2548:J2548"/>
    <mergeCell ref="G2549:J2549"/>
    <mergeCell ref="B2550:D2550"/>
    <mergeCell ref="B2551:D2551"/>
    <mergeCell ref="B3005:D3005"/>
    <mergeCell ref="G3005:H3005"/>
    <mergeCell ref="B3006:D3006"/>
    <mergeCell ref="B3007:D3007"/>
    <mergeCell ref="A2586:C2586"/>
    <mergeCell ref="D2586:L2586"/>
    <mergeCell ref="A2587:C2587"/>
    <mergeCell ref="A2871:C2871"/>
    <mergeCell ref="A2872:C2872"/>
    <mergeCell ref="D2871:L2871"/>
    <mergeCell ref="A2873:C2873"/>
    <mergeCell ref="A2269:L2269"/>
    <mergeCell ref="B2242:D2242"/>
    <mergeCell ref="B2765:D2765"/>
    <mergeCell ref="B2766:D2766"/>
    <mergeCell ref="B2767:D2767"/>
    <mergeCell ref="A2772:L2772"/>
    <mergeCell ref="B1571:D1571"/>
    <mergeCell ref="I1571:J1571"/>
    <mergeCell ref="B1572:D1572"/>
    <mergeCell ref="A1573:L1573"/>
    <mergeCell ref="C3035:D3035"/>
    <mergeCell ref="B3049:D3049"/>
    <mergeCell ref="B3050:D3050"/>
    <mergeCell ref="B3025:D3025"/>
    <mergeCell ref="G3025:H3025"/>
    <mergeCell ref="G2863:J2863"/>
    <mergeCell ref="D2844:L2844"/>
    <mergeCell ref="A2846:C2846"/>
    <mergeCell ref="D2845:L2845"/>
    <mergeCell ref="A2847:C2847"/>
    <mergeCell ref="D2846:L2846"/>
    <mergeCell ref="D2976:L2976"/>
    <mergeCell ref="A2978:C2978"/>
    <mergeCell ref="D2977:L2977"/>
    <mergeCell ref="B2898:D2898"/>
    <mergeCell ref="B2899:D2899"/>
    <mergeCell ref="B2900:D2900"/>
    <mergeCell ref="F2901:F2902"/>
    <mergeCell ref="G2901:J2901"/>
    <mergeCell ref="G2902:J2902"/>
    <mergeCell ref="C2896:D2896"/>
    <mergeCell ref="B2934:L2934"/>
    <mergeCell ref="J2935:L2935"/>
    <mergeCell ref="B2928:D2928"/>
    <mergeCell ref="B2946:D2946"/>
    <mergeCell ref="G2946:H2946"/>
    <mergeCell ref="I2946:J2946"/>
    <mergeCell ref="B2947:D2947"/>
    <mergeCell ref="A3774:C3774"/>
    <mergeCell ref="B3783:D3783"/>
    <mergeCell ref="C3776:D3776"/>
    <mergeCell ref="B3777:D3777"/>
    <mergeCell ref="G3777:H3777"/>
    <mergeCell ref="A3769:C3769"/>
    <mergeCell ref="A3770:C3770"/>
    <mergeCell ref="A3771:C3771"/>
    <mergeCell ref="A3772:C3772"/>
    <mergeCell ref="A3773:C3773"/>
    <mergeCell ref="A3698:L3698"/>
    <mergeCell ref="A3765:L3765"/>
    <mergeCell ref="D3766:L3766"/>
    <mergeCell ref="D3767:L3767"/>
    <mergeCell ref="D3768:L3768"/>
    <mergeCell ref="N764:S765"/>
    <mergeCell ref="C3292:D3292"/>
    <mergeCell ref="C3319:D3319"/>
    <mergeCell ref="B3320:D3320"/>
    <mergeCell ref="G3320:H3320"/>
    <mergeCell ref="A3285:C3285"/>
    <mergeCell ref="A3286:C3286"/>
    <mergeCell ref="A3287:C3287"/>
    <mergeCell ref="A3288:C3288"/>
    <mergeCell ref="A3289:C3289"/>
    <mergeCell ref="A3290:C3290"/>
    <mergeCell ref="A2737:L2737"/>
    <mergeCell ref="B2864:D2864"/>
    <mergeCell ref="B2865:D2865"/>
    <mergeCell ref="F2866:F2867"/>
    <mergeCell ref="K2764:L2764"/>
    <mergeCell ref="B3313:D3313"/>
    <mergeCell ref="I3860:J3860"/>
    <mergeCell ref="B3850:D3850"/>
    <mergeCell ref="F3852:F3853"/>
    <mergeCell ref="G3852:J3852"/>
    <mergeCell ref="G3853:J3853"/>
    <mergeCell ref="B3874:D3874"/>
    <mergeCell ref="I3874:J3874"/>
    <mergeCell ref="C3872:D3872"/>
    <mergeCell ref="B3873:D3873"/>
    <mergeCell ref="G3873:H3873"/>
    <mergeCell ref="I3873:J3873"/>
    <mergeCell ref="B3875:D3875"/>
    <mergeCell ref="I3875:J3875"/>
    <mergeCell ref="D3769:L3769"/>
    <mergeCell ref="D3770:L3770"/>
    <mergeCell ref="D3771:L3771"/>
    <mergeCell ref="D3772:L3772"/>
    <mergeCell ref="D3773:L3773"/>
    <mergeCell ref="D3774:L3774"/>
    <mergeCell ref="C3786:D3786"/>
    <mergeCell ref="J3786:L3786"/>
    <mergeCell ref="B3787:D3787"/>
    <mergeCell ref="G3787:H3787"/>
    <mergeCell ref="K3787:L3787"/>
    <mergeCell ref="B3788:D3788"/>
    <mergeCell ref="G3788:H3788"/>
    <mergeCell ref="A3789:L3789"/>
    <mergeCell ref="C3790:D3790"/>
    <mergeCell ref="J3790:L3790"/>
    <mergeCell ref="B3791:D3791"/>
    <mergeCell ref="G3791:H3791"/>
    <mergeCell ref="K3791:L3791"/>
    <mergeCell ref="N3916:O3916"/>
    <mergeCell ref="B3935:L3935"/>
    <mergeCell ref="B3940:L3940"/>
    <mergeCell ref="J3933:L3933"/>
    <mergeCell ref="G3918:J3918"/>
    <mergeCell ref="B3911:D3911"/>
    <mergeCell ref="C3889:D3889"/>
    <mergeCell ref="B3886:D3886"/>
    <mergeCell ref="G3886:H3886"/>
    <mergeCell ref="A3927:C3927"/>
    <mergeCell ref="A3928:C3928"/>
    <mergeCell ref="A3929:C3929"/>
    <mergeCell ref="A3923:C3923"/>
    <mergeCell ref="B3792:D3792"/>
    <mergeCell ref="G3792:H3792"/>
    <mergeCell ref="A3793:L3793"/>
    <mergeCell ref="J3802:L3802"/>
    <mergeCell ref="J3817:L3817"/>
    <mergeCell ref="A3835:C3835"/>
    <mergeCell ref="J3837:L3837"/>
    <mergeCell ref="J3857:L3857"/>
    <mergeCell ref="C3881:D3881"/>
    <mergeCell ref="J3881:L3881"/>
    <mergeCell ref="B3882:D3882"/>
    <mergeCell ref="G3882:H3882"/>
    <mergeCell ref="K3882:L3882"/>
    <mergeCell ref="B3883:D3883"/>
    <mergeCell ref="G3883:H3883"/>
    <mergeCell ref="C3885:D3885"/>
    <mergeCell ref="J3885:L3885"/>
    <mergeCell ref="I3859:J3859"/>
    <mergeCell ref="B3860:D3860"/>
    <mergeCell ref="I4432:J4432"/>
    <mergeCell ref="B4433:D4433"/>
    <mergeCell ref="C4435:D4435"/>
    <mergeCell ref="B4205:D4205"/>
    <mergeCell ref="I4205:J4205"/>
    <mergeCell ref="B4206:D4206"/>
    <mergeCell ref="I4206:J4206"/>
    <mergeCell ref="B4208:D4208"/>
    <mergeCell ref="B4203:D4203"/>
    <mergeCell ref="K3886:L3886"/>
    <mergeCell ref="B3887:D3887"/>
    <mergeCell ref="G3887:H3887"/>
    <mergeCell ref="J3889:L3889"/>
    <mergeCell ref="A3922:L3922"/>
    <mergeCell ref="D3923:L3923"/>
    <mergeCell ref="D3924:L3924"/>
    <mergeCell ref="D3925:L3925"/>
    <mergeCell ref="D3926:L3926"/>
    <mergeCell ref="D3927:L3927"/>
    <mergeCell ref="D3928:L3928"/>
    <mergeCell ref="D3929:L3929"/>
    <mergeCell ref="D3930:L3930"/>
    <mergeCell ref="D3931:L3931"/>
    <mergeCell ref="I3955:J3955"/>
    <mergeCell ref="G3968:J3968"/>
    <mergeCell ref="C3972:D3972"/>
    <mergeCell ref="B3964:D3964"/>
    <mergeCell ref="A4028:L4028"/>
    <mergeCell ref="A4007:C4007"/>
    <mergeCell ref="A4008:C4008"/>
    <mergeCell ref="J4076:L4076"/>
    <mergeCell ref="A4096:L4096"/>
    <mergeCell ref="B4627:D4627"/>
    <mergeCell ref="G4627:H4627"/>
    <mergeCell ref="K4627:L4627"/>
    <mergeCell ref="C4622:D4622"/>
    <mergeCell ref="J4622:L4622"/>
    <mergeCell ref="F4609:F4610"/>
    <mergeCell ref="B4606:D4606"/>
    <mergeCell ref="B4607:D4607"/>
    <mergeCell ref="G4496:H4496"/>
    <mergeCell ref="K4496:L4496"/>
    <mergeCell ref="B4497:D4497"/>
    <mergeCell ref="G4497:H4497"/>
    <mergeCell ref="B4461:D4461"/>
    <mergeCell ref="G4461:H4461"/>
    <mergeCell ref="K4461:L4461"/>
    <mergeCell ref="B4462:D4462"/>
    <mergeCell ref="G4462:H4462"/>
    <mergeCell ref="B4594:D4594"/>
    <mergeCell ref="G4594:H4594"/>
    <mergeCell ref="K4594:L4594"/>
    <mergeCell ref="C4464:D4464"/>
    <mergeCell ref="F4578:F4579"/>
    <mergeCell ref="G4578:J4578"/>
    <mergeCell ref="C4485:D4485"/>
    <mergeCell ref="B4486:D4486"/>
    <mergeCell ref="G4486:H4486"/>
    <mergeCell ref="B4487:D4487"/>
    <mergeCell ref="C4495:D4495"/>
    <mergeCell ref="C4568:D4568"/>
    <mergeCell ref="B4569:D4569"/>
    <mergeCell ref="G4569:H4569"/>
    <mergeCell ref="B4576:D4576"/>
    <mergeCell ref="M4238:O4238"/>
    <mergeCell ref="N4239:O4239"/>
    <mergeCell ref="K4235:L4235"/>
    <mergeCell ref="K4598:L4598"/>
    <mergeCell ref="B4599:D4599"/>
    <mergeCell ref="G4599:H4599"/>
    <mergeCell ref="C4597:D4597"/>
    <mergeCell ref="J4597:L4597"/>
    <mergeCell ref="B4615:D4615"/>
    <mergeCell ref="G4615:H4615"/>
    <mergeCell ref="K4615:L4615"/>
    <mergeCell ref="B4616:D4616"/>
    <mergeCell ref="G4616:H4616"/>
    <mergeCell ref="B4623:D4623"/>
    <mergeCell ref="G4623:H4623"/>
    <mergeCell ref="K4623:L4623"/>
    <mergeCell ref="B4624:D4624"/>
    <mergeCell ref="G4624:H4624"/>
    <mergeCell ref="C4409:D4409"/>
    <mergeCell ref="B4410:D4410"/>
    <mergeCell ref="G4410:H4410"/>
    <mergeCell ref="B4438:D4438"/>
    <mergeCell ref="I4438:J4438"/>
    <mergeCell ref="B4439:D4439"/>
    <mergeCell ref="I4439:J4439"/>
    <mergeCell ref="B4440:D4440"/>
    <mergeCell ref="I4440:J4440"/>
    <mergeCell ref="B4436:D4436"/>
    <mergeCell ref="I4436:J4436"/>
    <mergeCell ref="B4437:D4437"/>
    <mergeCell ref="I4437:J4437"/>
    <mergeCell ref="B4432:D4432"/>
  </mergeCells>
  <phoneticPr fontId="26" type="noConversion"/>
  <conditionalFormatting sqref="P2403:P2406">
    <cfRule type="duplicateValues" dxfId="190" priority="184"/>
  </conditionalFormatting>
  <conditionalFormatting sqref="P2658">
    <cfRule type="duplicateValues" dxfId="189" priority="182"/>
  </conditionalFormatting>
  <conditionalFormatting sqref="P2666:P2667">
    <cfRule type="duplicateValues" dxfId="188" priority="181"/>
  </conditionalFormatting>
  <conditionalFormatting sqref="P2671:P2673">
    <cfRule type="duplicateValues" dxfId="187" priority="180"/>
  </conditionalFormatting>
  <conditionalFormatting sqref="P286:P287">
    <cfRule type="duplicateValues" dxfId="186" priority="178"/>
  </conditionalFormatting>
  <conditionalFormatting sqref="P301:P302">
    <cfRule type="duplicateValues" dxfId="185" priority="177"/>
  </conditionalFormatting>
  <conditionalFormatting sqref="P306:P307">
    <cfRule type="duplicateValues" dxfId="184" priority="176"/>
  </conditionalFormatting>
  <conditionalFormatting sqref="P399:P400">
    <cfRule type="duplicateValues" dxfId="183" priority="175"/>
  </conditionalFormatting>
  <conditionalFormatting sqref="P437:P438">
    <cfRule type="duplicateValues" dxfId="182" priority="174"/>
  </conditionalFormatting>
  <conditionalFormatting sqref="P492 P494">
    <cfRule type="duplicateValues" dxfId="181" priority="172"/>
  </conditionalFormatting>
  <conditionalFormatting sqref="P545:P546">
    <cfRule type="duplicateValues" dxfId="180" priority="171"/>
  </conditionalFormatting>
  <conditionalFormatting sqref="P550:P551">
    <cfRule type="duplicateValues" dxfId="179" priority="170"/>
  </conditionalFormatting>
  <conditionalFormatting sqref="P586:P587">
    <cfRule type="duplicateValues" dxfId="178" priority="169"/>
  </conditionalFormatting>
  <conditionalFormatting sqref="P674:P676">
    <cfRule type="duplicateValues" dxfId="177" priority="168"/>
  </conditionalFormatting>
  <conditionalFormatting sqref="P699:P700">
    <cfRule type="duplicateValues" dxfId="176" priority="167"/>
  </conditionalFormatting>
  <conditionalFormatting sqref="P710:P711">
    <cfRule type="duplicateValues" dxfId="175" priority="166"/>
  </conditionalFormatting>
  <conditionalFormatting sqref="P731:P732">
    <cfRule type="duplicateValues" dxfId="174" priority="165"/>
  </conditionalFormatting>
  <conditionalFormatting sqref="P736:P737">
    <cfRule type="duplicateValues" dxfId="173" priority="164"/>
  </conditionalFormatting>
  <conditionalFormatting sqref="P742:P743">
    <cfRule type="duplicateValues" dxfId="172" priority="163"/>
  </conditionalFormatting>
  <conditionalFormatting sqref="P1401:P1402">
    <cfRule type="duplicateValues" dxfId="171" priority="162"/>
  </conditionalFormatting>
  <conditionalFormatting sqref="P1598:P1599">
    <cfRule type="duplicateValues" dxfId="170" priority="160"/>
  </conditionalFormatting>
  <conditionalFormatting sqref="P1708:P1709">
    <cfRule type="duplicateValues" dxfId="169" priority="159"/>
  </conditionalFormatting>
  <conditionalFormatting sqref="P1735:P1736">
    <cfRule type="duplicateValues" dxfId="168" priority="158"/>
  </conditionalFormatting>
  <conditionalFormatting sqref="P1740:P1741">
    <cfRule type="duplicateValues" dxfId="167" priority="157"/>
  </conditionalFormatting>
  <conditionalFormatting sqref="P1897:P1898">
    <cfRule type="duplicateValues" dxfId="166" priority="156"/>
  </conditionalFormatting>
  <conditionalFormatting sqref="P2000:P2001">
    <cfRule type="duplicateValues" dxfId="165" priority="155"/>
  </conditionalFormatting>
  <conditionalFormatting sqref="P2009:P2010">
    <cfRule type="duplicateValues" dxfId="164" priority="154"/>
  </conditionalFormatting>
  <conditionalFormatting sqref="P2238:P2239">
    <cfRule type="duplicateValues" dxfId="163" priority="153"/>
  </conditionalFormatting>
  <conditionalFormatting sqref="P2246:P2247">
    <cfRule type="duplicateValues" dxfId="162" priority="152"/>
  </conditionalFormatting>
  <conditionalFormatting sqref="P2336:P2337">
    <cfRule type="duplicateValues" dxfId="161" priority="149"/>
  </conditionalFormatting>
  <conditionalFormatting sqref="P2661:P2662">
    <cfRule type="duplicateValues" dxfId="160" priority="148"/>
  </conditionalFormatting>
  <conditionalFormatting sqref="P2678:P2679">
    <cfRule type="duplicateValues" dxfId="159" priority="147"/>
  </conditionalFormatting>
  <conditionalFormatting sqref="P3336:P3337">
    <cfRule type="duplicateValues" dxfId="158" priority="146"/>
  </conditionalFormatting>
  <conditionalFormatting sqref="P3479:P3480">
    <cfRule type="duplicateValues" dxfId="157" priority="145"/>
  </conditionalFormatting>
  <conditionalFormatting sqref="P3530:P3531">
    <cfRule type="duplicateValues" dxfId="156" priority="144"/>
  </conditionalFormatting>
  <conditionalFormatting sqref="P3562:P3563">
    <cfRule type="duplicateValues" dxfId="155" priority="143"/>
  </conditionalFormatting>
  <conditionalFormatting sqref="P3756:P3758 P3642:P3643">
    <cfRule type="duplicateValues" dxfId="154" priority="142"/>
  </conditionalFormatting>
  <conditionalFormatting sqref="P3808:P3809 P3818:P3820">
    <cfRule type="duplicateValues" dxfId="153" priority="141"/>
  </conditionalFormatting>
  <conditionalFormatting sqref="P3871:P3872 P3827:P3828">
    <cfRule type="duplicateValues" dxfId="152" priority="186"/>
  </conditionalFormatting>
  <conditionalFormatting sqref="P3995:P3997">
    <cfRule type="duplicateValues" dxfId="151" priority="140"/>
  </conditionalFormatting>
  <conditionalFormatting sqref="P4120:P4122 P4001:P4002">
    <cfRule type="duplicateValues" dxfId="150" priority="139"/>
  </conditionalFormatting>
  <conditionalFormatting sqref="P4126:P4132">
    <cfRule type="duplicateValues" dxfId="149" priority="138"/>
  </conditionalFormatting>
  <conditionalFormatting sqref="P4205:P4208 P4134:P4135">
    <cfRule type="duplicateValues" dxfId="148" priority="187"/>
  </conditionalFormatting>
  <conditionalFormatting sqref="P245:P249">
    <cfRule type="duplicateValues" dxfId="147" priority="188"/>
  </conditionalFormatting>
  <conditionalFormatting sqref="P260 P252:P258">
    <cfRule type="duplicateValues" dxfId="146" priority="137"/>
  </conditionalFormatting>
  <conditionalFormatting sqref="P259">
    <cfRule type="duplicateValues" dxfId="145" priority="136"/>
  </conditionalFormatting>
  <conditionalFormatting sqref="P512:P513">
    <cfRule type="duplicateValues" dxfId="144" priority="134"/>
  </conditionalFormatting>
  <conditionalFormatting sqref="P4414:P4429">
    <cfRule type="duplicateValues" dxfId="143" priority="133"/>
  </conditionalFormatting>
  <conditionalFormatting sqref="R89:R93 P87">
    <cfRule type="duplicateValues" dxfId="142" priority="130"/>
  </conditionalFormatting>
  <conditionalFormatting sqref="P212:P213">
    <cfRule type="duplicateValues" dxfId="141" priority="128"/>
  </conditionalFormatting>
  <conditionalFormatting sqref="P276:P277">
    <cfRule type="duplicateValues" dxfId="140" priority="127"/>
  </conditionalFormatting>
  <conditionalFormatting sqref="P291:P292">
    <cfRule type="duplicateValues" dxfId="139" priority="126"/>
  </conditionalFormatting>
  <conditionalFormatting sqref="P296:P297">
    <cfRule type="duplicateValues" dxfId="138" priority="125"/>
  </conditionalFormatting>
  <conditionalFormatting sqref="P394:P395">
    <cfRule type="duplicateValues" dxfId="137" priority="124"/>
  </conditionalFormatting>
  <conditionalFormatting sqref="P643:P644">
    <cfRule type="duplicateValues" dxfId="136" priority="123"/>
  </conditionalFormatting>
  <conditionalFormatting sqref="P657:P658">
    <cfRule type="duplicateValues" dxfId="135" priority="122"/>
  </conditionalFormatting>
  <conditionalFormatting sqref="P662:P663">
    <cfRule type="duplicateValues" dxfId="134" priority="121"/>
  </conditionalFormatting>
  <conditionalFormatting sqref="P680:P681">
    <cfRule type="duplicateValues" dxfId="133" priority="120"/>
  </conditionalFormatting>
  <conditionalFormatting sqref="P689:P690">
    <cfRule type="duplicateValues" dxfId="132" priority="119"/>
  </conditionalFormatting>
  <conditionalFormatting sqref="P684:P685">
    <cfRule type="duplicateValues" dxfId="131" priority="118"/>
  </conditionalFormatting>
  <conditionalFormatting sqref="P705:P706">
    <cfRule type="duplicateValues" dxfId="130" priority="117"/>
  </conditionalFormatting>
  <conditionalFormatting sqref="P1338:P1339">
    <cfRule type="duplicateValues" dxfId="129" priority="116"/>
  </conditionalFormatting>
  <conditionalFormatting sqref="P1383:P1384">
    <cfRule type="duplicateValues" dxfId="128" priority="115"/>
  </conditionalFormatting>
  <conditionalFormatting sqref="P1393:P1394">
    <cfRule type="duplicateValues" dxfId="127" priority="114"/>
  </conditionalFormatting>
  <conditionalFormatting sqref="P1391:P1392">
    <cfRule type="duplicateValues" dxfId="126" priority="190"/>
  </conditionalFormatting>
  <conditionalFormatting sqref="P1533:P1534">
    <cfRule type="duplicateValues" dxfId="125" priority="113"/>
  </conditionalFormatting>
  <conditionalFormatting sqref="P1572:P1573">
    <cfRule type="duplicateValues" dxfId="124" priority="112"/>
  </conditionalFormatting>
  <conditionalFormatting sqref="P1567:P1568">
    <cfRule type="duplicateValues" dxfId="123" priority="111"/>
  </conditionalFormatting>
  <conditionalFormatting sqref="P1577:P1578">
    <cfRule type="duplicateValues" dxfId="122" priority="110"/>
  </conditionalFormatting>
  <conditionalFormatting sqref="P1584:P1585">
    <cfRule type="duplicateValues" dxfId="121" priority="109"/>
  </conditionalFormatting>
  <conditionalFormatting sqref="P1406:P1407">
    <cfRule type="duplicateValues" dxfId="120" priority="191"/>
  </conditionalFormatting>
  <conditionalFormatting sqref="P1600:P1601">
    <cfRule type="duplicateValues" dxfId="119" priority="108"/>
  </conditionalFormatting>
  <conditionalFormatting sqref="P1718:P1719">
    <cfRule type="duplicateValues" dxfId="118" priority="107"/>
  </conditionalFormatting>
  <conditionalFormatting sqref="P1723:P1724">
    <cfRule type="duplicateValues" dxfId="117" priority="106"/>
  </conditionalFormatting>
  <conditionalFormatting sqref="P1728:P1729">
    <cfRule type="duplicateValues" dxfId="116" priority="192"/>
  </conditionalFormatting>
  <conditionalFormatting sqref="P2395:P2396">
    <cfRule type="duplicateValues" dxfId="115" priority="105"/>
  </conditionalFormatting>
  <conditionalFormatting sqref="P2351:P2352">
    <cfRule type="duplicateValues" dxfId="114" priority="193"/>
  </conditionalFormatting>
  <conditionalFormatting sqref="P2437 O2436">
    <cfRule type="duplicateValues" dxfId="113" priority="104"/>
  </conditionalFormatting>
  <conditionalFormatting sqref="P2446:P2447">
    <cfRule type="duplicateValues" dxfId="112" priority="194"/>
  </conditionalFormatting>
  <conditionalFormatting sqref="P2408:P2409">
    <cfRule type="duplicateValues" dxfId="111" priority="195"/>
  </conditionalFormatting>
  <conditionalFormatting sqref="P2495:P2496">
    <cfRule type="duplicateValues" dxfId="110" priority="103"/>
  </conditionalFormatting>
  <conditionalFormatting sqref="P2449:P2450">
    <cfRule type="duplicateValues" dxfId="109" priority="196"/>
  </conditionalFormatting>
  <conditionalFormatting sqref="P2607:P2608">
    <cfRule type="duplicateValues" dxfId="108" priority="102"/>
  </conditionalFormatting>
  <conditionalFormatting sqref="P2537:P2538">
    <cfRule type="duplicateValues" dxfId="107" priority="197"/>
  </conditionalFormatting>
  <conditionalFormatting sqref="P2612:P2613">
    <cfRule type="duplicateValues" dxfId="106" priority="101"/>
  </conditionalFormatting>
  <conditionalFormatting sqref="P2611">
    <cfRule type="duplicateValues" dxfId="105" priority="198"/>
  </conditionalFormatting>
  <conditionalFormatting sqref="P2627:P2628">
    <cfRule type="duplicateValues" dxfId="104" priority="100"/>
  </conditionalFormatting>
  <conditionalFormatting sqref="P2632:P2633">
    <cfRule type="duplicateValues" dxfId="103" priority="99"/>
  </conditionalFormatting>
  <conditionalFormatting sqref="P2617:P2618">
    <cfRule type="duplicateValues" dxfId="102" priority="98"/>
  </conditionalFormatting>
  <conditionalFormatting sqref="P2622:P2623">
    <cfRule type="duplicateValues" dxfId="101" priority="97"/>
  </conditionalFormatting>
  <conditionalFormatting sqref="P2777:P2778">
    <cfRule type="duplicateValues" dxfId="100" priority="94"/>
  </conditionalFormatting>
  <conditionalFormatting sqref="P2782:P2783">
    <cfRule type="duplicateValues" dxfId="99" priority="93"/>
  </conditionalFormatting>
  <conditionalFormatting sqref="P2809:P2810">
    <cfRule type="duplicateValues" dxfId="98" priority="92"/>
  </conditionalFormatting>
  <conditionalFormatting sqref="P2814:P2815">
    <cfRule type="duplicateValues" dxfId="97" priority="91"/>
  </conditionalFormatting>
  <conditionalFormatting sqref="P2880:P2881">
    <cfRule type="duplicateValues" dxfId="96" priority="90"/>
  </conditionalFormatting>
  <conditionalFormatting sqref="P2885:P2886">
    <cfRule type="duplicateValues" dxfId="95" priority="89"/>
  </conditionalFormatting>
  <conditionalFormatting sqref="P4352:P4353">
    <cfRule type="duplicateValues" dxfId="94" priority="87"/>
  </conditionalFormatting>
  <conditionalFormatting sqref="P4211:P4212">
    <cfRule type="duplicateValues" dxfId="93" priority="199"/>
  </conditionalFormatting>
  <conditionalFormatting sqref="P131:P133">
    <cfRule type="duplicateValues" dxfId="92" priority="201"/>
  </conditionalFormatting>
  <conditionalFormatting sqref="O3828:O3844 P3848:P3852 P3829:P3830">
    <cfRule type="duplicateValues" dxfId="91" priority="82"/>
  </conditionalFormatting>
  <conditionalFormatting sqref="O3852:O3862 P3866:P3870 P3853:P3854">
    <cfRule type="duplicateValues" dxfId="90" priority="81"/>
  </conditionalFormatting>
  <conditionalFormatting sqref="P194:P195">
    <cfRule type="duplicateValues" dxfId="89" priority="80"/>
  </conditionalFormatting>
  <conditionalFormatting sqref="P1337">
    <cfRule type="duplicateValues" dxfId="88" priority="79"/>
  </conditionalFormatting>
  <conditionalFormatting sqref="P1562:P1563">
    <cfRule type="duplicateValues" dxfId="87" priority="78"/>
  </conditionalFormatting>
  <conditionalFormatting sqref="P1703:P1704">
    <cfRule type="duplicateValues" dxfId="86" priority="77"/>
  </conditionalFormatting>
  <conditionalFormatting sqref="P2441:P2442">
    <cfRule type="duplicateValues" dxfId="85" priority="76"/>
  </conditionalFormatting>
  <conditionalFormatting sqref="P3876">
    <cfRule type="duplicateValues" dxfId="84" priority="75"/>
  </conditionalFormatting>
  <conditionalFormatting sqref="P3877">
    <cfRule type="duplicateValues" dxfId="83" priority="74"/>
  </conditionalFormatting>
  <conditionalFormatting sqref="P2921:P2922">
    <cfRule type="duplicateValues" dxfId="82" priority="73"/>
  </conditionalFormatting>
  <conditionalFormatting sqref="P2916:P2917">
    <cfRule type="duplicateValues" dxfId="81" priority="203"/>
  </conditionalFormatting>
  <conditionalFormatting sqref="P3223:P3224">
    <cfRule type="duplicateValues" dxfId="80" priority="72"/>
  </conditionalFormatting>
  <conditionalFormatting sqref="P3202:P3203">
    <cfRule type="duplicateValues" dxfId="79" priority="204"/>
  </conditionalFormatting>
  <conditionalFormatting sqref="P3248:P3249">
    <cfRule type="duplicateValues" dxfId="78" priority="71"/>
  </conditionalFormatting>
  <conditionalFormatting sqref="P3437:P3438">
    <cfRule type="duplicateValues" dxfId="77" priority="70"/>
  </conditionalFormatting>
  <conditionalFormatting sqref="P3340:P3341">
    <cfRule type="duplicateValues" dxfId="76" priority="205"/>
  </conditionalFormatting>
  <conditionalFormatting sqref="P3803:P3804 P3765:P3766">
    <cfRule type="duplicateValues" dxfId="75" priority="206"/>
  </conditionalFormatting>
  <conditionalFormatting sqref="R171">
    <cfRule type="duplicateValues" dxfId="74" priority="64"/>
  </conditionalFormatting>
  <conditionalFormatting sqref="R186">
    <cfRule type="duplicateValues" dxfId="73" priority="62"/>
  </conditionalFormatting>
  <conditionalFormatting sqref="R188">
    <cfRule type="duplicateValues" dxfId="72" priority="61"/>
  </conditionalFormatting>
  <conditionalFormatting sqref="R2324:R2325">
    <cfRule type="duplicateValues" dxfId="71" priority="54"/>
  </conditionalFormatting>
  <conditionalFormatting sqref="P694:P695">
    <cfRule type="duplicateValues" dxfId="70" priority="53"/>
  </conditionalFormatting>
  <conditionalFormatting sqref="P4173:P4174 P4182:P4184">
    <cfRule type="duplicateValues" dxfId="69" priority="51"/>
  </conditionalFormatting>
  <conditionalFormatting sqref="P4203:P4204">
    <cfRule type="duplicateValues" dxfId="68" priority="52"/>
  </conditionalFormatting>
  <conditionalFormatting sqref="P4193:P4194">
    <cfRule type="duplicateValues" dxfId="67" priority="50"/>
  </conditionalFormatting>
  <conditionalFormatting sqref="P3740:P3747">
    <cfRule type="duplicateValues" dxfId="66" priority="212"/>
  </conditionalFormatting>
  <conditionalFormatting sqref="P263:P264">
    <cfRule type="duplicateValues" dxfId="65" priority="48"/>
  </conditionalFormatting>
  <conditionalFormatting sqref="P281:P282">
    <cfRule type="duplicateValues" dxfId="64" priority="47"/>
  </conditionalFormatting>
  <conditionalFormatting sqref="P669:P670">
    <cfRule type="duplicateValues" dxfId="63" priority="46"/>
  </conditionalFormatting>
  <conditionalFormatting sqref="P1732:P1733">
    <cfRule type="duplicateValues" dxfId="62" priority="45"/>
  </conditionalFormatting>
  <conditionalFormatting sqref="P3282:P3284">
    <cfRule type="duplicateValues" dxfId="61" priority="44"/>
  </conditionalFormatting>
  <conditionalFormatting sqref="P4150:P4151">
    <cfRule type="duplicateValues" dxfId="60" priority="43"/>
  </conditionalFormatting>
  <conditionalFormatting sqref="P4178:P4179">
    <cfRule type="duplicateValues" dxfId="59" priority="41"/>
  </conditionalFormatting>
  <conditionalFormatting sqref="P4175:P4176">
    <cfRule type="duplicateValues" dxfId="58" priority="42"/>
  </conditionalFormatting>
  <conditionalFormatting sqref="P1351:P1353 P1340:P1348">
    <cfRule type="duplicateValues" dxfId="57" priority="40"/>
  </conditionalFormatting>
  <conditionalFormatting sqref="P467:P470">
    <cfRule type="duplicateValues" dxfId="56" priority="216"/>
  </conditionalFormatting>
  <conditionalFormatting sqref="P2648:P2649">
    <cfRule type="duplicateValues" dxfId="55" priority="39"/>
  </conditionalFormatting>
  <conditionalFormatting sqref="P2642:P2644">
    <cfRule type="duplicateValues" dxfId="54" priority="38"/>
  </conditionalFormatting>
  <conditionalFormatting sqref="R2269">
    <cfRule type="duplicateValues" dxfId="53" priority="35"/>
  </conditionalFormatting>
  <conditionalFormatting sqref="P2270:P2277 P2267:P2268">
    <cfRule type="duplicateValues" dxfId="52" priority="36"/>
  </conditionalFormatting>
  <conditionalFormatting sqref="R2286">
    <cfRule type="duplicateValues" dxfId="51" priority="33"/>
  </conditionalFormatting>
  <conditionalFormatting sqref="P2287:P2294 P2278:P2280 P2284:P2285">
    <cfRule type="duplicateValues" dxfId="50" priority="34"/>
  </conditionalFormatting>
  <conditionalFormatting sqref="P2295">
    <cfRule type="duplicateValues" dxfId="49" priority="32"/>
  </conditionalFormatting>
  <conditionalFormatting sqref="P2255:P2264">
    <cfRule type="duplicateValues" dxfId="48" priority="37"/>
  </conditionalFormatting>
  <conditionalFormatting sqref="R2300">
    <cfRule type="duplicateValues" dxfId="47" priority="30"/>
  </conditionalFormatting>
  <conditionalFormatting sqref="P2307:P2310 P2296">
    <cfRule type="duplicateValues" dxfId="46" priority="231"/>
  </conditionalFormatting>
  <conditionalFormatting sqref="R149">
    <cfRule type="duplicateValues" dxfId="45" priority="26"/>
  </conditionalFormatting>
  <conditionalFormatting sqref="R151">
    <cfRule type="duplicateValues" dxfId="44" priority="24"/>
  </conditionalFormatting>
  <conditionalFormatting sqref="P152:P159">
    <cfRule type="duplicateValues" dxfId="43" priority="25"/>
  </conditionalFormatting>
  <conditionalFormatting sqref="P461:P464">
    <cfRule type="duplicateValues" dxfId="42" priority="242"/>
  </conditionalFormatting>
  <conditionalFormatting sqref="P1593">
    <cfRule type="duplicateValues" dxfId="41" priority="243"/>
  </conditionalFormatting>
  <conditionalFormatting sqref="P2297:P2299 P2301:P2306">
    <cfRule type="duplicateValues" dxfId="40" priority="276"/>
  </conditionalFormatting>
  <conditionalFormatting sqref="R29:R44 P24:P27 P45:P48 R9:R23 P66:P71 R50:R65">
    <cfRule type="duplicateValues" dxfId="39" priority="284"/>
  </conditionalFormatting>
  <conditionalFormatting sqref="P2773">
    <cfRule type="duplicateValues" dxfId="38" priority="299"/>
  </conditionalFormatting>
  <conditionalFormatting sqref="P2768:P2769">
    <cfRule type="duplicateValues" dxfId="37" priority="306"/>
  </conditionalFormatting>
  <conditionalFormatting sqref="R146">
    <cfRule type="duplicateValues" dxfId="36" priority="19"/>
  </conditionalFormatting>
  <conditionalFormatting sqref="P145">
    <cfRule type="duplicateValues" dxfId="35" priority="18"/>
  </conditionalFormatting>
  <conditionalFormatting sqref="P164">
    <cfRule type="duplicateValues" dxfId="34" priority="16"/>
  </conditionalFormatting>
  <conditionalFormatting sqref="P172:P177 P169:P170 P162:P163">
    <cfRule type="duplicateValues" dxfId="33" priority="307"/>
  </conditionalFormatting>
  <conditionalFormatting sqref="AD168">
    <cfRule type="duplicateValues" dxfId="32" priority="15"/>
  </conditionalFormatting>
  <conditionalFormatting sqref="P166:P167">
    <cfRule type="duplicateValues" dxfId="31" priority="14"/>
  </conditionalFormatting>
  <conditionalFormatting sqref="R183">
    <cfRule type="duplicateValues" dxfId="30" priority="13"/>
  </conditionalFormatting>
  <conditionalFormatting sqref="P182">
    <cfRule type="duplicateValues" dxfId="29" priority="12"/>
  </conditionalFormatting>
  <conditionalFormatting sqref="P112">
    <cfRule type="duplicateValues" dxfId="28" priority="11"/>
  </conditionalFormatting>
  <conditionalFormatting sqref="R165">
    <cfRule type="duplicateValues" dxfId="27" priority="333"/>
  </conditionalFormatting>
  <conditionalFormatting sqref="P4188">
    <cfRule type="duplicateValues" dxfId="26" priority="10"/>
  </conditionalFormatting>
  <conditionalFormatting sqref="P4140">
    <cfRule type="duplicateValues" dxfId="25" priority="9"/>
  </conditionalFormatting>
  <conditionalFormatting sqref="P456:P457">
    <cfRule type="duplicateValues" dxfId="24" priority="8"/>
  </conditionalFormatting>
  <conditionalFormatting sqref="P459">
    <cfRule type="duplicateValues" dxfId="23" priority="7"/>
  </conditionalFormatting>
  <conditionalFormatting sqref="P190">
    <cfRule type="duplicateValues" dxfId="22" priority="357"/>
  </conditionalFormatting>
  <conditionalFormatting sqref="P189">
    <cfRule type="duplicateValues" dxfId="21" priority="371"/>
  </conditionalFormatting>
  <conditionalFormatting sqref="P180:P181 P187 P184:P185">
    <cfRule type="duplicateValues" dxfId="20" priority="385"/>
  </conditionalFormatting>
  <conditionalFormatting sqref="R74:R86 P94 P72">
    <cfRule type="duplicateValues" dxfId="19" priority="394"/>
  </conditionalFormatting>
  <conditionalFormatting sqref="P103">
    <cfRule type="duplicateValues" dxfId="18" priority="421"/>
  </conditionalFormatting>
  <conditionalFormatting sqref="P113:P118 P111 O107:O110 P104:P106">
    <cfRule type="duplicateValues" dxfId="17" priority="430"/>
  </conditionalFormatting>
  <conditionalFormatting sqref="P119:P126">
    <cfRule type="duplicateValues" dxfId="16" priority="431"/>
  </conditionalFormatting>
  <conditionalFormatting sqref="R127:R128">
    <cfRule type="duplicateValues" dxfId="15" priority="440"/>
  </conditionalFormatting>
  <conditionalFormatting sqref="P129:P130">
    <cfRule type="duplicateValues" dxfId="14" priority="449"/>
  </conditionalFormatting>
  <conditionalFormatting sqref="P136">
    <cfRule type="duplicateValues" dxfId="13" priority="465"/>
  </conditionalFormatting>
  <conditionalFormatting sqref="P139:P140">
    <cfRule type="duplicateValues" dxfId="12" priority="466"/>
  </conditionalFormatting>
  <conditionalFormatting sqref="P141:P142">
    <cfRule type="duplicateValues" dxfId="11" priority="486"/>
  </conditionalFormatting>
  <conditionalFormatting sqref="P143:P144 P150 P147:P148">
    <cfRule type="duplicateValues" dxfId="10" priority="511"/>
  </conditionalFormatting>
  <conditionalFormatting sqref="P2283">
    <cfRule type="duplicateValues" dxfId="9" priority="6"/>
  </conditionalFormatting>
  <conditionalFormatting sqref="P2312:P2314">
    <cfRule type="duplicateValues" dxfId="8" priority="5"/>
  </conditionalFormatting>
  <conditionalFormatting sqref="P2316:P2318">
    <cfRule type="duplicateValues" dxfId="7" priority="4"/>
  </conditionalFormatting>
  <conditionalFormatting sqref="P2331">
    <cfRule type="duplicateValues" dxfId="6" priority="3"/>
  </conditionalFormatting>
  <conditionalFormatting sqref="P2320:P2323 P2326:P2330">
    <cfRule type="duplicateValues" dxfId="5" priority="525"/>
  </conditionalFormatting>
  <conditionalFormatting sqref="P2335">
    <cfRule type="duplicateValues" dxfId="4" priority="2"/>
  </conditionalFormatting>
  <conditionalFormatting sqref="P2360">
    <cfRule type="duplicateValues" dxfId="3" priority="1"/>
  </conditionalFormatting>
  <conditionalFormatting sqref="P3875 P3878:P3879">
    <cfRule type="duplicateValues" dxfId="2" priority="534"/>
  </conditionalFormatting>
  <conditionalFormatting sqref="P4149">
    <cfRule type="duplicateValues" dxfId="1" priority="537"/>
  </conditionalFormatting>
  <pageMargins left="0.5" right="0.5" top="0.55000000000000004" bottom="0.5" header="0.05" footer="0.3"/>
  <pageSetup fitToHeight="0" orientation="landscape" r:id="rId1"/>
  <headerFooter differentFirst="1">
    <oddFooter>&amp;C&amp;P</oddFooter>
  </headerFooter>
  <rowBreaks count="24" manualBreakCount="24">
    <brk id="250" max="16383" man="1"/>
    <brk id="311" max="16383" man="1"/>
    <brk id="465" max="16383" man="1"/>
    <brk id="519" max="16383" man="1"/>
    <brk id="602" max="16383" man="1"/>
    <brk id="734" max="16383" man="1"/>
    <brk id="1405" max="16383" man="1"/>
    <brk id="1809" max="16383" man="1"/>
    <brk id="1881" max="16383" man="1"/>
    <brk id="2594" max="16383" man="1"/>
    <brk id="2655" max="16383" man="1"/>
    <brk id="2861" max="16383" man="1"/>
    <brk id="2910" max="16383" man="1"/>
    <brk id="2990" max="16383" man="1"/>
    <brk id="3083" max="16383" man="1"/>
    <brk id="3164" max="16383" man="1"/>
    <brk id="3301" max="16383" man="1"/>
    <brk id="3532" max="16383" man="1"/>
    <brk id="3614" max="16383" man="1"/>
    <brk id="3756" max="16383" man="1"/>
    <brk id="3879" max="16383" man="1"/>
    <brk id="4275" max="16383" man="1"/>
    <brk id="4391" max="16383" man="1"/>
    <brk id="4446" max="16383" man="1"/>
  </rowBreaks>
  <ignoredErrors>
    <ignoredError sqref="K1839 I4444 K1503" formula="1"/>
    <ignoredError sqref="A2598:A2599" twoDigitTextYear="1"/>
  </ignoredErrors>
  <drawing r:id="rId2"/>
  <legacyDrawing r:id="rId3"/>
  <oleObjects>
    <mc:AlternateContent xmlns:mc="http://schemas.openxmlformats.org/markup-compatibility/2006">
      <mc:Choice Requires="x14">
        <oleObject progId="Acrobat Document" dvAspect="DVASPECT_ICON" shapeId="3073" r:id="rId4">
          <objectPr defaultSize="0" autoPict="0" altText="FAC 1511 Study" r:id="rId5">
            <anchor moveWithCells="1">
              <from>
                <xdr:col>0</xdr:col>
                <xdr:colOff>184150</xdr:colOff>
                <xdr:row>560</xdr:row>
                <xdr:rowOff>222250</xdr:rowOff>
              </from>
              <to>
                <xdr:col>1</xdr:col>
                <xdr:colOff>184150</xdr:colOff>
                <xdr:row>562</xdr:row>
                <xdr:rowOff>323850</xdr:rowOff>
              </to>
            </anchor>
          </objectPr>
        </oleObject>
      </mc:Choice>
      <mc:Fallback>
        <oleObject progId="Acrobat Document" dvAspect="DVASPECT_ICON" shapeId="3073" r:id="rId4"/>
      </mc:Fallback>
    </mc:AlternateContent>
    <mc:AlternateContent xmlns:mc="http://schemas.openxmlformats.org/markup-compatibility/2006">
      <mc:Choice Requires="x14">
        <oleObject progId="Acrobat Document" dvAspect="DVASPECT_ICON" shapeId="3080" r:id="rId6">
          <objectPr defaultSize="0" altText="FAC 2131 RUC _FY2011 CNIC Study" r:id="rId7">
            <anchor moveWithCells="1">
              <from>
                <xdr:col>0</xdr:col>
                <xdr:colOff>146050</xdr:colOff>
                <xdr:row>1530</xdr:row>
                <xdr:rowOff>298450</xdr:rowOff>
              </from>
              <to>
                <xdr:col>1</xdr:col>
                <xdr:colOff>146050</xdr:colOff>
                <xdr:row>1530</xdr:row>
                <xdr:rowOff>984250</xdr:rowOff>
              </to>
            </anchor>
          </objectPr>
        </oleObject>
      </mc:Choice>
      <mc:Fallback>
        <oleObject progId="Acrobat Document" dvAspect="DVASPECT_ICON" shapeId="3080" r:id="rId6"/>
      </mc:Fallback>
    </mc:AlternateContent>
    <mc:AlternateContent xmlns:mc="http://schemas.openxmlformats.org/markup-compatibility/2006">
      <mc:Choice Requires="x14">
        <oleObject progId="Acrobat Document" dvAspect="DVASPECT_ICON" shapeId="3084" r:id="rId8">
          <objectPr defaultSize="0" r:id="rId9">
            <anchor moveWithCells="1">
              <from>
                <xdr:col>2</xdr:col>
                <xdr:colOff>571500</xdr:colOff>
                <xdr:row>4800</xdr:row>
                <xdr:rowOff>76200</xdr:rowOff>
              </from>
              <to>
                <xdr:col>3</xdr:col>
                <xdr:colOff>889000</xdr:colOff>
                <xdr:row>4801</xdr:row>
                <xdr:rowOff>381000</xdr:rowOff>
              </to>
            </anchor>
          </objectPr>
        </oleObject>
      </mc:Choice>
      <mc:Fallback>
        <oleObject progId="Acrobat Document" dvAspect="DVASPECT_ICON" shapeId="3084" r:id="rId8"/>
      </mc:Fallback>
    </mc:AlternateContent>
    <mc:AlternateContent xmlns:mc="http://schemas.openxmlformats.org/markup-compatibility/2006">
      <mc:Choice Requires="x14">
        <oleObject progId="Acrobat Document" dvAspect="DVASPECT_ICON" shapeId="3085" r:id="rId10">
          <objectPr defaultSize="0" autoPict="0" altText="FAC 1511 Study" r:id="rId5">
            <anchor moveWithCells="1">
              <from>
                <xdr:col>0</xdr:col>
                <xdr:colOff>184150</xdr:colOff>
                <xdr:row>568</xdr:row>
                <xdr:rowOff>400050</xdr:rowOff>
              </from>
              <to>
                <xdr:col>1</xdr:col>
                <xdr:colOff>184150</xdr:colOff>
                <xdr:row>568</xdr:row>
                <xdr:rowOff>1250950</xdr:rowOff>
              </to>
            </anchor>
          </objectPr>
        </oleObject>
      </mc:Choice>
      <mc:Fallback>
        <oleObject progId="Acrobat Document" dvAspect="DVASPECT_ICON" shapeId="3085" r:id="rId10"/>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22A906-C8E5-45F8-BA8C-BBD23DDFD88C}">
  <sheetPr>
    <tabColor theme="4" tint="0.79998168889431442"/>
    <pageSetUpPr fitToPage="1"/>
  </sheetPr>
  <dimension ref="A1:B7"/>
  <sheetViews>
    <sheetView workbookViewId="0">
      <selection activeCell="B7" sqref="B7"/>
    </sheetView>
  </sheetViews>
  <sheetFormatPr defaultRowHeight="14.5" x14ac:dyDescent="0.35"/>
  <cols>
    <col min="1" max="1" width="14.81640625" style="5" customWidth="1"/>
    <col min="2" max="2" width="93.1796875" style="5" customWidth="1"/>
  </cols>
  <sheetData>
    <row r="1" spans="1:2" ht="24.75" customHeight="1" x14ac:dyDescent="0.45">
      <c r="A1" s="1479" t="s">
        <v>2145</v>
      </c>
      <c r="B1" s="1479"/>
    </row>
    <row r="2" spans="1:2" x14ac:dyDescent="0.35">
      <c r="A2" s="109" t="s">
        <v>2146</v>
      </c>
      <c r="B2" s="109" t="s">
        <v>2147</v>
      </c>
    </row>
    <row r="3" spans="1:2" ht="36.75" customHeight="1" x14ac:dyDescent="0.35">
      <c r="A3" s="109" t="s">
        <v>2148</v>
      </c>
      <c r="B3" s="109" t="s">
        <v>2149</v>
      </c>
    </row>
    <row r="4" spans="1:2" ht="63" customHeight="1" x14ac:dyDescent="0.35">
      <c r="A4" s="109" t="s">
        <v>2150</v>
      </c>
      <c r="B4" s="109" t="s">
        <v>2151</v>
      </c>
    </row>
    <row r="5" spans="1:2" ht="72.5" x14ac:dyDescent="0.35">
      <c r="A5" s="109" t="s">
        <v>2152</v>
      </c>
      <c r="B5" s="109" t="s">
        <v>2153</v>
      </c>
    </row>
    <row r="6" spans="1:2" ht="58" x14ac:dyDescent="0.35">
      <c r="A6" s="109" t="s">
        <v>2154</v>
      </c>
      <c r="B6" s="109" t="s">
        <v>2215</v>
      </c>
    </row>
    <row r="7" spans="1:2" ht="116" x14ac:dyDescent="0.35">
      <c r="A7" s="109" t="s">
        <v>2155</v>
      </c>
      <c r="B7" s="109" t="s">
        <v>2738</v>
      </c>
    </row>
  </sheetData>
  <mergeCells count="1">
    <mergeCell ref="A1:B1"/>
  </mergeCells>
  <pageMargins left="0.7" right="0.7" top="0.75" bottom="0.75" header="0.3" footer="0.3"/>
  <pageSetup scale="83"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1D6444-E2AB-4344-A8CE-353AAF735A29}">
  <sheetPr>
    <tabColor theme="4" tint="0.79998168889431442"/>
  </sheetPr>
  <dimension ref="A1:H2"/>
  <sheetViews>
    <sheetView topLeftCell="A7" workbookViewId="0">
      <selection activeCell="J39" sqref="J39"/>
    </sheetView>
  </sheetViews>
  <sheetFormatPr defaultRowHeight="14.5" x14ac:dyDescent="0.35"/>
  <cols>
    <col min="8" max="8" width="3.26953125" customWidth="1"/>
  </cols>
  <sheetData>
    <row r="1" spans="1:8" ht="14.5" customHeight="1" x14ac:dyDescent="0.35">
      <c r="A1" s="1426" t="s">
        <v>2678</v>
      </c>
      <c r="B1" s="1426"/>
      <c r="C1" s="1426"/>
      <c r="D1" s="1426"/>
      <c r="E1" s="1426"/>
      <c r="F1" s="1426"/>
      <c r="G1" s="1426"/>
      <c r="H1" s="387"/>
    </row>
    <row r="2" spans="1:8" x14ac:dyDescent="0.35">
      <c r="A2" s="1426"/>
      <c r="B2" s="1426"/>
      <c r="C2" s="1426"/>
      <c r="D2" s="1426"/>
      <c r="E2" s="1426"/>
      <c r="F2" s="1426"/>
      <c r="G2" s="1426"/>
      <c r="H2" s="387"/>
    </row>
  </sheetData>
  <mergeCells count="1">
    <mergeCell ref="A1:G2"/>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4EA0F1-4A58-4C9E-AA8E-5D79C7FC1B5B}">
  <sheetPr>
    <tabColor theme="4" tint="0.79998168889431442"/>
    <pageSetUpPr fitToPage="1"/>
  </sheetPr>
  <dimension ref="A1:S31"/>
  <sheetViews>
    <sheetView topLeftCell="A7" zoomScale="85" zoomScaleNormal="85" workbookViewId="0">
      <selection activeCell="C12" sqref="C12"/>
    </sheetView>
  </sheetViews>
  <sheetFormatPr defaultColWidth="9.1796875" defaultRowHeight="14.5" x14ac:dyDescent="0.35"/>
  <cols>
    <col min="1" max="1" width="27.1796875" style="48" customWidth="1"/>
    <col min="2" max="2" width="12" style="48" customWidth="1"/>
    <col min="3" max="3" width="11.453125" style="48" customWidth="1"/>
    <col min="4" max="4" width="16.54296875" style="48" customWidth="1"/>
    <col min="5" max="5" width="15.453125" style="48" customWidth="1"/>
    <col min="6" max="6" width="23.54296875" style="48" customWidth="1"/>
    <col min="7" max="7" width="19.81640625" style="48" customWidth="1"/>
    <col min="8" max="8" width="14" style="48" customWidth="1"/>
    <col min="9" max="9" width="15.453125" style="48" customWidth="1"/>
    <col min="10" max="10" width="16.1796875" style="48" customWidth="1"/>
    <col min="11" max="16384" width="9.1796875" style="48"/>
  </cols>
  <sheetData>
    <row r="1" spans="1:19" ht="30" customHeight="1" x14ac:dyDescent="0.35">
      <c r="A1" s="1433" t="s">
        <v>2027</v>
      </c>
      <c r="B1" s="1434"/>
      <c r="C1" s="1434"/>
      <c r="D1" s="1434"/>
      <c r="E1" s="1434"/>
      <c r="F1" s="1435"/>
      <c r="M1" s="73"/>
      <c r="O1" s="110"/>
      <c r="P1" s="73"/>
      <c r="S1" s="111"/>
    </row>
    <row r="2" spans="1:19" s="114" customFormat="1" ht="101.5" customHeight="1" x14ac:dyDescent="0.35">
      <c r="A2" s="1436" t="s">
        <v>2674</v>
      </c>
      <c r="B2" s="1437"/>
      <c r="C2" s="1437"/>
      <c r="D2" s="1437"/>
      <c r="E2" s="1437"/>
      <c r="F2" s="1438"/>
      <c r="G2" s="153"/>
      <c r="H2" s="112"/>
      <c r="I2" s="112"/>
      <c r="J2" s="112"/>
      <c r="K2" s="113"/>
      <c r="M2" s="73"/>
      <c r="O2" s="110"/>
      <c r="P2" s="73"/>
      <c r="S2" s="111"/>
    </row>
    <row r="3" spans="1:19" ht="56.25" customHeight="1" x14ac:dyDescent="0.35">
      <c r="A3" s="115" t="s">
        <v>2630</v>
      </c>
      <c r="B3" s="7" t="s">
        <v>2028</v>
      </c>
      <c r="C3" s="7" t="s">
        <v>2029</v>
      </c>
      <c r="D3" s="7" t="s">
        <v>2030</v>
      </c>
      <c r="E3" s="8" t="s">
        <v>2031</v>
      </c>
      <c r="F3" s="116" t="s">
        <v>2672</v>
      </c>
      <c r="G3" s="155"/>
      <c r="H3" s="117"/>
      <c r="I3" s="44"/>
      <c r="J3" s="35"/>
      <c r="L3" s="73"/>
      <c r="N3" s="110"/>
      <c r="O3" s="73"/>
      <c r="R3" s="111"/>
    </row>
    <row r="4" spans="1:19" ht="30" customHeight="1" x14ac:dyDescent="0.35">
      <c r="A4" s="118"/>
      <c r="B4" s="119">
        <v>39356</v>
      </c>
      <c r="C4" s="31">
        <v>2008</v>
      </c>
      <c r="D4" s="157">
        <v>100</v>
      </c>
      <c r="E4" s="159"/>
      <c r="F4" s="322">
        <f t="shared" ref="F4:F15" si="0">+$D$17/D4</f>
        <v>1.3697999999999999</v>
      </c>
      <c r="G4" s="72"/>
      <c r="H4" s="72"/>
      <c r="I4" s="44"/>
      <c r="J4" s="35"/>
      <c r="L4" s="73"/>
      <c r="N4" s="110"/>
      <c r="O4" s="73"/>
      <c r="R4" s="111"/>
    </row>
    <row r="5" spans="1:19" ht="30" customHeight="1" x14ac:dyDescent="0.35">
      <c r="A5" s="118"/>
      <c r="B5" s="119">
        <v>39722</v>
      </c>
      <c r="C5" s="31">
        <v>2009</v>
      </c>
      <c r="D5" s="32">
        <v>104.89</v>
      </c>
      <c r="E5" s="160"/>
      <c r="F5" s="322">
        <f t="shared" si="0"/>
        <v>1.3059395557250453</v>
      </c>
      <c r="G5" s="117"/>
      <c r="H5" s="117"/>
      <c r="I5" s="44"/>
      <c r="J5" s="35"/>
      <c r="L5" s="73"/>
      <c r="N5" s="110"/>
      <c r="O5" s="73"/>
      <c r="R5" s="111"/>
    </row>
    <row r="6" spans="1:19" ht="30" customHeight="1" x14ac:dyDescent="0.35">
      <c r="A6" s="118"/>
      <c r="B6" s="119">
        <v>40087</v>
      </c>
      <c r="C6" s="31">
        <v>2010</v>
      </c>
      <c r="D6" s="32">
        <v>98.32</v>
      </c>
      <c r="E6" s="160"/>
      <c r="F6" s="322">
        <f t="shared" si="0"/>
        <v>1.3932058584214808</v>
      </c>
      <c r="G6" s="117"/>
      <c r="H6" s="117"/>
      <c r="I6" s="44"/>
      <c r="J6" s="35"/>
      <c r="L6" s="73"/>
      <c r="N6" s="110"/>
      <c r="O6" s="73"/>
      <c r="R6" s="111"/>
    </row>
    <row r="7" spans="1:19" ht="30" customHeight="1" x14ac:dyDescent="0.35">
      <c r="A7" s="118"/>
      <c r="B7" s="119">
        <v>40452</v>
      </c>
      <c r="C7" s="31">
        <v>2011</v>
      </c>
      <c r="D7" s="32">
        <v>96.83</v>
      </c>
      <c r="E7" s="160"/>
      <c r="F7" s="322">
        <f t="shared" si="0"/>
        <v>1.4146442218320767</v>
      </c>
      <c r="G7" s="117"/>
      <c r="H7" s="117"/>
      <c r="I7" s="44"/>
      <c r="J7" s="35"/>
      <c r="L7" s="73"/>
      <c r="N7" s="110"/>
      <c r="O7" s="73"/>
      <c r="R7" s="111"/>
    </row>
    <row r="8" spans="1:19" ht="30" customHeight="1" x14ac:dyDescent="0.35">
      <c r="A8" s="120" t="s">
        <v>2331</v>
      </c>
      <c r="B8" s="119">
        <v>40817</v>
      </c>
      <c r="C8" s="10">
        <v>2012</v>
      </c>
      <c r="D8" s="158">
        <v>99.3</v>
      </c>
      <c r="E8" s="156"/>
      <c r="F8" s="322">
        <f t="shared" si="0"/>
        <v>1.3794561933534744</v>
      </c>
      <c r="G8" s="121"/>
      <c r="H8" s="122"/>
      <c r="M8" s="123"/>
    </row>
    <row r="9" spans="1:19" ht="30" customHeight="1" x14ac:dyDescent="0.35">
      <c r="A9" s="120" t="s">
        <v>2332</v>
      </c>
      <c r="B9" s="119">
        <v>41183</v>
      </c>
      <c r="C9" s="10">
        <v>2013</v>
      </c>
      <c r="D9" s="158">
        <v>101.04</v>
      </c>
      <c r="E9" s="156"/>
      <c r="F9" s="322">
        <f t="shared" si="0"/>
        <v>1.3557007125890734</v>
      </c>
      <c r="G9" s="121"/>
      <c r="H9" s="122"/>
      <c r="M9" s="123"/>
    </row>
    <row r="10" spans="1:19" ht="30" customHeight="1" x14ac:dyDescent="0.35">
      <c r="A10" s="120" t="s">
        <v>2333</v>
      </c>
      <c r="B10" s="119">
        <v>41548</v>
      </c>
      <c r="C10" s="10">
        <v>2014</v>
      </c>
      <c r="D10" s="158">
        <v>104.62</v>
      </c>
      <c r="E10" s="156"/>
      <c r="F10" s="322">
        <f t="shared" si="0"/>
        <v>1.3093098833874974</v>
      </c>
      <c r="G10" s="121"/>
      <c r="H10" s="122"/>
      <c r="M10" s="123"/>
    </row>
    <row r="11" spans="1:19" ht="30" customHeight="1" x14ac:dyDescent="0.35">
      <c r="A11" s="120" t="s">
        <v>2334</v>
      </c>
      <c r="B11" s="119">
        <v>41913</v>
      </c>
      <c r="C11" s="10">
        <v>2015</v>
      </c>
      <c r="D11" s="158">
        <v>108.88</v>
      </c>
      <c r="E11" s="156"/>
      <c r="F11" s="322">
        <f t="shared" si="0"/>
        <v>1.2580822924320352</v>
      </c>
      <c r="G11" s="121"/>
      <c r="H11" s="122"/>
      <c r="M11" s="123"/>
    </row>
    <row r="12" spans="1:19" ht="30" customHeight="1" x14ac:dyDescent="0.35">
      <c r="A12" s="120" t="s">
        <v>2335</v>
      </c>
      <c r="B12" s="119">
        <v>42278</v>
      </c>
      <c r="C12" s="10">
        <v>2016</v>
      </c>
      <c r="D12" s="158">
        <v>113.31</v>
      </c>
      <c r="E12" s="156"/>
      <c r="F12" s="322">
        <f t="shared" si="0"/>
        <v>1.2088959491660047</v>
      </c>
      <c r="G12" s="121"/>
      <c r="H12" s="122"/>
      <c r="M12" s="123"/>
    </row>
    <row r="13" spans="1:19" ht="30" customHeight="1" x14ac:dyDescent="0.35">
      <c r="A13" s="120" t="s">
        <v>2336</v>
      </c>
      <c r="B13" s="119">
        <v>42644</v>
      </c>
      <c r="C13" s="10">
        <v>2017</v>
      </c>
      <c r="D13" s="158">
        <v>117.64</v>
      </c>
      <c r="E13" s="161"/>
      <c r="F13" s="322">
        <f t="shared" si="0"/>
        <v>1.1643998639918394</v>
      </c>
      <c r="G13" s="121"/>
      <c r="H13" s="122"/>
      <c r="M13" s="123"/>
    </row>
    <row r="14" spans="1:19" ht="30" customHeight="1" x14ac:dyDescent="0.35">
      <c r="A14" s="120" t="s">
        <v>2337</v>
      </c>
      <c r="B14" s="119">
        <v>43009</v>
      </c>
      <c r="C14" s="10">
        <v>2018</v>
      </c>
      <c r="D14" s="158">
        <v>122.32</v>
      </c>
      <c r="E14" s="162"/>
      <c r="F14" s="322">
        <f t="shared" si="0"/>
        <v>1.1198495748855462</v>
      </c>
      <c r="G14" s="122"/>
      <c r="H14" s="122"/>
      <c r="I14" s="122"/>
      <c r="M14" s="123"/>
    </row>
    <row r="15" spans="1:19" ht="30" customHeight="1" x14ac:dyDescent="0.35">
      <c r="A15" s="120" t="s">
        <v>2338</v>
      </c>
      <c r="B15" s="119">
        <v>43374</v>
      </c>
      <c r="C15" s="10">
        <v>2019</v>
      </c>
      <c r="D15" s="158">
        <v>128.97</v>
      </c>
      <c r="E15" s="371"/>
      <c r="F15" s="322">
        <f t="shared" si="0"/>
        <v>1.0621074668527564</v>
      </c>
      <c r="G15" s="122"/>
      <c r="H15" s="122"/>
      <c r="I15" s="122"/>
      <c r="M15" s="123"/>
    </row>
    <row r="16" spans="1:19" ht="30" customHeight="1" x14ac:dyDescent="0.35">
      <c r="A16" s="120" t="s">
        <v>2339</v>
      </c>
      <c r="B16" s="124">
        <v>43739</v>
      </c>
      <c r="C16" s="2">
        <v>2020</v>
      </c>
      <c r="D16" s="66">
        <v>134.27000000000001</v>
      </c>
      <c r="E16" s="384"/>
      <c r="F16" s="322">
        <f>+$D$17/D16</f>
        <v>1.0201832129291724</v>
      </c>
      <c r="G16" s="122"/>
      <c r="H16" s="122"/>
      <c r="I16" s="122"/>
      <c r="K16" s="123"/>
    </row>
    <row r="17" spans="1:14" ht="30" customHeight="1" x14ac:dyDescent="0.35">
      <c r="A17" s="125" t="s">
        <v>2340</v>
      </c>
      <c r="B17" s="124">
        <v>44105</v>
      </c>
      <c r="C17" s="375">
        <v>2021</v>
      </c>
      <c r="D17" s="177">
        <v>136.97999999999999</v>
      </c>
      <c r="E17" s="379">
        <v>1</v>
      </c>
      <c r="F17" s="380">
        <f>+$D$17/D17</f>
        <v>1</v>
      </c>
      <c r="N17" s="123"/>
    </row>
    <row r="18" spans="1:14" ht="30" customHeight="1" x14ac:dyDescent="0.35">
      <c r="A18" s="126" t="s">
        <v>2341</v>
      </c>
      <c r="B18" s="142">
        <v>44470</v>
      </c>
      <c r="C18" s="376">
        <v>2022</v>
      </c>
      <c r="D18" s="156"/>
      <c r="E18" s="381">
        <v>1.0189999999999999</v>
      </c>
      <c r="F18" s="380">
        <f>1/(E17*E18)</f>
        <v>0.9813542688910698</v>
      </c>
      <c r="N18" s="123"/>
    </row>
    <row r="19" spans="1:14" ht="30" customHeight="1" x14ac:dyDescent="0.35">
      <c r="A19" s="126" t="s">
        <v>2603</v>
      </c>
      <c r="B19" s="142">
        <v>44835</v>
      </c>
      <c r="C19" s="376">
        <v>2023</v>
      </c>
      <c r="D19" s="156"/>
      <c r="E19" s="382">
        <v>1.02</v>
      </c>
      <c r="F19" s="380">
        <f>1/(E17*E18*E19)</f>
        <v>0.96211202832457809</v>
      </c>
      <c r="N19" s="123"/>
    </row>
    <row r="20" spans="1:14" ht="30" customHeight="1" x14ac:dyDescent="0.35">
      <c r="A20" s="126" t="s">
        <v>2673</v>
      </c>
      <c r="B20" s="370">
        <v>45200</v>
      </c>
      <c r="C20" s="376">
        <v>2024</v>
      </c>
      <c r="D20" s="385"/>
      <c r="E20" s="382">
        <v>1.02</v>
      </c>
      <c r="F20" s="380">
        <f>1/(E17*E18*E19*E20)</f>
        <v>0.9432470865927236</v>
      </c>
      <c r="N20" s="369"/>
    </row>
    <row r="21" spans="1:14" ht="30" customHeight="1" x14ac:dyDescent="0.35">
      <c r="A21" s="126"/>
      <c r="B21" s="12"/>
      <c r="C21" s="375">
        <v>2025</v>
      </c>
      <c r="D21" s="156"/>
      <c r="E21" s="382">
        <v>1.02</v>
      </c>
      <c r="F21" s="380">
        <f>1/(E17*E18*E19*E20*E21)</f>
        <v>0.92475204567914071</v>
      </c>
      <c r="N21" s="123"/>
    </row>
    <row r="22" spans="1:14" ht="30" customHeight="1" x14ac:dyDescent="0.35">
      <c r="A22" s="126"/>
      <c r="B22" s="12"/>
      <c r="C22" s="375">
        <v>2026</v>
      </c>
      <c r="D22" s="156"/>
      <c r="E22" s="381">
        <v>1.02</v>
      </c>
      <c r="F22" s="380">
        <f>1/(E17*E18*E19*E20*E21*E22)</f>
        <v>0.90661965262660849</v>
      </c>
      <c r="N22" s="123"/>
    </row>
    <row r="23" spans="1:14" ht="30" customHeight="1" x14ac:dyDescent="0.35">
      <c r="A23" s="126"/>
      <c r="B23" s="378"/>
      <c r="C23" s="177">
        <v>2027</v>
      </c>
      <c r="D23" s="385"/>
      <c r="E23" s="383">
        <v>1.02</v>
      </c>
      <c r="F23" s="380">
        <f>1/(E17*E18*E19*E20*E21*E22*E23)</f>
        <v>0.88884279669275346</v>
      </c>
      <c r="N23" s="377"/>
    </row>
    <row r="24" spans="1:14" ht="30" customHeight="1" x14ac:dyDescent="0.35">
      <c r="A24" s="125"/>
      <c r="B24" s="11"/>
      <c r="C24" s="79">
        <v>2028</v>
      </c>
      <c r="D24" s="386"/>
      <c r="E24" s="381">
        <v>1.02</v>
      </c>
      <c r="F24" s="380">
        <f>1/(E17*E18*E19*E20*E21*E22*E23*E24)</f>
        <v>0.87141450656152297</v>
      </c>
      <c r="N24" s="123"/>
    </row>
    <row r="25" spans="1:14" ht="12.75" customHeight="1" thickBot="1" x14ac:dyDescent="0.4">
      <c r="A25" s="127"/>
      <c r="B25" s="128"/>
      <c r="C25" s="129"/>
      <c r="D25" s="128"/>
      <c r="E25" s="130"/>
      <c r="F25" s="131"/>
      <c r="N25" s="123"/>
    </row>
    <row r="26" spans="1:14" ht="15" thickBot="1" x14ac:dyDescent="0.4">
      <c r="A26" s="1439" t="s">
        <v>2671</v>
      </c>
      <c r="B26" s="1440"/>
      <c r="C26" s="1440"/>
      <c r="D26" s="1440"/>
      <c r="E26" s="1440"/>
      <c r="F26" s="1441"/>
    </row>
    <row r="27" spans="1:14" ht="15" customHeight="1" thickBot="1" x14ac:dyDescent="0.4">
      <c r="A27" s="1442" t="s">
        <v>2329</v>
      </c>
      <c r="B27" s="1443"/>
      <c r="C27" s="1443"/>
      <c r="D27" s="1443"/>
      <c r="E27" s="1443"/>
      <c r="F27" s="1444"/>
      <c r="G27" s="154"/>
    </row>
    <row r="28" spans="1:14" ht="105" customHeight="1" thickBot="1" x14ac:dyDescent="0.4">
      <c r="A28" s="1427" t="s">
        <v>2330</v>
      </c>
      <c r="B28" s="1428"/>
      <c r="C28" s="1428"/>
      <c r="D28" s="1428"/>
      <c r="E28" s="1428"/>
      <c r="F28" s="1429"/>
      <c r="G28" s="154"/>
    </row>
    <row r="29" spans="1:14" ht="30" customHeight="1" thickBot="1" x14ac:dyDescent="0.4">
      <c r="A29" s="1430" t="s">
        <v>2676</v>
      </c>
      <c r="B29" s="1431"/>
      <c r="C29" s="1431"/>
      <c r="D29" s="1431"/>
      <c r="E29" s="1431"/>
      <c r="F29" s="1432"/>
      <c r="G29" s="154"/>
    </row>
    <row r="30" spans="1:14" ht="30" customHeight="1" thickBot="1" x14ac:dyDescent="0.4">
      <c r="A30" s="1427" t="s">
        <v>2675</v>
      </c>
      <c r="B30" s="1428"/>
      <c r="C30" s="1428"/>
      <c r="D30" s="1428"/>
      <c r="E30" s="1428"/>
      <c r="F30" s="1429"/>
      <c r="G30" s="154"/>
    </row>
    <row r="31" spans="1:14" ht="45" customHeight="1" thickBot="1" x14ac:dyDescent="0.4">
      <c r="A31" s="1430" t="s">
        <v>2677</v>
      </c>
      <c r="B31" s="1431"/>
      <c r="C31" s="1431"/>
      <c r="D31" s="1431"/>
      <c r="E31" s="1431"/>
      <c r="F31" s="1432"/>
      <c r="G31" s="154"/>
    </row>
  </sheetData>
  <mergeCells count="8">
    <mergeCell ref="A30:F30"/>
    <mergeCell ref="A31:F31"/>
    <mergeCell ref="A29:F29"/>
    <mergeCell ref="A1:F1"/>
    <mergeCell ref="A2:F2"/>
    <mergeCell ref="A26:F26"/>
    <mergeCell ref="A27:F27"/>
    <mergeCell ref="A28:F28"/>
  </mergeCells>
  <pageMargins left="0.7" right="0.7" top="0.75" bottom="0.75" header="0.3" footer="0.3"/>
  <pageSetup scale="64"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EEB219-CF74-4288-91ED-974592676DFE}">
  <sheetPr>
    <tabColor theme="4" tint="0.79998168889431442"/>
    <pageSetUpPr fitToPage="1"/>
  </sheetPr>
  <dimension ref="A1:IM540"/>
  <sheetViews>
    <sheetView topLeftCell="H1" zoomScale="150" zoomScaleNormal="150" workbookViewId="0">
      <pane ySplit="3" topLeftCell="A256" activePane="bottomLeft" state="frozen"/>
      <selection activeCell="G11" sqref="G11"/>
      <selection pane="bottomLeft" activeCell="R259" sqref="R259"/>
    </sheetView>
  </sheetViews>
  <sheetFormatPr defaultColWidth="8.81640625" defaultRowHeight="14.5" x14ac:dyDescent="0.35"/>
  <cols>
    <col min="1" max="1" width="5.1796875" style="48" customWidth="1"/>
    <col min="2" max="2" width="54.453125" style="48" customWidth="1"/>
    <col min="3" max="3" width="7.1796875" style="48" customWidth="1"/>
    <col min="4" max="4" width="7.81640625" style="48" customWidth="1"/>
    <col min="5" max="5" width="13.54296875" style="48" customWidth="1"/>
    <col min="6" max="6" width="11.81640625" style="48" customWidth="1"/>
    <col min="7" max="8" width="11.1796875" style="48" customWidth="1"/>
    <col min="9" max="9" width="9.81640625" style="48" customWidth="1"/>
    <col min="10" max="10" width="9.453125" style="48" customWidth="1"/>
    <col min="11" max="11" width="10.453125" style="48" customWidth="1"/>
    <col min="12" max="12" width="10" style="48" customWidth="1"/>
    <col min="13" max="13" width="9.81640625" style="48" customWidth="1"/>
    <col min="14" max="14" width="9.1796875" style="48" customWidth="1"/>
    <col min="15" max="15" width="14.81640625" style="48" customWidth="1"/>
    <col min="16" max="16" width="13.54296875" style="48" customWidth="1"/>
    <col min="17" max="17" width="12.81640625" style="48" customWidth="1"/>
    <col min="18" max="18" width="12.1796875" style="360" customWidth="1"/>
    <col min="19" max="44" width="8.81640625" style="48"/>
    <col min="45" max="45" width="8.81640625" style="361"/>
    <col min="46" max="227" width="8.81640625" style="48"/>
    <col min="228" max="228" width="5.81640625" style="48" customWidth="1"/>
    <col min="229" max="229" width="42.81640625" style="48" customWidth="1"/>
    <col min="230" max="230" width="3.453125" style="48" customWidth="1"/>
    <col min="231" max="232" width="15.81640625" style="48" customWidth="1"/>
    <col min="233" max="233" width="6.54296875" style="48" customWidth="1"/>
    <col min="234" max="234" width="92" style="48" customWidth="1"/>
    <col min="235" max="16384" width="8.81640625" style="48"/>
  </cols>
  <sheetData>
    <row r="1" spans="1:247" ht="26.25" customHeight="1" thickBot="1" x14ac:dyDescent="0.5">
      <c r="A1" s="1446" t="s">
        <v>2604</v>
      </c>
      <c r="B1" s="1446"/>
      <c r="C1" s="1446"/>
      <c r="D1" s="1447"/>
      <c r="E1" s="1448" t="s">
        <v>2032</v>
      </c>
      <c r="F1" s="1449"/>
      <c r="G1" s="1450"/>
      <c r="H1" s="1451" t="s">
        <v>2033</v>
      </c>
      <c r="I1" s="1452"/>
      <c r="J1" s="1452"/>
      <c r="K1" s="1452"/>
      <c r="L1" s="1452"/>
      <c r="M1" s="1452"/>
      <c r="N1" s="1452"/>
      <c r="O1" s="343" t="s">
        <v>2034</v>
      </c>
      <c r="P1" s="1453" t="s">
        <v>2035</v>
      </c>
      <c r="Q1" s="1450"/>
      <c r="R1" s="344"/>
      <c r="AS1" s="48"/>
    </row>
    <row r="2" spans="1:247" ht="72.75" customHeight="1" x14ac:dyDescent="0.35">
      <c r="A2" s="1446"/>
      <c r="B2" s="1446"/>
      <c r="C2" s="1446"/>
      <c r="D2" s="1447"/>
      <c r="E2" s="175" t="s">
        <v>2036</v>
      </c>
      <c r="F2" s="174" t="s">
        <v>2037</v>
      </c>
      <c r="G2" s="342" t="s">
        <v>2038</v>
      </c>
      <c r="H2" s="345" t="s">
        <v>2039</v>
      </c>
      <c r="I2" s="174" t="s">
        <v>2040</v>
      </c>
      <c r="J2" s="174" t="s">
        <v>2041</v>
      </c>
      <c r="K2" s="174" t="s">
        <v>2042</v>
      </c>
      <c r="L2" s="174" t="s">
        <v>2043</v>
      </c>
      <c r="M2" s="174" t="s">
        <v>2044</v>
      </c>
      <c r="N2" s="346" t="s">
        <v>2045</v>
      </c>
      <c r="O2" s="347" t="s">
        <v>2046</v>
      </c>
      <c r="P2" s="345" t="s">
        <v>2047</v>
      </c>
      <c r="Q2" s="342" t="s">
        <v>2048</v>
      </c>
      <c r="R2" s="348" t="s">
        <v>2049</v>
      </c>
      <c r="S2" s="323"/>
      <c r="T2" s="324"/>
      <c r="U2" s="324"/>
      <c r="V2" s="324"/>
      <c r="W2" s="324"/>
      <c r="X2" s="324"/>
      <c r="Y2" s="324"/>
      <c r="Z2" s="324"/>
      <c r="AA2" s="324"/>
      <c r="AB2" s="324"/>
      <c r="AC2" s="324"/>
      <c r="AD2" s="324"/>
      <c r="AE2" s="324"/>
      <c r="AF2" s="324"/>
      <c r="AG2" s="324"/>
      <c r="AH2" s="324"/>
      <c r="AI2" s="324"/>
      <c r="AJ2" s="324"/>
      <c r="AK2" s="324"/>
      <c r="AL2" s="324"/>
      <c r="AM2" s="324"/>
      <c r="AN2" s="324"/>
      <c r="AO2" s="324"/>
      <c r="AP2" s="324"/>
      <c r="AQ2" s="324"/>
      <c r="AR2" s="324"/>
      <c r="AS2" s="324"/>
      <c r="AT2" s="324"/>
      <c r="AU2" s="324"/>
      <c r="AV2" s="324"/>
      <c r="AW2" s="324"/>
      <c r="AX2" s="324"/>
      <c r="AY2" s="324"/>
      <c r="AZ2" s="324"/>
      <c r="BA2" s="324"/>
      <c r="BB2" s="324"/>
      <c r="BC2" s="324"/>
      <c r="BD2" s="324"/>
      <c r="BE2" s="324"/>
      <c r="BF2" s="324"/>
      <c r="BG2" s="324"/>
      <c r="BH2" s="324"/>
      <c r="BI2" s="324"/>
      <c r="BJ2" s="324"/>
      <c r="BK2" s="324"/>
      <c r="BL2" s="324"/>
      <c r="BM2" s="324"/>
      <c r="BN2" s="324"/>
      <c r="BO2" s="324"/>
      <c r="BP2" s="324"/>
      <c r="BQ2" s="324"/>
      <c r="BR2" s="324"/>
      <c r="BS2" s="324"/>
      <c r="BT2" s="324"/>
      <c r="BU2" s="324"/>
      <c r="BV2" s="324"/>
      <c r="BW2" s="324"/>
      <c r="BX2" s="324"/>
      <c r="BY2" s="324"/>
      <c r="BZ2" s="324"/>
      <c r="CA2" s="324"/>
      <c r="CB2" s="324"/>
      <c r="CC2" s="324"/>
      <c r="CD2" s="324"/>
      <c r="CE2" s="324"/>
      <c r="CF2" s="324"/>
      <c r="CG2" s="324"/>
      <c r="CH2" s="324"/>
      <c r="CI2" s="324"/>
      <c r="CJ2" s="324"/>
      <c r="CK2" s="324"/>
      <c r="CL2" s="324"/>
      <c r="CM2" s="324"/>
      <c r="CN2" s="324"/>
      <c r="CO2" s="324"/>
      <c r="CP2" s="324"/>
      <c r="CQ2" s="324"/>
      <c r="CR2" s="324"/>
      <c r="CS2" s="324"/>
      <c r="CT2" s="324"/>
      <c r="CU2" s="324"/>
      <c r="CV2" s="324"/>
      <c r="CW2" s="324"/>
      <c r="CX2" s="324"/>
      <c r="CY2" s="324"/>
      <c r="CZ2" s="324"/>
      <c r="DA2" s="324"/>
      <c r="DB2" s="324"/>
      <c r="DC2" s="324"/>
      <c r="DD2" s="324"/>
      <c r="DE2" s="324"/>
      <c r="DF2" s="324"/>
      <c r="DG2" s="324"/>
      <c r="DH2" s="324"/>
      <c r="DI2" s="324"/>
      <c r="DJ2" s="324"/>
      <c r="DK2" s="324"/>
      <c r="DL2" s="324"/>
      <c r="DM2" s="324"/>
      <c r="DN2" s="324"/>
      <c r="DO2" s="324"/>
      <c r="DP2" s="324"/>
      <c r="DQ2" s="324"/>
      <c r="DR2" s="324"/>
      <c r="DS2" s="324"/>
      <c r="DT2" s="324"/>
      <c r="DU2" s="324"/>
      <c r="DV2" s="324"/>
      <c r="DW2" s="324"/>
      <c r="DX2" s="324"/>
      <c r="DY2" s="324"/>
      <c r="DZ2" s="324"/>
      <c r="EA2" s="324"/>
      <c r="EB2" s="324"/>
      <c r="EC2" s="324"/>
      <c r="ED2" s="324"/>
      <c r="EE2" s="324"/>
      <c r="EF2" s="324"/>
      <c r="EG2" s="324"/>
      <c r="EH2" s="324"/>
      <c r="EI2" s="324"/>
      <c r="EJ2" s="324"/>
      <c r="EK2" s="324"/>
      <c r="EL2" s="324"/>
      <c r="EM2" s="324"/>
      <c r="EN2" s="324"/>
      <c r="EO2" s="324"/>
      <c r="EP2" s="324"/>
      <c r="EQ2" s="324"/>
      <c r="ER2" s="324"/>
      <c r="ES2" s="324"/>
      <c r="ET2" s="324"/>
      <c r="EU2" s="324"/>
      <c r="EV2" s="324"/>
      <c r="EW2" s="324"/>
      <c r="EX2" s="324"/>
      <c r="EY2" s="324"/>
      <c r="EZ2" s="324"/>
      <c r="FA2" s="324"/>
      <c r="FB2" s="324"/>
      <c r="FC2" s="324"/>
      <c r="FD2" s="324"/>
      <c r="FE2" s="324"/>
      <c r="FF2" s="324"/>
      <c r="FG2" s="324"/>
      <c r="FH2" s="324"/>
      <c r="FI2" s="324"/>
      <c r="FJ2" s="324"/>
      <c r="FK2" s="324"/>
      <c r="FL2" s="324"/>
      <c r="FM2" s="324"/>
      <c r="FN2" s="324"/>
      <c r="FO2" s="324"/>
      <c r="FP2" s="324"/>
      <c r="FQ2" s="324"/>
      <c r="FR2" s="324"/>
      <c r="FS2" s="324"/>
      <c r="FT2" s="324"/>
      <c r="FU2" s="324"/>
      <c r="FV2" s="324"/>
      <c r="FW2" s="324"/>
      <c r="FX2" s="324"/>
      <c r="FY2" s="324"/>
      <c r="FZ2" s="324"/>
      <c r="GA2" s="324"/>
      <c r="GB2" s="324"/>
      <c r="GC2" s="324"/>
      <c r="GD2" s="324"/>
      <c r="GE2" s="324"/>
      <c r="GF2" s="324"/>
      <c r="GG2" s="324"/>
      <c r="GH2" s="324"/>
      <c r="GI2" s="324"/>
      <c r="GJ2" s="324"/>
      <c r="GK2" s="324"/>
      <c r="GL2" s="324"/>
      <c r="GM2" s="324"/>
      <c r="GN2" s="324"/>
      <c r="GO2" s="324"/>
      <c r="GP2" s="324"/>
      <c r="GQ2" s="324"/>
      <c r="GR2" s="324"/>
      <c r="GS2" s="324"/>
      <c r="GT2" s="324"/>
      <c r="GU2" s="324"/>
      <c r="GV2" s="324"/>
      <c r="GW2" s="324"/>
      <c r="GX2" s="324"/>
      <c r="GY2" s="324"/>
      <c r="GZ2" s="324"/>
      <c r="HA2" s="324"/>
      <c r="HB2" s="324"/>
      <c r="HC2" s="324"/>
      <c r="HD2" s="324"/>
      <c r="HE2" s="324"/>
      <c r="HF2" s="324"/>
      <c r="HG2" s="324"/>
      <c r="HH2" s="324"/>
      <c r="HI2" s="324"/>
      <c r="HJ2" s="324"/>
      <c r="HK2" s="324"/>
      <c r="HL2" s="324"/>
      <c r="HM2" s="324"/>
      <c r="HN2" s="324"/>
      <c r="HO2" s="324"/>
      <c r="HP2" s="324"/>
      <c r="HQ2" s="324"/>
      <c r="HR2" s="324"/>
      <c r="HS2" s="324"/>
      <c r="HT2" s="324"/>
      <c r="HU2" s="324"/>
      <c r="HV2" s="324"/>
      <c r="HW2" s="324"/>
      <c r="HX2" s="324"/>
      <c r="HY2" s="324"/>
      <c r="HZ2" s="324"/>
      <c r="IA2" s="324"/>
      <c r="IB2" s="324"/>
      <c r="IC2" s="324"/>
      <c r="ID2" s="324"/>
      <c r="IE2" s="324"/>
      <c r="IF2" s="324"/>
      <c r="IG2" s="324"/>
      <c r="IH2" s="324"/>
      <c r="II2" s="324"/>
      <c r="IJ2" s="324"/>
      <c r="IK2" s="324"/>
      <c r="IL2" s="324"/>
      <c r="IM2" s="324"/>
    </row>
    <row r="3" spans="1:247" ht="48.75" customHeight="1" thickBot="1" x14ac:dyDescent="0.4">
      <c r="A3" s="325" t="s">
        <v>0</v>
      </c>
      <c r="B3" s="326" t="s">
        <v>1</v>
      </c>
      <c r="C3" s="327" t="s">
        <v>2</v>
      </c>
      <c r="D3" s="349" t="s">
        <v>2050</v>
      </c>
      <c r="E3" s="350">
        <v>1.0740000000000001</v>
      </c>
      <c r="F3" s="351">
        <v>1.0209999999999999</v>
      </c>
      <c r="G3" s="349">
        <v>1.0269999999999999</v>
      </c>
      <c r="H3" s="350">
        <v>1.0029999999999999</v>
      </c>
      <c r="I3" s="352">
        <v>1.0289999999999999</v>
      </c>
      <c r="J3" s="352">
        <v>1.0049999999999999</v>
      </c>
      <c r="K3" s="353">
        <v>1.026</v>
      </c>
      <c r="L3" s="352">
        <v>1.0129999999999999</v>
      </c>
      <c r="M3" s="352">
        <v>1.0029999999999999</v>
      </c>
      <c r="N3" s="349">
        <v>1.0029999999999999</v>
      </c>
      <c r="O3" s="354">
        <v>1.0209999999999999</v>
      </c>
      <c r="P3" s="350">
        <v>1.032</v>
      </c>
      <c r="Q3" s="349">
        <v>1.0349999999999999</v>
      </c>
      <c r="R3" s="355"/>
      <c r="S3" s="328"/>
      <c r="T3" s="329"/>
      <c r="U3" s="329"/>
      <c r="V3" s="329"/>
      <c r="W3" s="329"/>
      <c r="X3" s="329"/>
      <c r="Y3" s="329"/>
      <c r="Z3" s="329"/>
      <c r="AA3" s="329"/>
      <c r="AB3" s="329"/>
      <c r="AC3" s="329"/>
      <c r="AD3" s="329"/>
      <c r="AE3" s="329"/>
      <c r="AF3" s="329"/>
      <c r="AG3" s="329"/>
      <c r="AH3" s="329"/>
      <c r="AI3" s="329"/>
      <c r="AJ3" s="329"/>
      <c r="AK3" s="329"/>
      <c r="AL3" s="329"/>
      <c r="AM3" s="329"/>
      <c r="AN3" s="329"/>
      <c r="AO3" s="329"/>
      <c r="AP3" s="329"/>
      <c r="AQ3" s="329"/>
      <c r="AR3" s="329"/>
      <c r="AS3" s="329"/>
      <c r="AT3" s="329"/>
      <c r="AU3" s="329"/>
      <c r="AV3" s="329"/>
      <c r="AW3" s="329"/>
      <c r="AX3" s="329"/>
      <c r="AY3" s="329"/>
      <c r="AZ3" s="329"/>
      <c r="BA3" s="329"/>
      <c r="BB3" s="329"/>
      <c r="BC3" s="329"/>
      <c r="BD3" s="329"/>
      <c r="BE3" s="329"/>
      <c r="BF3" s="329"/>
      <c r="BG3" s="329"/>
      <c r="BH3" s="329"/>
      <c r="BI3" s="329"/>
      <c r="BJ3" s="329"/>
      <c r="BK3" s="329"/>
      <c r="BL3" s="329"/>
      <c r="BM3" s="329"/>
      <c r="BN3" s="329"/>
      <c r="BO3" s="329"/>
      <c r="BP3" s="329"/>
      <c r="BQ3" s="329"/>
      <c r="BR3" s="329"/>
      <c r="BS3" s="329"/>
      <c r="BT3" s="329"/>
      <c r="BU3" s="329"/>
      <c r="BV3" s="329"/>
      <c r="BW3" s="329"/>
      <c r="BX3" s="329"/>
      <c r="BY3" s="329"/>
      <c r="BZ3" s="329"/>
      <c r="CA3" s="329"/>
      <c r="CB3" s="329"/>
      <c r="CC3" s="329"/>
      <c r="CD3" s="329"/>
      <c r="CE3" s="329"/>
      <c r="CF3" s="329"/>
      <c r="CG3" s="329"/>
      <c r="CH3" s="329"/>
      <c r="CI3" s="329"/>
      <c r="CJ3" s="329"/>
      <c r="CK3" s="329"/>
      <c r="CL3" s="329"/>
      <c r="CM3" s="329"/>
      <c r="CN3" s="329"/>
      <c r="CO3" s="329"/>
      <c r="CP3" s="329"/>
      <c r="CQ3" s="329"/>
      <c r="CR3" s="329"/>
      <c r="CS3" s="329"/>
      <c r="CT3" s="329"/>
      <c r="CU3" s="329"/>
      <c r="CV3" s="329"/>
      <c r="CW3" s="329"/>
      <c r="CX3" s="329"/>
      <c r="CY3" s="329"/>
      <c r="CZ3" s="329"/>
      <c r="DA3" s="329"/>
      <c r="DB3" s="329"/>
      <c r="DC3" s="329"/>
      <c r="DD3" s="329"/>
      <c r="DE3" s="329"/>
      <c r="DF3" s="329"/>
      <c r="DG3" s="329"/>
      <c r="DH3" s="329"/>
      <c r="DI3" s="329"/>
      <c r="DJ3" s="329"/>
      <c r="DK3" s="329"/>
      <c r="DL3" s="329"/>
      <c r="DM3" s="329"/>
      <c r="DN3" s="329"/>
      <c r="DO3" s="329"/>
      <c r="DP3" s="329"/>
      <c r="DQ3" s="329"/>
      <c r="DR3" s="329"/>
      <c r="DS3" s="329"/>
      <c r="DT3" s="329"/>
      <c r="DU3" s="329"/>
      <c r="DV3" s="329"/>
      <c r="DW3" s="329"/>
      <c r="DX3" s="329"/>
      <c r="DY3" s="329"/>
      <c r="DZ3" s="329"/>
      <c r="EA3" s="329"/>
      <c r="EB3" s="329"/>
      <c r="EC3" s="329"/>
      <c r="ED3" s="329"/>
      <c r="EE3" s="329"/>
      <c r="EF3" s="329"/>
      <c r="EG3" s="329"/>
      <c r="EH3" s="329"/>
      <c r="EI3" s="329"/>
      <c r="EJ3" s="329"/>
      <c r="EK3" s="329"/>
      <c r="EL3" s="329"/>
      <c r="EM3" s="329"/>
      <c r="EN3" s="329"/>
      <c r="EO3" s="329"/>
      <c r="EP3" s="329"/>
      <c r="EQ3" s="329"/>
      <c r="ER3" s="329"/>
      <c r="ES3" s="329"/>
      <c r="ET3" s="329"/>
      <c r="EU3" s="329"/>
      <c r="EV3" s="329"/>
      <c r="EW3" s="329"/>
      <c r="EX3" s="329"/>
      <c r="EY3" s="329"/>
      <c r="EZ3" s="329"/>
      <c r="FA3" s="329"/>
      <c r="FB3" s="329"/>
      <c r="FC3" s="329"/>
      <c r="FD3" s="329"/>
      <c r="FE3" s="329"/>
      <c r="FF3" s="329"/>
      <c r="FG3" s="329"/>
      <c r="FH3" s="329"/>
      <c r="FI3" s="329"/>
      <c r="FJ3" s="329"/>
      <c r="FK3" s="329"/>
      <c r="FL3" s="329"/>
      <c r="FM3" s="329"/>
      <c r="FN3" s="329"/>
      <c r="FO3" s="329"/>
      <c r="FP3" s="329"/>
      <c r="FQ3" s="329"/>
      <c r="FR3" s="329"/>
      <c r="FS3" s="329"/>
      <c r="FT3" s="329"/>
      <c r="FU3" s="329"/>
      <c r="FV3" s="329"/>
      <c r="FW3" s="329"/>
      <c r="FX3" s="329"/>
      <c r="FY3" s="329"/>
      <c r="FZ3" s="329"/>
      <c r="GA3" s="329"/>
      <c r="GB3" s="329"/>
      <c r="GC3" s="329"/>
      <c r="GD3" s="329"/>
      <c r="GE3" s="329"/>
      <c r="GF3" s="329"/>
      <c r="GG3" s="329"/>
      <c r="GH3" s="329"/>
      <c r="GI3" s="329"/>
      <c r="GJ3" s="329"/>
      <c r="GK3" s="329"/>
      <c r="GL3" s="329"/>
      <c r="GM3" s="329"/>
      <c r="GN3" s="329"/>
      <c r="GO3" s="329"/>
      <c r="GP3" s="329"/>
      <c r="GQ3" s="329"/>
      <c r="GR3" s="329"/>
      <c r="GS3" s="329"/>
      <c r="GT3" s="329"/>
      <c r="GU3" s="329"/>
      <c r="GV3" s="329"/>
      <c r="GW3" s="329"/>
      <c r="GX3" s="329"/>
      <c r="GY3" s="329"/>
      <c r="GZ3" s="329"/>
      <c r="HA3" s="329"/>
      <c r="HB3" s="329"/>
      <c r="HC3" s="329"/>
      <c r="HD3" s="329"/>
      <c r="HE3" s="329"/>
      <c r="HF3" s="329"/>
      <c r="HG3" s="329"/>
      <c r="HH3" s="329"/>
      <c r="HI3" s="329"/>
      <c r="HJ3" s="329"/>
      <c r="HK3" s="329"/>
      <c r="HL3" s="329"/>
      <c r="HM3" s="329"/>
      <c r="HN3" s="329"/>
      <c r="HO3" s="329"/>
      <c r="HP3" s="329"/>
      <c r="HQ3" s="329"/>
      <c r="HR3" s="329"/>
      <c r="HS3" s="329"/>
      <c r="HT3" s="329"/>
      <c r="HU3" s="329"/>
      <c r="HV3" s="329"/>
      <c r="HW3" s="329"/>
      <c r="HX3" s="329"/>
      <c r="HY3" s="329"/>
      <c r="HZ3" s="329"/>
      <c r="IA3" s="329"/>
      <c r="IB3" s="329"/>
      <c r="IC3" s="329"/>
      <c r="ID3" s="329"/>
      <c r="IE3" s="329"/>
      <c r="IF3" s="329"/>
      <c r="IG3" s="329"/>
      <c r="IH3" s="329"/>
      <c r="II3" s="329"/>
      <c r="IJ3" s="329"/>
      <c r="IK3" s="329"/>
      <c r="IL3" s="329"/>
      <c r="IM3" s="329"/>
    </row>
    <row r="4" spans="1:247" x14ac:dyDescent="0.35">
      <c r="A4" s="356">
        <v>1321</v>
      </c>
      <c r="B4" s="357" t="s">
        <v>9</v>
      </c>
      <c r="C4" s="172" t="s">
        <v>10</v>
      </c>
      <c r="D4" s="358" t="s">
        <v>2051</v>
      </c>
      <c r="E4" s="330"/>
      <c r="F4" s="331">
        <f t="shared" ref="F4:F130" si="0">+$F$3</f>
        <v>1.0209999999999999</v>
      </c>
      <c r="G4" s="332"/>
      <c r="H4" s="330"/>
      <c r="I4" s="331"/>
      <c r="J4" s="331"/>
      <c r="K4" s="331"/>
      <c r="L4" s="331"/>
      <c r="M4" s="331"/>
      <c r="N4" s="333"/>
      <c r="O4" s="334"/>
      <c r="P4" s="330"/>
      <c r="Q4" s="333"/>
      <c r="R4" s="335">
        <f t="shared" ref="R4:R130" si="1">PRODUCT(E4:Q4)</f>
        <v>1.0209999999999999</v>
      </c>
      <c r="S4" s="324"/>
      <c r="T4" s="324"/>
      <c r="U4" s="324"/>
      <c r="V4" s="324"/>
      <c r="W4" s="324"/>
      <c r="X4" s="324"/>
      <c r="Y4" s="324"/>
      <c r="Z4" s="324"/>
      <c r="AA4" s="324"/>
      <c r="AB4" s="324"/>
      <c r="AC4" s="324"/>
      <c r="AD4" s="324"/>
      <c r="AE4" s="324"/>
      <c r="AF4" s="324"/>
      <c r="AG4" s="324"/>
      <c r="AH4" s="324"/>
      <c r="AI4" s="324"/>
      <c r="AJ4" s="324"/>
      <c r="AK4" s="324"/>
      <c r="AL4" s="324"/>
      <c r="AM4" s="324"/>
      <c r="AN4" s="324"/>
      <c r="AO4" s="324"/>
      <c r="AP4" s="324"/>
      <c r="AQ4" s="324"/>
      <c r="AR4" s="324"/>
      <c r="AS4" s="324"/>
      <c r="AT4" s="324"/>
      <c r="AU4" s="324"/>
      <c r="AV4" s="324"/>
      <c r="AW4" s="324"/>
      <c r="AX4" s="324"/>
      <c r="AY4" s="324"/>
      <c r="AZ4" s="324"/>
      <c r="BA4" s="324"/>
      <c r="BB4" s="324"/>
      <c r="BC4" s="324"/>
      <c r="BD4" s="324"/>
      <c r="BE4" s="324"/>
      <c r="BF4" s="324"/>
      <c r="BG4" s="324"/>
      <c r="BH4" s="324"/>
      <c r="BI4" s="324"/>
      <c r="BJ4" s="324"/>
      <c r="BK4" s="324"/>
      <c r="BL4" s="324"/>
      <c r="BM4" s="324"/>
      <c r="BN4" s="324"/>
      <c r="BO4" s="324"/>
      <c r="BP4" s="324"/>
      <c r="BQ4" s="324"/>
      <c r="BR4" s="324"/>
      <c r="BS4" s="324"/>
      <c r="BT4" s="324"/>
      <c r="BU4" s="324"/>
      <c r="BV4" s="324"/>
      <c r="BW4" s="324"/>
      <c r="BX4" s="324"/>
      <c r="BY4" s="324"/>
      <c r="BZ4" s="324"/>
      <c r="CA4" s="324"/>
      <c r="CB4" s="324"/>
      <c r="CC4" s="324"/>
      <c r="CD4" s="324"/>
      <c r="CE4" s="324"/>
      <c r="CF4" s="324"/>
      <c r="CG4" s="324"/>
      <c r="CH4" s="324"/>
      <c r="CI4" s="324"/>
      <c r="CJ4" s="324"/>
      <c r="CK4" s="324"/>
      <c r="CL4" s="324"/>
      <c r="CM4" s="324"/>
      <c r="CN4" s="324"/>
      <c r="CO4" s="324"/>
      <c r="CP4" s="324"/>
      <c r="CQ4" s="324"/>
      <c r="CR4" s="324"/>
      <c r="CS4" s="324"/>
      <c r="CT4" s="324"/>
      <c r="CU4" s="324"/>
      <c r="CV4" s="324"/>
      <c r="CW4" s="324"/>
      <c r="CX4" s="324"/>
      <c r="CY4" s="324"/>
      <c r="CZ4" s="324"/>
      <c r="DA4" s="324"/>
      <c r="DB4" s="324"/>
      <c r="DC4" s="324"/>
      <c r="DD4" s="324"/>
      <c r="DE4" s="324"/>
      <c r="DF4" s="324"/>
      <c r="DG4" s="324"/>
      <c r="DH4" s="324"/>
      <c r="DI4" s="324"/>
      <c r="DJ4" s="324"/>
      <c r="DK4" s="324"/>
      <c r="DL4" s="324"/>
      <c r="DM4" s="324"/>
      <c r="DN4" s="324"/>
      <c r="DO4" s="324"/>
      <c r="DP4" s="324"/>
      <c r="DQ4" s="324"/>
      <c r="DR4" s="324"/>
      <c r="DS4" s="324"/>
      <c r="DT4" s="324"/>
      <c r="DU4" s="324"/>
      <c r="DV4" s="324"/>
      <c r="DW4" s="324"/>
      <c r="DX4" s="324"/>
      <c r="DY4" s="324"/>
      <c r="DZ4" s="324"/>
      <c r="EA4" s="324"/>
      <c r="EB4" s="324"/>
      <c r="EC4" s="324"/>
      <c r="ED4" s="324"/>
      <c r="EE4" s="324"/>
      <c r="EF4" s="324"/>
      <c r="EG4" s="324"/>
      <c r="EH4" s="324"/>
      <c r="EI4" s="324"/>
      <c r="EJ4" s="324"/>
      <c r="EK4" s="324"/>
      <c r="EL4" s="324"/>
      <c r="EM4" s="324"/>
      <c r="EN4" s="324"/>
      <c r="EO4" s="324"/>
      <c r="EP4" s="324"/>
      <c r="EQ4" s="324"/>
      <c r="ER4" s="324"/>
      <c r="ES4" s="324"/>
      <c r="ET4" s="324"/>
      <c r="EU4" s="324"/>
      <c r="EV4" s="324"/>
      <c r="EW4" s="324"/>
      <c r="EX4" s="324"/>
      <c r="EY4" s="324"/>
      <c r="EZ4" s="324"/>
      <c r="FA4" s="324"/>
      <c r="FB4" s="324"/>
      <c r="FC4" s="324"/>
      <c r="FD4" s="324"/>
      <c r="FE4" s="324"/>
      <c r="FF4" s="324"/>
      <c r="FG4" s="324"/>
      <c r="FH4" s="324"/>
      <c r="FI4" s="324"/>
      <c r="FJ4" s="324"/>
      <c r="FK4" s="324"/>
      <c r="FL4" s="324"/>
      <c r="FM4" s="324"/>
      <c r="FN4" s="324"/>
      <c r="FO4" s="324"/>
      <c r="FP4" s="324"/>
      <c r="FQ4" s="324"/>
      <c r="FR4" s="324"/>
      <c r="FS4" s="324"/>
      <c r="FT4" s="324"/>
      <c r="FU4" s="324"/>
      <c r="FV4" s="324"/>
      <c r="FW4" s="324"/>
      <c r="FX4" s="324"/>
      <c r="FY4" s="324"/>
      <c r="FZ4" s="324"/>
      <c r="GA4" s="324"/>
      <c r="GB4" s="324"/>
      <c r="GC4" s="324"/>
      <c r="GD4" s="324"/>
      <c r="GE4" s="324"/>
      <c r="GF4" s="324"/>
      <c r="GG4" s="324"/>
      <c r="GH4" s="324"/>
      <c r="GI4" s="324"/>
      <c r="GJ4" s="324"/>
      <c r="GK4" s="324"/>
      <c r="GL4" s="324"/>
      <c r="GM4" s="324"/>
      <c r="GN4" s="324"/>
      <c r="GO4" s="324"/>
      <c r="GP4" s="324"/>
      <c r="GQ4" s="324"/>
      <c r="GR4" s="324"/>
      <c r="GS4" s="324"/>
      <c r="GT4" s="324"/>
      <c r="GU4" s="324"/>
      <c r="GV4" s="324"/>
      <c r="GW4" s="324"/>
      <c r="GX4" s="324"/>
      <c r="GY4" s="324"/>
      <c r="GZ4" s="324"/>
      <c r="HA4" s="324"/>
      <c r="HB4" s="324"/>
      <c r="HC4" s="324"/>
      <c r="HD4" s="324"/>
      <c r="HE4" s="324"/>
      <c r="HF4" s="324"/>
      <c r="HG4" s="324"/>
      <c r="HH4" s="324"/>
      <c r="HI4" s="324"/>
      <c r="HJ4" s="324"/>
      <c r="HK4" s="324"/>
      <c r="HL4" s="324"/>
      <c r="HM4" s="324"/>
      <c r="HN4" s="324"/>
      <c r="HO4" s="324"/>
      <c r="HP4" s="324"/>
      <c r="HQ4" s="324"/>
      <c r="HR4" s="324"/>
      <c r="HS4" s="324"/>
      <c r="HT4" s="324"/>
      <c r="HU4" s="324"/>
      <c r="HV4" s="324"/>
      <c r="HW4" s="324"/>
      <c r="HX4" s="324"/>
      <c r="HY4" s="324"/>
      <c r="HZ4" s="324"/>
      <c r="IA4" s="324"/>
      <c r="IB4" s="324"/>
      <c r="IC4" s="324"/>
      <c r="ID4" s="324"/>
      <c r="IE4" s="324"/>
      <c r="IF4" s="324"/>
      <c r="IG4" s="324"/>
      <c r="IH4" s="324"/>
      <c r="II4" s="324"/>
      <c r="IJ4" s="324"/>
      <c r="IK4" s="324"/>
      <c r="IL4" s="324"/>
      <c r="IM4" s="324"/>
    </row>
    <row r="5" spans="1:247" x14ac:dyDescent="0.35">
      <c r="A5" s="356">
        <v>1341</v>
      </c>
      <c r="B5" s="357" t="s">
        <v>11</v>
      </c>
      <c r="C5" s="172" t="s">
        <v>10</v>
      </c>
      <c r="D5" s="358" t="s">
        <v>2051</v>
      </c>
      <c r="E5" s="336"/>
      <c r="F5" s="331">
        <f t="shared" si="0"/>
        <v>1.0209999999999999</v>
      </c>
      <c r="G5" s="337"/>
      <c r="H5" s="336"/>
      <c r="I5" s="338"/>
      <c r="J5" s="338"/>
      <c r="K5" s="338"/>
      <c r="L5" s="338"/>
      <c r="M5" s="338"/>
      <c r="N5" s="337"/>
      <c r="O5" s="339"/>
      <c r="P5" s="336"/>
      <c r="Q5" s="337"/>
      <c r="R5" s="340">
        <f t="shared" si="1"/>
        <v>1.0209999999999999</v>
      </c>
      <c r="S5" s="324"/>
      <c r="T5" s="324"/>
      <c r="U5" s="324"/>
      <c r="V5" s="324"/>
      <c r="W5" s="324"/>
      <c r="X5" s="324"/>
      <c r="Y5" s="324"/>
      <c r="Z5" s="324"/>
      <c r="AA5" s="324"/>
      <c r="AB5" s="324"/>
      <c r="AC5" s="324"/>
      <c r="AD5" s="324"/>
      <c r="AE5" s="324"/>
      <c r="AF5" s="324"/>
      <c r="AG5" s="324"/>
      <c r="AH5" s="324"/>
      <c r="AI5" s="324"/>
      <c r="AJ5" s="324"/>
      <c r="AK5" s="324"/>
      <c r="AL5" s="324"/>
      <c r="AM5" s="324"/>
      <c r="AN5" s="324"/>
      <c r="AO5" s="324"/>
      <c r="AP5" s="324"/>
      <c r="AQ5" s="324"/>
      <c r="AR5" s="324"/>
      <c r="AS5" s="324"/>
      <c r="AT5" s="324"/>
      <c r="AU5" s="324"/>
      <c r="AV5" s="324"/>
      <c r="AW5" s="324"/>
      <c r="AX5" s="324"/>
      <c r="AY5" s="324"/>
      <c r="AZ5" s="324"/>
      <c r="BA5" s="324"/>
      <c r="BB5" s="324"/>
      <c r="BC5" s="324"/>
      <c r="BD5" s="324"/>
      <c r="BE5" s="324"/>
      <c r="BF5" s="324"/>
      <c r="BG5" s="324"/>
      <c r="BH5" s="324"/>
      <c r="BI5" s="324"/>
      <c r="BJ5" s="324"/>
      <c r="BK5" s="324"/>
      <c r="BL5" s="324"/>
      <c r="BM5" s="324"/>
      <c r="BN5" s="324"/>
      <c r="BO5" s="324"/>
      <c r="BP5" s="324"/>
      <c r="BQ5" s="324"/>
      <c r="BR5" s="324"/>
      <c r="BS5" s="324"/>
      <c r="BT5" s="324"/>
      <c r="BU5" s="324"/>
      <c r="BV5" s="324"/>
      <c r="BW5" s="324"/>
      <c r="BX5" s="324"/>
      <c r="BY5" s="324"/>
      <c r="BZ5" s="324"/>
      <c r="CA5" s="324"/>
      <c r="CB5" s="324"/>
      <c r="CC5" s="324"/>
      <c r="CD5" s="324"/>
      <c r="CE5" s="324"/>
      <c r="CF5" s="324"/>
      <c r="CG5" s="324"/>
      <c r="CH5" s="324"/>
      <c r="CI5" s="324"/>
      <c r="CJ5" s="324"/>
      <c r="CK5" s="324"/>
      <c r="CL5" s="324"/>
      <c r="CM5" s="324"/>
      <c r="CN5" s="324"/>
      <c r="CO5" s="324"/>
      <c r="CP5" s="324"/>
      <c r="CQ5" s="324"/>
      <c r="CR5" s="324"/>
      <c r="CS5" s="324"/>
      <c r="CT5" s="324"/>
      <c r="CU5" s="324"/>
      <c r="CV5" s="324"/>
      <c r="CW5" s="324"/>
      <c r="CX5" s="324"/>
      <c r="CY5" s="324"/>
      <c r="CZ5" s="324"/>
      <c r="DA5" s="324"/>
      <c r="DB5" s="324"/>
      <c r="DC5" s="324"/>
      <c r="DD5" s="324"/>
      <c r="DE5" s="324"/>
      <c r="DF5" s="324"/>
      <c r="DG5" s="324"/>
      <c r="DH5" s="324"/>
      <c r="DI5" s="324"/>
      <c r="DJ5" s="324"/>
      <c r="DK5" s="324"/>
      <c r="DL5" s="324"/>
      <c r="DM5" s="324"/>
      <c r="DN5" s="324"/>
      <c r="DO5" s="324"/>
      <c r="DP5" s="324"/>
      <c r="DQ5" s="324"/>
      <c r="DR5" s="324"/>
      <c r="DS5" s="324"/>
      <c r="DT5" s="324"/>
      <c r="DU5" s="324"/>
      <c r="DV5" s="324"/>
      <c r="DW5" s="324"/>
      <c r="DX5" s="324"/>
      <c r="DY5" s="324"/>
      <c r="DZ5" s="324"/>
      <c r="EA5" s="324"/>
      <c r="EB5" s="324"/>
      <c r="EC5" s="324"/>
      <c r="ED5" s="324"/>
      <c r="EE5" s="324"/>
      <c r="EF5" s="324"/>
      <c r="EG5" s="324"/>
      <c r="EH5" s="324"/>
      <c r="EI5" s="324"/>
      <c r="EJ5" s="324"/>
      <c r="EK5" s="324"/>
      <c r="EL5" s="324"/>
      <c r="EM5" s="324"/>
      <c r="EN5" s="324"/>
      <c r="EO5" s="324"/>
      <c r="EP5" s="324"/>
      <c r="EQ5" s="324"/>
      <c r="ER5" s="324"/>
      <c r="ES5" s="324"/>
      <c r="ET5" s="324"/>
      <c r="EU5" s="324"/>
      <c r="EV5" s="324"/>
      <c r="EW5" s="324"/>
      <c r="EX5" s="324"/>
      <c r="EY5" s="324"/>
      <c r="EZ5" s="324"/>
      <c r="FA5" s="324"/>
      <c r="FB5" s="324"/>
      <c r="FC5" s="324"/>
      <c r="FD5" s="324"/>
      <c r="FE5" s="324"/>
      <c r="FF5" s="324"/>
      <c r="FG5" s="324"/>
      <c r="FH5" s="324"/>
      <c r="FI5" s="324"/>
      <c r="FJ5" s="324"/>
      <c r="FK5" s="324"/>
      <c r="FL5" s="324"/>
      <c r="FM5" s="324"/>
      <c r="FN5" s="324"/>
      <c r="FO5" s="324"/>
      <c r="FP5" s="324"/>
      <c r="FQ5" s="324"/>
      <c r="FR5" s="324"/>
      <c r="FS5" s="324"/>
      <c r="FT5" s="324"/>
      <c r="FU5" s="324"/>
      <c r="FV5" s="324"/>
      <c r="FW5" s="324"/>
      <c r="FX5" s="324"/>
      <c r="FY5" s="324"/>
      <c r="FZ5" s="324"/>
      <c r="GA5" s="324"/>
      <c r="GB5" s="324"/>
      <c r="GC5" s="324"/>
      <c r="GD5" s="324"/>
      <c r="GE5" s="324"/>
      <c r="GF5" s="324"/>
      <c r="GG5" s="324"/>
      <c r="GH5" s="324"/>
      <c r="GI5" s="324"/>
      <c r="GJ5" s="324"/>
      <c r="GK5" s="324"/>
      <c r="GL5" s="324"/>
      <c r="GM5" s="324"/>
      <c r="GN5" s="324"/>
      <c r="GO5" s="324"/>
      <c r="GP5" s="324"/>
      <c r="GQ5" s="324"/>
      <c r="GR5" s="324"/>
      <c r="GS5" s="324"/>
      <c r="GT5" s="324"/>
      <c r="GU5" s="324"/>
      <c r="GV5" s="324"/>
      <c r="GW5" s="324"/>
      <c r="GX5" s="324"/>
      <c r="GY5" s="324"/>
      <c r="GZ5" s="324"/>
      <c r="HA5" s="324"/>
      <c r="HB5" s="324"/>
      <c r="HC5" s="324"/>
      <c r="HD5" s="324"/>
      <c r="HE5" s="324"/>
      <c r="HF5" s="324"/>
      <c r="HG5" s="324"/>
      <c r="HH5" s="324"/>
      <c r="HI5" s="324"/>
      <c r="HJ5" s="324"/>
      <c r="HK5" s="324"/>
      <c r="HL5" s="324"/>
      <c r="HM5" s="324"/>
      <c r="HN5" s="324"/>
      <c r="HO5" s="324"/>
      <c r="HP5" s="324"/>
      <c r="HQ5" s="324"/>
      <c r="HR5" s="324"/>
      <c r="HS5" s="324"/>
      <c r="HT5" s="324"/>
      <c r="HU5" s="324"/>
      <c r="HV5" s="324"/>
      <c r="HW5" s="324"/>
      <c r="HX5" s="324"/>
      <c r="HY5" s="324"/>
      <c r="HZ5" s="324"/>
      <c r="IA5" s="324"/>
      <c r="IB5" s="324"/>
      <c r="IC5" s="324"/>
      <c r="ID5" s="324"/>
      <c r="IE5" s="324"/>
      <c r="IF5" s="324"/>
      <c r="IG5" s="324"/>
      <c r="IH5" s="324"/>
      <c r="II5" s="324"/>
      <c r="IJ5" s="324"/>
      <c r="IK5" s="324"/>
      <c r="IL5" s="324"/>
      <c r="IM5" s="324"/>
    </row>
    <row r="6" spans="1:247" x14ac:dyDescent="0.35">
      <c r="A6" s="356">
        <v>1351</v>
      </c>
      <c r="B6" s="357" t="s">
        <v>12</v>
      </c>
      <c r="C6" s="172" t="s">
        <v>13</v>
      </c>
      <c r="D6" s="358" t="s">
        <v>2052</v>
      </c>
      <c r="E6" s="336"/>
      <c r="F6" s="331">
        <f t="shared" si="0"/>
        <v>1.0209999999999999</v>
      </c>
      <c r="G6" s="337"/>
      <c r="H6" s="336"/>
      <c r="I6" s="338"/>
      <c r="J6" s="338"/>
      <c r="K6" s="338"/>
      <c r="L6" s="338"/>
      <c r="M6" s="338"/>
      <c r="N6" s="337"/>
      <c r="O6" s="339"/>
      <c r="P6" s="336"/>
      <c r="Q6" s="337"/>
      <c r="R6" s="340">
        <f t="shared" si="1"/>
        <v>1.0209999999999999</v>
      </c>
      <c r="S6" s="324"/>
      <c r="T6" s="324"/>
      <c r="U6" s="324"/>
      <c r="V6" s="324"/>
      <c r="W6" s="324"/>
      <c r="X6" s="324"/>
      <c r="Y6" s="324"/>
      <c r="Z6" s="324"/>
      <c r="AA6" s="324"/>
      <c r="AB6" s="324"/>
      <c r="AC6" s="324"/>
      <c r="AD6" s="324"/>
      <c r="AE6" s="324"/>
      <c r="AF6" s="324"/>
      <c r="AG6" s="324"/>
      <c r="AH6" s="324"/>
      <c r="AI6" s="324"/>
      <c r="AJ6" s="324"/>
      <c r="AK6" s="324"/>
      <c r="AL6" s="324"/>
      <c r="AM6" s="324"/>
      <c r="AN6" s="324"/>
      <c r="AO6" s="324"/>
      <c r="AP6" s="324"/>
      <c r="AQ6" s="324"/>
      <c r="AR6" s="324"/>
      <c r="AS6" s="324"/>
      <c r="AT6" s="324"/>
      <c r="AU6" s="324"/>
      <c r="AV6" s="324"/>
      <c r="AW6" s="324"/>
      <c r="AX6" s="324"/>
      <c r="AY6" s="324"/>
      <c r="AZ6" s="324"/>
      <c r="BA6" s="324"/>
      <c r="BB6" s="324"/>
      <c r="BC6" s="324"/>
      <c r="BD6" s="324"/>
      <c r="BE6" s="324"/>
      <c r="BF6" s="324"/>
      <c r="BG6" s="324"/>
      <c r="BH6" s="324"/>
      <c r="BI6" s="324"/>
      <c r="BJ6" s="324"/>
      <c r="BK6" s="324"/>
      <c r="BL6" s="324"/>
      <c r="BM6" s="324"/>
      <c r="BN6" s="324"/>
      <c r="BO6" s="324"/>
      <c r="BP6" s="324"/>
      <c r="BQ6" s="324"/>
      <c r="BR6" s="324"/>
      <c r="BS6" s="324"/>
      <c r="BT6" s="324"/>
      <c r="BU6" s="324"/>
      <c r="BV6" s="324"/>
      <c r="BW6" s="324"/>
      <c r="BX6" s="324"/>
      <c r="BY6" s="324"/>
      <c r="BZ6" s="324"/>
      <c r="CA6" s="324"/>
      <c r="CB6" s="324"/>
      <c r="CC6" s="324"/>
      <c r="CD6" s="324"/>
      <c r="CE6" s="324"/>
      <c r="CF6" s="324"/>
      <c r="CG6" s="324"/>
      <c r="CH6" s="324"/>
      <c r="CI6" s="324"/>
      <c r="CJ6" s="324"/>
      <c r="CK6" s="324"/>
      <c r="CL6" s="324"/>
      <c r="CM6" s="324"/>
      <c r="CN6" s="324"/>
      <c r="CO6" s="324"/>
      <c r="CP6" s="324"/>
      <c r="CQ6" s="324"/>
      <c r="CR6" s="324"/>
      <c r="CS6" s="324"/>
      <c r="CT6" s="324"/>
      <c r="CU6" s="324"/>
      <c r="CV6" s="324"/>
      <c r="CW6" s="324"/>
      <c r="CX6" s="324"/>
      <c r="CY6" s="324"/>
      <c r="CZ6" s="324"/>
      <c r="DA6" s="324"/>
      <c r="DB6" s="324"/>
      <c r="DC6" s="324"/>
      <c r="DD6" s="324"/>
      <c r="DE6" s="324"/>
      <c r="DF6" s="324"/>
      <c r="DG6" s="324"/>
      <c r="DH6" s="324"/>
      <c r="DI6" s="324"/>
      <c r="DJ6" s="324"/>
      <c r="DK6" s="324"/>
      <c r="DL6" s="324"/>
      <c r="DM6" s="324"/>
      <c r="DN6" s="324"/>
      <c r="DO6" s="324"/>
      <c r="DP6" s="324"/>
      <c r="DQ6" s="324"/>
      <c r="DR6" s="324"/>
      <c r="DS6" s="324"/>
      <c r="DT6" s="324"/>
      <c r="DU6" s="324"/>
      <c r="DV6" s="324"/>
      <c r="DW6" s="324"/>
      <c r="DX6" s="324"/>
      <c r="DY6" s="324"/>
      <c r="DZ6" s="324"/>
      <c r="EA6" s="324"/>
      <c r="EB6" s="324"/>
      <c r="EC6" s="324"/>
      <c r="ED6" s="324"/>
      <c r="EE6" s="324"/>
      <c r="EF6" s="324"/>
      <c r="EG6" s="324"/>
      <c r="EH6" s="324"/>
      <c r="EI6" s="324"/>
      <c r="EJ6" s="324"/>
      <c r="EK6" s="324"/>
      <c r="EL6" s="324"/>
      <c r="EM6" s="324"/>
      <c r="EN6" s="324"/>
      <c r="EO6" s="324"/>
      <c r="EP6" s="324"/>
      <c r="EQ6" s="324"/>
      <c r="ER6" s="324"/>
      <c r="ES6" s="324"/>
      <c r="ET6" s="324"/>
      <c r="EU6" s="324"/>
      <c r="EV6" s="324"/>
      <c r="EW6" s="324"/>
      <c r="EX6" s="324"/>
      <c r="EY6" s="324"/>
      <c r="EZ6" s="324"/>
      <c r="FA6" s="324"/>
      <c r="FB6" s="324"/>
      <c r="FC6" s="324"/>
      <c r="FD6" s="324"/>
      <c r="FE6" s="324"/>
      <c r="FF6" s="324"/>
      <c r="FG6" s="324"/>
      <c r="FH6" s="324"/>
      <c r="FI6" s="324"/>
      <c r="FJ6" s="324"/>
      <c r="FK6" s="324"/>
      <c r="FL6" s="324"/>
      <c r="FM6" s="324"/>
      <c r="FN6" s="324"/>
      <c r="FO6" s="324"/>
      <c r="FP6" s="324"/>
      <c r="FQ6" s="324"/>
      <c r="FR6" s="324"/>
      <c r="FS6" s="324"/>
      <c r="FT6" s="324"/>
      <c r="FU6" s="324"/>
      <c r="FV6" s="324"/>
      <c r="FW6" s="324"/>
      <c r="FX6" s="324"/>
      <c r="FY6" s="324"/>
      <c r="FZ6" s="324"/>
      <c r="GA6" s="324"/>
      <c r="GB6" s="324"/>
      <c r="GC6" s="324"/>
      <c r="GD6" s="324"/>
      <c r="GE6" s="324"/>
      <c r="GF6" s="324"/>
      <c r="GG6" s="324"/>
      <c r="GH6" s="324"/>
      <c r="GI6" s="324"/>
      <c r="GJ6" s="324"/>
      <c r="GK6" s="324"/>
      <c r="GL6" s="324"/>
      <c r="GM6" s="324"/>
      <c r="GN6" s="324"/>
      <c r="GO6" s="324"/>
      <c r="GP6" s="324"/>
      <c r="GQ6" s="324"/>
      <c r="GR6" s="324"/>
      <c r="GS6" s="324"/>
      <c r="GT6" s="324"/>
      <c r="GU6" s="324"/>
      <c r="GV6" s="324"/>
      <c r="GW6" s="324"/>
      <c r="GX6" s="324"/>
      <c r="GY6" s="324"/>
      <c r="GZ6" s="324"/>
      <c r="HA6" s="324"/>
      <c r="HB6" s="324"/>
      <c r="HC6" s="324"/>
      <c r="HD6" s="324"/>
      <c r="HE6" s="324"/>
      <c r="HF6" s="324"/>
      <c r="HG6" s="324"/>
      <c r="HH6" s="324"/>
      <c r="HI6" s="324"/>
      <c r="HJ6" s="324"/>
      <c r="HK6" s="324"/>
      <c r="HL6" s="324"/>
      <c r="HM6" s="324"/>
      <c r="HN6" s="324"/>
      <c r="HO6" s="324"/>
      <c r="HP6" s="324"/>
      <c r="HQ6" s="324"/>
      <c r="HR6" s="324"/>
      <c r="HS6" s="324"/>
      <c r="HT6" s="324"/>
      <c r="HU6" s="324"/>
      <c r="HV6" s="324"/>
      <c r="HW6" s="324"/>
      <c r="HX6" s="324"/>
      <c r="HY6" s="324"/>
      <c r="HZ6" s="324"/>
      <c r="IA6" s="324"/>
      <c r="IB6" s="324"/>
      <c r="IC6" s="324"/>
      <c r="ID6" s="324"/>
      <c r="IE6" s="324"/>
      <c r="IF6" s="324"/>
      <c r="IG6" s="324"/>
      <c r="IH6" s="324"/>
      <c r="II6" s="324"/>
      <c r="IJ6" s="324"/>
      <c r="IK6" s="324"/>
      <c r="IL6" s="324"/>
      <c r="IM6" s="324"/>
    </row>
    <row r="7" spans="1:247" x14ac:dyDescent="0.35">
      <c r="A7" s="356">
        <v>1362</v>
      </c>
      <c r="B7" s="357" t="s">
        <v>14</v>
      </c>
      <c r="C7" s="172" t="s">
        <v>10</v>
      </c>
      <c r="D7" s="358" t="s">
        <v>2051</v>
      </c>
      <c r="E7" s="336"/>
      <c r="F7" s="331">
        <f t="shared" si="0"/>
        <v>1.0209999999999999</v>
      </c>
      <c r="G7" s="337"/>
      <c r="H7" s="336"/>
      <c r="I7" s="338"/>
      <c r="J7" s="338"/>
      <c r="K7" s="338"/>
      <c r="L7" s="338"/>
      <c r="M7" s="338"/>
      <c r="N7" s="337"/>
      <c r="O7" s="339"/>
      <c r="P7" s="336"/>
      <c r="Q7" s="337"/>
      <c r="R7" s="340">
        <f t="shared" si="1"/>
        <v>1.0209999999999999</v>
      </c>
      <c r="S7" s="324"/>
      <c r="T7" s="324"/>
      <c r="U7" s="324"/>
      <c r="V7" s="324"/>
      <c r="W7" s="324"/>
      <c r="X7" s="324"/>
      <c r="Y7" s="324"/>
      <c r="Z7" s="324"/>
      <c r="AA7" s="324"/>
      <c r="AB7" s="324"/>
      <c r="AC7" s="324"/>
      <c r="AD7" s="324"/>
      <c r="AE7" s="324"/>
      <c r="AF7" s="324"/>
      <c r="AG7" s="324"/>
      <c r="AH7" s="324"/>
      <c r="AI7" s="324"/>
      <c r="AJ7" s="324"/>
      <c r="AK7" s="324"/>
      <c r="AL7" s="324"/>
      <c r="AM7" s="324"/>
      <c r="AN7" s="324"/>
      <c r="AO7" s="324"/>
      <c r="AP7" s="324"/>
      <c r="AQ7" s="324"/>
      <c r="AR7" s="324"/>
      <c r="AS7" s="324"/>
      <c r="AT7" s="324"/>
      <c r="AU7" s="324"/>
      <c r="AV7" s="324"/>
      <c r="AW7" s="324"/>
      <c r="AX7" s="324"/>
      <c r="AY7" s="324"/>
      <c r="AZ7" s="324"/>
      <c r="BA7" s="324"/>
      <c r="BB7" s="324"/>
      <c r="BC7" s="324"/>
      <c r="BD7" s="324"/>
      <c r="BE7" s="324"/>
      <c r="BF7" s="324"/>
      <c r="BG7" s="324"/>
      <c r="BH7" s="324"/>
      <c r="BI7" s="324"/>
      <c r="BJ7" s="324"/>
      <c r="BK7" s="324"/>
      <c r="BL7" s="324"/>
      <c r="BM7" s="324"/>
      <c r="BN7" s="324"/>
      <c r="BO7" s="324"/>
      <c r="BP7" s="324"/>
      <c r="BQ7" s="324"/>
      <c r="BR7" s="324"/>
      <c r="BS7" s="324"/>
      <c r="BT7" s="324"/>
      <c r="BU7" s="324"/>
      <c r="BV7" s="324"/>
      <c r="BW7" s="324"/>
      <c r="BX7" s="324"/>
      <c r="BY7" s="324"/>
      <c r="BZ7" s="324"/>
      <c r="CA7" s="324"/>
      <c r="CB7" s="324"/>
      <c r="CC7" s="324"/>
      <c r="CD7" s="324"/>
      <c r="CE7" s="324"/>
      <c r="CF7" s="324"/>
      <c r="CG7" s="324"/>
      <c r="CH7" s="324"/>
      <c r="CI7" s="324"/>
      <c r="CJ7" s="324"/>
      <c r="CK7" s="324"/>
      <c r="CL7" s="324"/>
      <c r="CM7" s="324"/>
      <c r="CN7" s="324"/>
      <c r="CO7" s="324"/>
      <c r="CP7" s="324"/>
      <c r="CQ7" s="324"/>
      <c r="CR7" s="324"/>
      <c r="CS7" s="324"/>
      <c r="CT7" s="324"/>
      <c r="CU7" s="324"/>
      <c r="CV7" s="324"/>
      <c r="CW7" s="324"/>
      <c r="CX7" s="324"/>
      <c r="CY7" s="324"/>
      <c r="CZ7" s="324"/>
      <c r="DA7" s="324"/>
      <c r="DB7" s="324"/>
      <c r="DC7" s="324"/>
      <c r="DD7" s="324"/>
      <c r="DE7" s="324"/>
      <c r="DF7" s="324"/>
      <c r="DG7" s="324"/>
      <c r="DH7" s="324"/>
      <c r="DI7" s="324"/>
      <c r="DJ7" s="324"/>
      <c r="DK7" s="324"/>
      <c r="DL7" s="324"/>
      <c r="DM7" s="324"/>
      <c r="DN7" s="324"/>
      <c r="DO7" s="324"/>
      <c r="DP7" s="324"/>
      <c r="DQ7" s="324"/>
      <c r="DR7" s="324"/>
      <c r="DS7" s="324"/>
      <c r="DT7" s="324"/>
      <c r="DU7" s="324"/>
      <c r="DV7" s="324"/>
      <c r="DW7" s="324"/>
      <c r="DX7" s="324"/>
      <c r="DY7" s="324"/>
      <c r="DZ7" s="324"/>
      <c r="EA7" s="324"/>
      <c r="EB7" s="324"/>
      <c r="EC7" s="324"/>
      <c r="ED7" s="324"/>
      <c r="EE7" s="324"/>
      <c r="EF7" s="324"/>
      <c r="EG7" s="324"/>
      <c r="EH7" s="324"/>
      <c r="EI7" s="324"/>
      <c r="EJ7" s="324"/>
      <c r="EK7" s="324"/>
      <c r="EL7" s="324"/>
      <c r="EM7" s="324"/>
      <c r="EN7" s="324"/>
      <c r="EO7" s="324"/>
      <c r="EP7" s="324"/>
      <c r="EQ7" s="324"/>
      <c r="ER7" s="324"/>
      <c r="ES7" s="324"/>
      <c r="ET7" s="324"/>
      <c r="EU7" s="324"/>
      <c r="EV7" s="324"/>
      <c r="EW7" s="324"/>
      <c r="EX7" s="324"/>
      <c r="EY7" s="324"/>
      <c r="EZ7" s="324"/>
      <c r="FA7" s="324"/>
      <c r="FB7" s="324"/>
      <c r="FC7" s="324"/>
      <c r="FD7" s="324"/>
      <c r="FE7" s="324"/>
      <c r="FF7" s="324"/>
      <c r="FG7" s="324"/>
      <c r="FH7" s="324"/>
      <c r="FI7" s="324"/>
      <c r="FJ7" s="324"/>
      <c r="FK7" s="324"/>
      <c r="FL7" s="324"/>
      <c r="FM7" s="324"/>
      <c r="FN7" s="324"/>
      <c r="FO7" s="324"/>
      <c r="FP7" s="324"/>
      <c r="FQ7" s="324"/>
      <c r="FR7" s="324"/>
      <c r="FS7" s="324"/>
      <c r="FT7" s="324"/>
      <c r="FU7" s="324"/>
      <c r="FV7" s="324"/>
      <c r="FW7" s="324"/>
      <c r="FX7" s="324"/>
      <c r="FY7" s="324"/>
      <c r="FZ7" s="324"/>
      <c r="GA7" s="324"/>
      <c r="GB7" s="324"/>
      <c r="GC7" s="324"/>
      <c r="GD7" s="324"/>
      <c r="GE7" s="324"/>
      <c r="GF7" s="324"/>
      <c r="GG7" s="324"/>
      <c r="GH7" s="324"/>
      <c r="GI7" s="324"/>
      <c r="GJ7" s="324"/>
      <c r="GK7" s="324"/>
      <c r="GL7" s="324"/>
      <c r="GM7" s="324"/>
      <c r="GN7" s="324"/>
      <c r="GO7" s="324"/>
      <c r="GP7" s="324"/>
      <c r="GQ7" s="324"/>
      <c r="GR7" s="324"/>
      <c r="GS7" s="324"/>
      <c r="GT7" s="324"/>
      <c r="GU7" s="324"/>
      <c r="GV7" s="324"/>
      <c r="GW7" s="324"/>
      <c r="GX7" s="324"/>
      <c r="GY7" s="324"/>
      <c r="GZ7" s="324"/>
      <c r="HA7" s="324"/>
      <c r="HB7" s="324"/>
      <c r="HC7" s="324"/>
      <c r="HD7" s="324"/>
      <c r="HE7" s="324"/>
      <c r="HF7" s="324"/>
      <c r="HG7" s="324"/>
      <c r="HH7" s="324"/>
      <c r="HI7" s="324"/>
      <c r="HJ7" s="324"/>
      <c r="HK7" s="324"/>
      <c r="HL7" s="324"/>
      <c r="HM7" s="324"/>
      <c r="HN7" s="324"/>
      <c r="HO7" s="324"/>
      <c r="HP7" s="324"/>
      <c r="HQ7" s="324"/>
      <c r="HR7" s="324"/>
      <c r="HS7" s="324"/>
      <c r="HT7" s="324"/>
      <c r="HU7" s="324"/>
      <c r="HV7" s="324"/>
      <c r="HW7" s="324"/>
      <c r="HX7" s="324"/>
      <c r="HY7" s="324"/>
      <c r="HZ7" s="324"/>
      <c r="IA7" s="324"/>
      <c r="IB7" s="324"/>
      <c r="IC7" s="324"/>
      <c r="ID7" s="324"/>
      <c r="IE7" s="324"/>
      <c r="IF7" s="324"/>
      <c r="IG7" s="324"/>
      <c r="IH7" s="324"/>
      <c r="II7" s="324"/>
      <c r="IJ7" s="324"/>
      <c r="IK7" s="324"/>
      <c r="IL7" s="324"/>
      <c r="IM7" s="324"/>
    </row>
    <row r="8" spans="1:247" x14ac:dyDescent="0.35">
      <c r="A8" s="356">
        <v>1381</v>
      </c>
      <c r="B8" s="357" t="s">
        <v>15</v>
      </c>
      <c r="C8" s="172" t="s">
        <v>10</v>
      </c>
      <c r="D8" s="358" t="s">
        <v>2051</v>
      </c>
      <c r="E8" s="336"/>
      <c r="F8" s="331">
        <f t="shared" si="0"/>
        <v>1.0209999999999999</v>
      </c>
      <c r="G8" s="337"/>
      <c r="H8" s="336"/>
      <c r="I8" s="338"/>
      <c r="J8" s="338"/>
      <c r="K8" s="338"/>
      <c r="L8" s="338"/>
      <c r="M8" s="338"/>
      <c r="N8" s="337"/>
      <c r="O8" s="339"/>
      <c r="P8" s="336"/>
      <c r="Q8" s="337"/>
      <c r="R8" s="340">
        <f t="shared" si="1"/>
        <v>1.0209999999999999</v>
      </c>
      <c r="S8" s="324"/>
      <c r="T8" s="324"/>
      <c r="U8" s="324"/>
      <c r="V8" s="324"/>
      <c r="W8" s="324"/>
      <c r="X8" s="324"/>
      <c r="Y8" s="324"/>
      <c r="Z8" s="324"/>
      <c r="AA8" s="324"/>
      <c r="AB8" s="324"/>
      <c r="AC8" s="324"/>
      <c r="AD8" s="324"/>
      <c r="AE8" s="324"/>
      <c r="AF8" s="324"/>
      <c r="AG8" s="324"/>
      <c r="AH8" s="324"/>
      <c r="AI8" s="324"/>
      <c r="AJ8" s="324"/>
      <c r="AK8" s="324"/>
      <c r="AL8" s="324"/>
      <c r="AM8" s="324"/>
      <c r="AN8" s="324"/>
      <c r="AO8" s="324"/>
      <c r="AP8" s="324"/>
      <c r="AQ8" s="324"/>
      <c r="AR8" s="324"/>
      <c r="AS8" s="324"/>
      <c r="AT8" s="324"/>
      <c r="AU8" s="324"/>
      <c r="AV8" s="324"/>
      <c r="AW8" s="324"/>
      <c r="AX8" s="324"/>
      <c r="AY8" s="324"/>
      <c r="AZ8" s="324"/>
      <c r="BA8" s="324"/>
      <c r="BB8" s="324"/>
      <c r="BC8" s="324"/>
      <c r="BD8" s="324"/>
      <c r="BE8" s="324"/>
      <c r="BF8" s="324"/>
      <c r="BG8" s="324"/>
      <c r="BH8" s="324"/>
      <c r="BI8" s="324"/>
      <c r="BJ8" s="324"/>
      <c r="BK8" s="324"/>
      <c r="BL8" s="324"/>
      <c r="BM8" s="324"/>
      <c r="BN8" s="324"/>
      <c r="BO8" s="324"/>
      <c r="BP8" s="324"/>
      <c r="BQ8" s="324"/>
      <c r="BR8" s="324"/>
      <c r="BS8" s="324"/>
      <c r="BT8" s="324"/>
      <c r="BU8" s="324"/>
      <c r="BV8" s="324"/>
      <c r="BW8" s="324"/>
      <c r="BX8" s="324"/>
      <c r="BY8" s="324"/>
      <c r="BZ8" s="324"/>
      <c r="CA8" s="324"/>
      <c r="CB8" s="324"/>
      <c r="CC8" s="324"/>
      <c r="CD8" s="324"/>
      <c r="CE8" s="324"/>
      <c r="CF8" s="324"/>
      <c r="CG8" s="324"/>
      <c r="CH8" s="324"/>
      <c r="CI8" s="324"/>
      <c r="CJ8" s="324"/>
      <c r="CK8" s="324"/>
      <c r="CL8" s="324"/>
      <c r="CM8" s="324"/>
      <c r="CN8" s="324"/>
      <c r="CO8" s="324"/>
      <c r="CP8" s="324"/>
      <c r="CQ8" s="324"/>
      <c r="CR8" s="324"/>
      <c r="CS8" s="324"/>
      <c r="CT8" s="324"/>
      <c r="CU8" s="324"/>
      <c r="CV8" s="324"/>
      <c r="CW8" s="324"/>
      <c r="CX8" s="324"/>
      <c r="CY8" s="324"/>
      <c r="CZ8" s="324"/>
      <c r="DA8" s="324"/>
      <c r="DB8" s="324"/>
      <c r="DC8" s="324"/>
      <c r="DD8" s="324"/>
      <c r="DE8" s="324"/>
      <c r="DF8" s="324"/>
      <c r="DG8" s="324"/>
      <c r="DH8" s="324"/>
      <c r="DI8" s="324"/>
      <c r="DJ8" s="324"/>
      <c r="DK8" s="324"/>
      <c r="DL8" s="324"/>
      <c r="DM8" s="324"/>
      <c r="DN8" s="324"/>
      <c r="DO8" s="324"/>
      <c r="DP8" s="324"/>
      <c r="DQ8" s="324"/>
      <c r="DR8" s="324"/>
      <c r="DS8" s="324"/>
      <c r="DT8" s="324"/>
      <c r="DU8" s="324"/>
      <c r="DV8" s="324"/>
      <c r="DW8" s="324"/>
      <c r="DX8" s="324"/>
      <c r="DY8" s="324"/>
      <c r="DZ8" s="324"/>
      <c r="EA8" s="324"/>
      <c r="EB8" s="324"/>
      <c r="EC8" s="324"/>
      <c r="ED8" s="324"/>
      <c r="EE8" s="324"/>
      <c r="EF8" s="324"/>
      <c r="EG8" s="324"/>
      <c r="EH8" s="324"/>
      <c r="EI8" s="324"/>
      <c r="EJ8" s="324"/>
      <c r="EK8" s="324"/>
      <c r="EL8" s="324"/>
      <c r="EM8" s="324"/>
      <c r="EN8" s="324"/>
      <c r="EO8" s="324"/>
      <c r="EP8" s="324"/>
      <c r="EQ8" s="324"/>
      <c r="ER8" s="324"/>
      <c r="ES8" s="324"/>
      <c r="ET8" s="324"/>
      <c r="EU8" s="324"/>
      <c r="EV8" s="324"/>
      <c r="EW8" s="324"/>
      <c r="EX8" s="324"/>
      <c r="EY8" s="324"/>
      <c r="EZ8" s="324"/>
      <c r="FA8" s="324"/>
      <c r="FB8" s="324"/>
      <c r="FC8" s="324"/>
      <c r="FD8" s="324"/>
      <c r="FE8" s="324"/>
      <c r="FF8" s="324"/>
      <c r="FG8" s="324"/>
      <c r="FH8" s="324"/>
      <c r="FI8" s="324"/>
      <c r="FJ8" s="324"/>
      <c r="FK8" s="324"/>
      <c r="FL8" s="324"/>
      <c r="FM8" s="324"/>
      <c r="FN8" s="324"/>
      <c r="FO8" s="324"/>
      <c r="FP8" s="324"/>
      <c r="FQ8" s="324"/>
      <c r="FR8" s="324"/>
      <c r="FS8" s="324"/>
      <c r="FT8" s="324"/>
      <c r="FU8" s="324"/>
      <c r="FV8" s="324"/>
      <c r="FW8" s="324"/>
      <c r="FX8" s="324"/>
      <c r="FY8" s="324"/>
      <c r="FZ8" s="324"/>
      <c r="GA8" s="324"/>
      <c r="GB8" s="324"/>
      <c r="GC8" s="324"/>
      <c r="GD8" s="324"/>
      <c r="GE8" s="324"/>
      <c r="GF8" s="324"/>
      <c r="GG8" s="324"/>
      <c r="GH8" s="324"/>
      <c r="GI8" s="324"/>
      <c r="GJ8" s="324"/>
      <c r="GK8" s="324"/>
      <c r="GL8" s="324"/>
      <c r="GM8" s="324"/>
      <c r="GN8" s="324"/>
      <c r="GO8" s="324"/>
      <c r="GP8" s="324"/>
      <c r="GQ8" s="324"/>
      <c r="GR8" s="324"/>
      <c r="GS8" s="324"/>
      <c r="GT8" s="324"/>
      <c r="GU8" s="324"/>
      <c r="GV8" s="324"/>
      <c r="GW8" s="324"/>
      <c r="GX8" s="324"/>
      <c r="GY8" s="324"/>
      <c r="GZ8" s="324"/>
      <c r="HA8" s="324"/>
      <c r="HB8" s="324"/>
      <c r="HC8" s="324"/>
      <c r="HD8" s="324"/>
      <c r="HE8" s="324"/>
      <c r="HF8" s="324"/>
      <c r="HG8" s="324"/>
      <c r="HH8" s="324"/>
      <c r="HI8" s="324"/>
      <c r="HJ8" s="324"/>
      <c r="HK8" s="324"/>
      <c r="HL8" s="324"/>
      <c r="HM8" s="324"/>
      <c r="HN8" s="324"/>
      <c r="HO8" s="324"/>
      <c r="HP8" s="324"/>
      <c r="HQ8" s="324"/>
      <c r="HR8" s="324"/>
      <c r="HS8" s="324"/>
      <c r="HT8" s="324"/>
      <c r="HU8" s="324"/>
      <c r="HV8" s="324"/>
      <c r="HW8" s="324"/>
      <c r="HX8" s="324"/>
      <c r="HY8" s="324"/>
      <c r="HZ8" s="324"/>
      <c r="IA8" s="324"/>
      <c r="IB8" s="324"/>
      <c r="IC8" s="324"/>
      <c r="ID8" s="324"/>
      <c r="IE8" s="324"/>
      <c r="IF8" s="324"/>
      <c r="IG8" s="324"/>
      <c r="IH8" s="324"/>
      <c r="II8" s="324"/>
      <c r="IJ8" s="324"/>
      <c r="IK8" s="324"/>
      <c r="IL8" s="324"/>
      <c r="IM8" s="324"/>
    </row>
    <row r="9" spans="1:247" x14ac:dyDescent="0.35">
      <c r="A9" s="356">
        <v>1422</v>
      </c>
      <c r="B9" s="357" t="s">
        <v>16</v>
      </c>
      <c r="C9" s="172" t="s">
        <v>10</v>
      </c>
      <c r="D9" s="358" t="s">
        <v>2051</v>
      </c>
      <c r="E9" s="336"/>
      <c r="F9" s="331">
        <f t="shared" si="0"/>
        <v>1.0209999999999999</v>
      </c>
      <c r="G9" s="337"/>
      <c r="H9" s="336"/>
      <c r="I9" s="338"/>
      <c r="J9" s="338"/>
      <c r="K9" s="338"/>
      <c r="L9" s="338"/>
      <c r="M9" s="338"/>
      <c r="N9" s="337"/>
      <c r="O9" s="339"/>
      <c r="P9" s="336"/>
      <c r="Q9" s="337"/>
      <c r="R9" s="340">
        <f t="shared" si="1"/>
        <v>1.0209999999999999</v>
      </c>
      <c r="S9" s="324"/>
      <c r="T9" s="324"/>
      <c r="U9" s="324"/>
      <c r="V9" s="324"/>
      <c r="W9" s="324"/>
      <c r="X9" s="324"/>
      <c r="Y9" s="324"/>
      <c r="Z9" s="324"/>
      <c r="AA9" s="324"/>
      <c r="AB9" s="324"/>
      <c r="AC9" s="324"/>
      <c r="AD9" s="324"/>
      <c r="AE9" s="324"/>
      <c r="AF9" s="324"/>
      <c r="AG9" s="324"/>
      <c r="AH9" s="324"/>
      <c r="AI9" s="324"/>
      <c r="AJ9" s="324"/>
      <c r="AK9" s="324"/>
      <c r="AL9" s="324"/>
      <c r="AM9" s="324"/>
      <c r="AN9" s="324"/>
      <c r="AO9" s="324"/>
      <c r="AP9" s="324"/>
      <c r="AQ9" s="324"/>
      <c r="AR9" s="324"/>
      <c r="AS9" s="324"/>
      <c r="AT9" s="324"/>
      <c r="AU9" s="324"/>
      <c r="AV9" s="324"/>
      <c r="AW9" s="324"/>
      <c r="AX9" s="324"/>
      <c r="AY9" s="324"/>
      <c r="AZ9" s="324"/>
      <c r="BA9" s="324"/>
      <c r="BB9" s="324"/>
      <c r="BC9" s="324"/>
      <c r="BD9" s="324"/>
      <c r="BE9" s="324"/>
      <c r="BF9" s="324"/>
      <c r="BG9" s="324"/>
      <c r="BH9" s="324"/>
      <c r="BI9" s="324"/>
      <c r="BJ9" s="324"/>
      <c r="BK9" s="324"/>
      <c r="BL9" s="324"/>
      <c r="BM9" s="324"/>
      <c r="BN9" s="324"/>
      <c r="BO9" s="324"/>
      <c r="BP9" s="324"/>
      <c r="BQ9" s="324"/>
      <c r="BR9" s="324"/>
      <c r="BS9" s="324"/>
      <c r="BT9" s="324"/>
      <c r="BU9" s="324"/>
      <c r="BV9" s="324"/>
      <c r="BW9" s="324"/>
      <c r="BX9" s="324"/>
      <c r="BY9" s="324"/>
      <c r="BZ9" s="324"/>
      <c r="CA9" s="324"/>
      <c r="CB9" s="324"/>
      <c r="CC9" s="324"/>
      <c r="CD9" s="324"/>
      <c r="CE9" s="324"/>
      <c r="CF9" s="324"/>
      <c r="CG9" s="324"/>
      <c r="CH9" s="324"/>
      <c r="CI9" s="324"/>
      <c r="CJ9" s="324"/>
      <c r="CK9" s="324"/>
      <c r="CL9" s="324"/>
      <c r="CM9" s="324"/>
      <c r="CN9" s="324"/>
      <c r="CO9" s="324"/>
      <c r="CP9" s="324"/>
      <c r="CQ9" s="324"/>
      <c r="CR9" s="324"/>
      <c r="CS9" s="324"/>
      <c r="CT9" s="324"/>
      <c r="CU9" s="324"/>
      <c r="CV9" s="324"/>
      <c r="CW9" s="324"/>
      <c r="CX9" s="324"/>
      <c r="CY9" s="324"/>
      <c r="CZ9" s="324"/>
      <c r="DA9" s="324"/>
      <c r="DB9" s="324"/>
      <c r="DC9" s="324"/>
      <c r="DD9" s="324"/>
      <c r="DE9" s="324"/>
      <c r="DF9" s="324"/>
      <c r="DG9" s="324"/>
      <c r="DH9" s="324"/>
      <c r="DI9" s="324"/>
      <c r="DJ9" s="324"/>
      <c r="DK9" s="324"/>
      <c r="DL9" s="324"/>
      <c r="DM9" s="324"/>
      <c r="DN9" s="324"/>
      <c r="DO9" s="324"/>
      <c r="DP9" s="324"/>
      <c r="DQ9" s="324"/>
      <c r="DR9" s="324"/>
      <c r="DS9" s="324"/>
      <c r="DT9" s="324"/>
      <c r="DU9" s="324"/>
      <c r="DV9" s="324"/>
      <c r="DW9" s="324"/>
      <c r="DX9" s="324"/>
      <c r="DY9" s="324"/>
      <c r="DZ9" s="324"/>
      <c r="EA9" s="324"/>
      <c r="EB9" s="324"/>
      <c r="EC9" s="324"/>
      <c r="ED9" s="324"/>
      <c r="EE9" s="324"/>
      <c r="EF9" s="324"/>
      <c r="EG9" s="324"/>
      <c r="EH9" s="324"/>
      <c r="EI9" s="324"/>
      <c r="EJ9" s="324"/>
      <c r="EK9" s="324"/>
      <c r="EL9" s="324"/>
      <c r="EM9" s="324"/>
      <c r="EN9" s="324"/>
      <c r="EO9" s="324"/>
      <c r="EP9" s="324"/>
      <c r="EQ9" s="324"/>
      <c r="ER9" s="324"/>
      <c r="ES9" s="324"/>
      <c r="ET9" s="324"/>
      <c r="EU9" s="324"/>
      <c r="EV9" s="324"/>
      <c r="EW9" s="324"/>
      <c r="EX9" s="324"/>
      <c r="EY9" s="324"/>
      <c r="EZ9" s="324"/>
      <c r="FA9" s="324"/>
      <c r="FB9" s="324"/>
      <c r="FC9" s="324"/>
      <c r="FD9" s="324"/>
      <c r="FE9" s="324"/>
      <c r="FF9" s="324"/>
      <c r="FG9" s="324"/>
      <c r="FH9" s="324"/>
      <c r="FI9" s="324"/>
      <c r="FJ9" s="324"/>
      <c r="FK9" s="324"/>
      <c r="FL9" s="324"/>
      <c r="FM9" s="324"/>
      <c r="FN9" s="324"/>
      <c r="FO9" s="324"/>
      <c r="FP9" s="324"/>
      <c r="FQ9" s="324"/>
      <c r="FR9" s="324"/>
      <c r="FS9" s="324"/>
      <c r="FT9" s="324"/>
      <c r="FU9" s="324"/>
      <c r="FV9" s="324"/>
      <c r="FW9" s="324"/>
      <c r="FX9" s="324"/>
      <c r="FY9" s="324"/>
      <c r="FZ9" s="324"/>
      <c r="GA9" s="324"/>
      <c r="GB9" s="324"/>
      <c r="GC9" s="324"/>
      <c r="GD9" s="324"/>
      <c r="GE9" s="324"/>
      <c r="GF9" s="324"/>
      <c r="GG9" s="324"/>
      <c r="GH9" s="324"/>
      <c r="GI9" s="324"/>
      <c r="GJ9" s="324"/>
      <c r="GK9" s="324"/>
      <c r="GL9" s="324"/>
      <c r="GM9" s="324"/>
      <c r="GN9" s="324"/>
      <c r="GO9" s="324"/>
      <c r="GP9" s="324"/>
      <c r="GQ9" s="324"/>
      <c r="GR9" s="324"/>
      <c r="GS9" s="324"/>
      <c r="GT9" s="324"/>
      <c r="GU9" s="324"/>
      <c r="GV9" s="324"/>
      <c r="GW9" s="324"/>
      <c r="GX9" s="324"/>
      <c r="GY9" s="324"/>
      <c r="GZ9" s="324"/>
      <c r="HA9" s="324"/>
      <c r="HB9" s="324"/>
      <c r="HC9" s="324"/>
      <c r="HD9" s="324"/>
      <c r="HE9" s="324"/>
      <c r="HF9" s="324"/>
      <c r="HG9" s="324"/>
      <c r="HH9" s="324"/>
      <c r="HI9" s="324"/>
      <c r="HJ9" s="324"/>
      <c r="HK9" s="324"/>
      <c r="HL9" s="324"/>
      <c r="HM9" s="324"/>
      <c r="HN9" s="324"/>
      <c r="HO9" s="324"/>
      <c r="HP9" s="324"/>
      <c r="HQ9" s="324"/>
      <c r="HR9" s="324"/>
      <c r="HS9" s="324"/>
      <c r="HT9" s="324"/>
      <c r="HU9" s="324"/>
      <c r="HV9" s="324"/>
      <c r="HW9" s="324"/>
      <c r="HX9" s="324"/>
      <c r="HY9" s="324"/>
      <c r="HZ9" s="324"/>
      <c r="IA9" s="324"/>
      <c r="IB9" s="324"/>
      <c r="IC9" s="324"/>
      <c r="ID9" s="324"/>
      <c r="IE9" s="324"/>
      <c r="IF9" s="324"/>
      <c r="IG9" s="324"/>
      <c r="IH9" s="324"/>
      <c r="II9" s="324"/>
      <c r="IJ9" s="324"/>
      <c r="IK9" s="324"/>
      <c r="IL9" s="324"/>
      <c r="IM9" s="324"/>
    </row>
    <row r="10" spans="1:247" x14ac:dyDescent="0.35">
      <c r="A10" s="356">
        <v>1431</v>
      </c>
      <c r="B10" s="357" t="s">
        <v>17</v>
      </c>
      <c r="C10" s="172" t="s">
        <v>8</v>
      </c>
      <c r="D10" s="358" t="s">
        <v>2053</v>
      </c>
      <c r="E10" s="336">
        <f t="shared" ref="E10:E15" si="2">+$E$3</f>
        <v>1.0740000000000001</v>
      </c>
      <c r="F10" s="331">
        <f t="shared" si="0"/>
        <v>1.0209999999999999</v>
      </c>
      <c r="G10" s="337">
        <f t="shared" ref="G10:G16" si="3">+$G$3</f>
        <v>1.0269999999999999</v>
      </c>
      <c r="H10" s="336">
        <f>+$H$3</f>
        <v>1.0029999999999999</v>
      </c>
      <c r="I10" s="338">
        <f>+$I$3</f>
        <v>1.0289999999999999</v>
      </c>
      <c r="J10" s="338">
        <f>+$J$3</f>
        <v>1.0049999999999999</v>
      </c>
      <c r="K10" s="338">
        <f>+$K$3</f>
        <v>1.026</v>
      </c>
      <c r="L10" s="338">
        <f>+$L$3</f>
        <v>1.0129999999999999</v>
      </c>
      <c r="M10" s="338">
        <f>+$M$3</f>
        <v>1.0029999999999999</v>
      </c>
      <c r="N10" s="337">
        <f>+$N$3</f>
        <v>1.0029999999999999</v>
      </c>
      <c r="O10" s="339">
        <f>+$O$3</f>
        <v>1.0209999999999999</v>
      </c>
      <c r="P10" s="336">
        <f t="shared" ref="P10:P16" si="4">+$P$3</f>
        <v>1.032</v>
      </c>
      <c r="Q10" s="337">
        <f t="shared" ref="Q10:Q16" si="5">+$Q$3</f>
        <v>1.0349999999999999</v>
      </c>
      <c r="R10" s="340">
        <f t="shared" si="1"/>
        <v>1.3319480854780448</v>
      </c>
      <c r="S10" s="324"/>
      <c r="T10" s="324"/>
      <c r="U10" s="324"/>
      <c r="V10" s="324"/>
      <c r="W10" s="324"/>
      <c r="X10" s="324"/>
      <c r="Y10" s="324"/>
      <c r="Z10" s="324"/>
      <c r="AA10" s="324"/>
      <c r="AB10" s="324"/>
      <c r="AC10" s="324"/>
      <c r="AD10" s="324"/>
      <c r="AE10" s="324"/>
      <c r="AF10" s="324"/>
      <c r="AG10" s="324"/>
      <c r="AH10" s="324"/>
      <c r="AI10" s="324"/>
      <c r="AJ10" s="324"/>
      <c r="AK10" s="324"/>
      <c r="AL10" s="324"/>
      <c r="AM10" s="324"/>
      <c r="AN10" s="324"/>
      <c r="AO10" s="324"/>
      <c r="AP10" s="324"/>
      <c r="AQ10" s="324"/>
      <c r="AR10" s="324"/>
      <c r="AS10" s="324"/>
      <c r="AT10" s="324"/>
      <c r="AU10" s="324"/>
      <c r="AV10" s="324"/>
      <c r="AW10" s="324"/>
      <c r="AX10" s="324"/>
      <c r="AY10" s="324"/>
      <c r="AZ10" s="324"/>
      <c r="BA10" s="324"/>
      <c r="BB10" s="324"/>
      <c r="BC10" s="324"/>
      <c r="BD10" s="324"/>
      <c r="BE10" s="324"/>
      <c r="BF10" s="324"/>
      <c r="BG10" s="324"/>
      <c r="BH10" s="324"/>
      <c r="BI10" s="324"/>
      <c r="BJ10" s="324"/>
      <c r="BK10" s="324"/>
      <c r="BL10" s="324"/>
      <c r="BM10" s="324"/>
      <c r="BN10" s="324"/>
      <c r="BO10" s="324"/>
      <c r="BP10" s="324"/>
      <c r="BQ10" s="324"/>
      <c r="BR10" s="324"/>
      <c r="BS10" s="324"/>
      <c r="BT10" s="324"/>
      <c r="BU10" s="324"/>
      <c r="BV10" s="324"/>
      <c r="BW10" s="324"/>
      <c r="BX10" s="324"/>
      <c r="BY10" s="324"/>
      <c r="BZ10" s="324"/>
      <c r="CA10" s="324"/>
      <c r="CB10" s="324"/>
      <c r="CC10" s="324"/>
      <c r="CD10" s="324"/>
      <c r="CE10" s="324"/>
      <c r="CF10" s="324"/>
      <c r="CG10" s="324"/>
      <c r="CH10" s="324"/>
      <c r="CI10" s="324"/>
      <c r="CJ10" s="324"/>
      <c r="CK10" s="324"/>
      <c r="CL10" s="324"/>
      <c r="CM10" s="324"/>
      <c r="CN10" s="324"/>
      <c r="CO10" s="324"/>
      <c r="CP10" s="324"/>
      <c r="CQ10" s="324"/>
      <c r="CR10" s="324"/>
      <c r="CS10" s="324"/>
      <c r="CT10" s="324"/>
      <c r="CU10" s="324"/>
      <c r="CV10" s="324"/>
      <c r="CW10" s="324"/>
      <c r="CX10" s="324"/>
      <c r="CY10" s="324"/>
      <c r="CZ10" s="324"/>
      <c r="DA10" s="324"/>
      <c r="DB10" s="324"/>
      <c r="DC10" s="324"/>
      <c r="DD10" s="324"/>
      <c r="DE10" s="324"/>
      <c r="DF10" s="324"/>
      <c r="DG10" s="324"/>
      <c r="DH10" s="324"/>
      <c r="DI10" s="324"/>
      <c r="DJ10" s="324"/>
      <c r="DK10" s="324"/>
      <c r="DL10" s="324"/>
      <c r="DM10" s="324"/>
      <c r="DN10" s="324"/>
      <c r="DO10" s="324"/>
      <c r="DP10" s="324"/>
      <c r="DQ10" s="324"/>
      <c r="DR10" s="324"/>
      <c r="DS10" s="324"/>
      <c r="DT10" s="324"/>
      <c r="DU10" s="324"/>
      <c r="DV10" s="324"/>
      <c r="DW10" s="324"/>
      <c r="DX10" s="324"/>
      <c r="DY10" s="324"/>
      <c r="DZ10" s="324"/>
      <c r="EA10" s="324"/>
      <c r="EB10" s="324"/>
      <c r="EC10" s="324"/>
      <c r="ED10" s="324"/>
      <c r="EE10" s="324"/>
      <c r="EF10" s="324"/>
      <c r="EG10" s="324"/>
      <c r="EH10" s="324"/>
      <c r="EI10" s="324"/>
      <c r="EJ10" s="324"/>
      <c r="EK10" s="324"/>
      <c r="EL10" s="324"/>
      <c r="EM10" s="324"/>
      <c r="EN10" s="324"/>
      <c r="EO10" s="324"/>
      <c r="EP10" s="324"/>
      <c r="EQ10" s="324"/>
      <c r="ER10" s="324"/>
      <c r="ES10" s="324"/>
      <c r="ET10" s="324"/>
      <c r="EU10" s="324"/>
      <c r="EV10" s="324"/>
      <c r="EW10" s="324"/>
      <c r="EX10" s="324"/>
      <c r="EY10" s="324"/>
      <c r="EZ10" s="324"/>
      <c r="FA10" s="324"/>
      <c r="FB10" s="324"/>
      <c r="FC10" s="324"/>
      <c r="FD10" s="324"/>
      <c r="FE10" s="324"/>
      <c r="FF10" s="324"/>
      <c r="FG10" s="324"/>
      <c r="FH10" s="324"/>
      <c r="FI10" s="324"/>
      <c r="FJ10" s="324"/>
      <c r="FK10" s="324"/>
      <c r="FL10" s="324"/>
      <c r="FM10" s="324"/>
      <c r="FN10" s="324"/>
      <c r="FO10" s="324"/>
      <c r="FP10" s="324"/>
      <c r="FQ10" s="324"/>
      <c r="FR10" s="324"/>
      <c r="FS10" s="324"/>
      <c r="FT10" s="324"/>
      <c r="FU10" s="324"/>
      <c r="FV10" s="324"/>
      <c r="FW10" s="324"/>
      <c r="FX10" s="324"/>
      <c r="FY10" s="324"/>
      <c r="FZ10" s="324"/>
      <c r="GA10" s="324"/>
      <c r="GB10" s="324"/>
      <c r="GC10" s="324"/>
      <c r="GD10" s="324"/>
      <c r="GE10" s="324"/>
      <c r="GF10" s="324"/>
      <c r="GG10" s="324"/>
      <c r="GH10" s="324"/>
      <c r="GI10" s="324"/>
      <c r="GJ10" s="324"/>
      <c r="GK10" s="324"/>
      <c r="GL10" s="324"/>
      <c r="GM10" s="324"/>
      <c r="GN10" s="324"/>
      <c r="GO10" s="324"/>
      <c r="GP10" s="324"/>
      <c r="GQ10" s="324"/>
      <c r="GR10" s="324"/>
      <c r="GS10" s="324"/>
      <c r="GT10" s="324"/>
      <c r="GU10" s="324"/>
      <c r="GV10" s="324"/>
      <c r="GW10" s="324"/>
      <c r="GX10" s="324"/>
      <c r="GY10" s="324"/>
      <c r="GZ10" s="324"/>
      <c r="HA10" s="324"/>
      <c r="HB10" s="324"/>
      <c r="HC10" s="324"/>
      <c r="HD10" s="324"/>
      <c r="HE10" s="324"/>
      <c r="HF10" s="324"/>
      <c r="HG10" s="324"/>
      <c r="HH10" s="324"/>
      <c r="HI10" s="324"/>
      <c r="HJ10" s="324"/>
      <c r="HK10" s="324"/>
      <c r="HL10" s="324"/>
      <c r="HM10" s="324"/>
      <c r="HN10" s="324"/>
      <c r="HO10" s="324"/>
      <c r="HP10" s="324"/>
      <c r="HQ10" s="324"/>
      <c r="HR10" s="324"/>
      <c r="HS10" s="324"/>
      <c r="HT10" s="324"/>
      <c r="HU10" s="324"/>
      <c r="HV10" s="324"/>
      <c r="HW10" s="324"/>
      <c r="HX10" s="324"/>
      <c r="HY10" s="324"/>
      <c r="HZ10" s="324"/>
      <c r="IA10" s="324"/>
      <c r="IB10" s="324"/>
      <c r="IC10" s="324"/>
      <c r="ID10" s="324"/>
      <c r="IE10" s="324"/>
      <c r="IF10" s="324"/>
      <c r="IG10" s="324"/>
      <c r="IH10" s="324"/>
      <c r="II10" s="324"/>
      <c r="IJ10" s="324"/>
      <c r="IK10" s="324"/>
      <c r="IL10" s="324"/>
      <c r="IM10" s="324"/>
    </row>
    <row r="11" spans="1:247" x14ac:dyDescent="0.35">
      <c r="A11" s="356">
        <v>1441</v>
      </c>
      <c r="B11" s="357" t="s">
        <v>18</v>
      </c>
      <c r="C11" s="172" t="s">
        <v>8</v>
      </c>
      <c r="D11" s="358" t="s">
        <v>2053</v>
      </c>
      <c r="E11" s="336">
        <f t="shared" si="2"/>
        <v>1.0740000000000001</v>
      </c>
      <c r="F11" s="331">
        <f t="shared" si="0"/>
        <v>1.0209999999999999</v>
      </c>
      <c r="G11" s="337">
        <f t="shared" si="3"/>
        <v>1.0269999999999999</v>
      </c>
      <c r="H11" s="336">
        <f>+$H$3</f>
        <v>1.0029999999999999</v>
      </c>
      <c r="I11" s="338">
        <f>+$I$3</f>
        <v>1.0289999999999999</v>
      </c>
      <c r="J11" s="338">
        <f>+$J$3</f>
        <v>1.0049999999999999</v>
      </c>
      <c r="K11" s="338">
        <f>+$K$3</f>
        <v>1.026</v>
      </c>
      <c r="L11" s="338">
        <f>+$L$3</f>
        <v>1.0129999999999999</v>
      </c>
      <c r="M11" s="338">
        <f>+$M$3</f>
        <v>1.0029999999999999</v>
      </c>
      <c r="N11" s="337">
        <f>+$N$3</f>
        <v>1.0029999999999999</v>
      </c>
      <c r="O11" s="339">
        <f>+$O$3</f>
        <v>1.0209999999999999</v>
      </c>
      <c r="P11" s="336">
        <f t="shared" si="4"/>
        <v>1.032</v>
      </c>
      <c r="Q11" s="337">
        <f t="shared" si="5"/>
        <v>1.0349999999999999</v>
      </c>
      <c r="R11" s="340">
        <f t="shared" si="1"/>
        <v>1.3319480854780448</v>
      </c>
      <c r="S11" s="324"/>
      <c r="T11" s="324"/>
      <c r="U11" s="324"/>
      <c r="V11" s="324"/>
      <c r="W11" s="324"/>
      <c r="X11" s="324"/>
      <c r="Y11" s="324"/>
      <c r="Z11" s="324"/>
      <c r="AA11" s="324"/>
      <c r="AB11" s="324"/>
      <c r="AC11" s="324"/>
      <c r="AD11" s="324"/>
      <c r="AE11" s="324"/>
      <c r="AF11" s="324"/>
      <c r="AG11" s="324"/>
      <c r="AH11" s="324"/>
      <c r="AI11" s="324"/>
      <c r="AJ11" s="324"/>
      <c r="AK11" s="324"/>
      <c r="AL11" s="324"/>
      <c r="AM11" s="324"/>
      <c r="AN11" s="324"/>
      <c r="AO11" s="324"/>
      <c r="AP11" s="324"/>
      <c r="AQ11" s="324"/>
      <c r="AR11" s="324"/>
      <c r="AS11" s="324"/>
      <c r="AT11" s="324"/>
      <c r="AU11" s="324"/>
      <c r="AV11" s="324"/>
      <c r="AW11" s="324"/>
      <c r="AX11" s="324"/>
      <c r="AY11" s="324"/>
      <c r="AZ11" s="324"/>
      <c r="BA11" s="324"/>
      <c r="BB11" s="324"/>
      <c r="BC11" s="324"/>
      <c r="BD11" s="324"/>
      <c r="BE11" s="324"/>
      <c r="BF11" s="324"/>
      <c r="BG11" s="324"/>
      <c r="BH11" s="324"/>
      <c r="BI11" s="324"/>
      <c r="BJ11" s="324"/>
      <c r="BK11" s="324"/>
      <c r="BL11" s="324"/>
      <c r="BM11" s="324"/>
      <c r="BN11" s="324"/>
      <c r="BO11" s="324"/>
      <c r="BP11" s="324"/>
      <c r="BQ11" s="324"/>
      <c r="BR11" s="324"/>
      <c r="BS11" s="324"/>
      <c r="BT11" s="324"/>
      <c r="BU11" s="324"/>
      <c r="BV11" s="324"/>
      <c r="BW11" s="324"/>
      <c r="BX11" s="324"/>
      <c r="BY11" s="324"/>
      <c r="BZ11" s="324"/>
      <c r="CA11" s="324"/>
      <c r="CB11" s="324"/>
      <c r="CC11" s="324"/>
      <c r="CD11" s="324"/>
      <c r="CE11" s="324"/>
      <c r="CF11" s="324"/>
      <c r="CG11" s="324"/>
      <c r="CH11" s="324"/>
      <c r="CI11" s="324"/>
      <c r="CJ11" s="324"/>
      <c r="CK11" s="324"/>
      <c r="CL11" s="324"/>
      <c r="CM11" s="324"/>
      <c r="CN11" s="324"/>
      <c r="CO11" s="324"/>
      <c r="CP11" s="324"/>
      <c r="CQ11" s="324"/>
      <c r="CR11" s="324"/>
      <c r="CS11" s="324"/>
      <c r="CT11" s="324"/>
      <c r="CU11" s="324"/>
      <c r="CV11" s="324"/>
      <c r="CW11" s="324"/>
      <c r="CX11" s="324"/>
      <c r="CY11" s="324"/>
      <c r="CZ11" s="324"/>
      <c r="DA11" s="324"/>
      <c r="DB11" s="324"/>
      <c r="DC11" s="324"/>
      <c r="DD11" s="324"/>
      <c r="DE11" s="324"/>
      <c r="DF11" s="324"/>
      <c r="DG11" s="324"/>
      <c r="DH11" s="324"/>
      <c r="DI11" s="324"/>
      <c r="DJ11" s="324"/>
      <c r="DK11" s="324"/>
      <c r="DL11" s="324"/>
      <c r="DM11" s="324"/>
      <c r="DN11" s="324"/>
      <c r="DO11" s="324"/>
      <c r="DP11" s="324"/>
      <c r="DQ11" s="324"/>
      <c r="DR11" s="324"/>
      <c r="DS11" s="324"/>
      <c r="DT11" s="324"/>
      <c r="DU11" s="324"/>
      <c r="DV11" s="324"/>
      <c r="DW11" s="324"/>
      <c r="DX11" s="324"/>
      <c r="DY11" s="324"/>
      <c r="DZ11" s="324"/>
      <c r="EA11" s="324"/>
      <c r="EB11" s="324"/>
      <c r="EC11" s="324"/>
      <c r="ED11" s="324"/>
      <c r="EE11" s="324"/>
      <c r="EF11" s="324"/>
      <c r="EG11" s="324"/>
      <c r="EH11" s="324"/>
      <c r="EI11" s="324"/>
      <c r="EJ11" s="324"/>
      <c r="EK11" s="324"/>
      <c r="EL11" s="324"/>
      <c r="EM11" s="324"/>
      <c r="EN11" s="324"/>
      <c r="EO11" s="324"/>
      <c r="EP11" s="324"/>
      <c r="EQ11" s="324"/>
      <c r="ER11" s="324"/>
      <c r="ES11" s="324"/>
      <c r="ET11" s="324"/>
      <c r="EU11" s="324"/>
      <c r="EV11" s="324"/>
      <c r="EW11" s="324"/>
      <c r="EX11" s="324"/>
      <c r="EY11" s="324"/>
      <c r="EZ11" s="324"/>
      <c r="FA11" s="324"/>
      <c r="FB11" s="324"/>
      <c r="FC11" s="324"/>
      <c r="FD11" s="324"/>
      <c r="FE11" s="324"/>
      <c r="FF11" s="324"/>
      <c r="FG11" s="324"/>
      <c r="FH11" s="324"/>
      <c r="FI11" s="324"/>
      <c r="FJ11" s="324"/>
      <c r="FK11" s="324"/>
      <c r="FL11" s="324"/>
      <c r="FM11" s="324"/>
      <c r="FN11" s="324"/>
      <c r="FO11" s="324"/>
      <c r="FP11" s="324"/>
      <c r="FQ11" s="324"/>
      <c r="FR11" s="324"/>
      <c r="FS11" s="324"/>
      <c r="FT11" s="324"/>
      <c r="FU11" s="324"/>
      <c r="FV11" s="324"/>
      <c r="FW11" s="324"/>
      <c r="FX11" s="324"/>
      <c r="FY11" s="324"/>
      <c r="FZ11" s="324"/>
      <c r="GA11" s="324"/>
      <c r="GB11" s="324"/>
      <c r="GC11" s="324"/>
      <c r="GD11" s="324"/>
      <c r="GE11" s="324"/>
      <c r="GF11" s="324"/>
      <c r="GG11" s="324"/>
      <c r="GH11" s="324"/>
      <c r="GI11" s="324"/>
      <c r="GJ11" s="324"/>
      <c r="GK11" s="324"/>
      <c r="GL11" s="324"/>
      <c r="GM11" s="324"/>
      <c r="GN11" s="324"/>
      <c r="GO11" s="324"/>
      <c r="GP11" s="324"/>
      <c r="GQ11" s="324"/>
      <c r="GR11" s="324"/>
      <c r="GS11" s="324"/>
      <c r="GT11" s="324"/>
      <c r="GU11" s="324"/>
      <c r="GV11" s="324"/>
      <c r="GW11" s="324"/>
      <c r="GX11" s="324"/>
      <c r="GY11" s="324"/>
      <c r="GZ11" s="324"/>
      <c r="HA11" s="324"/>
      <c r="HB11" s="324"/>
      <c r="HC11" s="324"/>
      <c r="HD11" s="324"/>
      <c r="HE11" s="324"/>
      <c r="HF11" s="324"/>
      <c r="HG11" s="324"/>
      <c r="HH11" s="324"/>
      <c r="HI11" s="324"/>
      <c r="HJ11" s="324"/>
      <c r="HK11" s="324"/>
      <c r="HL11" s="324"/>
      <c r="HM11" s="324"/>
      <c r="HN11" s="324"/>
      <c r="HO11" s="324"/>
      <c r="HP11" s="324"/>
      <c r="HQ11" s="324"/>
      <c r="HR11" s="324"/>
      <c r="HS11" s="324"/>
      <c r="HT11" s="324"/>
      <c r="HU11" s="324"/>
      <c r="HV11" s="324"/>
      <c r="HW11" s="324"/>
      <c r="HX11" s="324"/>
      <c r="HY11" s="324"/>
      <c r="HZ11" s="324"/>
      <c r="IA11" s="324"/>
      <c r="IB11" s="324"/>
      <c r="IC11" s="324"/>
      <c r="ID11" s="324"/>
      <c r="IE11" s="324"/>
      <c r="IF11" s="324"/>
      <c r="IG11" s="324"/>
      <c r="IH11" s="324"/>
      <c r="II11" s="324"/>
      <c r="IJ11" s="324"/>
      <c r="IK11" s="324"/>
      <c r="IL11" s="324"/>
      <c r="IM11" s="324"/>
    </row>
    <row r="12" spans="1:247" x14ac:dyDescent="0.35">
      <c r="A12" s="356">
        <v>1442</v>
      </c>
      <c r="B12" s="357" t="s">
        <v>19</v>
      </c>
      <c r="C12" s="172" t="s">
        <v>8</v>
      </c>
      <c r="D12" s="358" t="s">
        <v>2053</v>
      </c>
      <c r="E12" s="336">
        <f t="shared" si="2"/>
        <v>1.0740000000000001</v>
      </c>
      <c r="F12" s="331">
        <f t="shared" si="0"/>
        <v>1.0209999999999999</v>
      </c>
      <c r="G12" s="337">
        <f t="shared" si="3"/>
        <v>1.0269999999999999</v>
      </c>
      <c r="H12" s="336">
        <f>+$H$3</f>
        <v>1.0029999999999999</v>
      </c>
      <c r="I12" s="338">
        <f>+$I$3</f>
        <v>1.0289999999999999</v>
      </c>
      <c r="J12" s="338">
        <f>+$J$3</f>
        <v>1.0049999999999999</v>
      </c>
      <c r="K12" s="338">
        <f>+$K$3</f>
        <v>1.026</v>
      </c>
      <c r="L12" s="338">
        <f>+$L$3</f>
        <v>1.0129999999999999</v>
      </c>
      <c r="M12" s="338">
        <f>+$M$3</f>
        <v>1.0029999999999999</v>
      </c>
      <c r="N12" s="337">
        <f>+$N$3</f>
        <v>1.0029999999999999</v>
      </c>
      <c r="O12" s="339">
        <f>+$O$3</f>
        <v>1.0209999999999999</v>
      </c>
      <c r="P12" s="336">
        <f t="shared" si="4"/>
        <v>1.032</v>
      </c>
      <c r="Q12" s="337">
        <f t="shared" si="5"/>
        <v>1.0349999999999999</v>
      </c>
      <c r="R12" s="340">
        <f t="shared" si="1"/>
        <v>1.3319480854780448</v>
      </c>
      <c r="S12" s="324"/>
      <c r="T12" s="324"/>
      <c r="U12" s="324"/>
      <c r="V12" s="324"/>
      <c r="W12" s="324"/>
      <c r="X12" s="324"/>
      <c r="Y12" s="324"/>
      <c r="Z12" s="324"/>
      <c r="AA12" s="324"/>
      <c r="AB12" s="324"/>
      <c r="AC12" s="324"/>
      <c r="AD12" s="324"/>
      <c r="AE12" s="324"/>
      <c r="AF12" s="324"/>
      <c r="AG12" s="324"/>
      <c r="AH12" s="324"/>
      <c r="AI12" s="324"/>
      <c r="AJ12" s="324"/>
      <c r="AK12" s="324"/>
      <c r="AL12" s="324"/>
      <c r="AM12" s="324"/>
      <c r="AN12" s="324"/>
      <c r="AO12" s="324"/>
      <c r="AP12" s="324"/>
      <c r="AQ12" s="324"/>
      <c r="AR12" s="324"/>
      <c r="AS12" s="324"/>
      <c r="AT12" s="324"/>
      <c r="AU12" s="324"/>
      <c r="AV12" s="324"/>
      <c r="AW12" s="324"/>
      <c r="AX12" s="324"/>
      <c r="AY12" s="324"/>
      <c r="AZ12" s="324"/>
      <c r="BA12" s="324"/>
      <c r="BB12" s="324"/>
      <c r="BC12" s="324"/>
      <c r="BD12" s="324"/>
      <c r="BE12" s="324"/>
      <c r="BF12" s="324"/>
      <c r="BG12" s="324"/>
      <c r="BH12" s="324"/>
      <c r="BI12" s="324"/>
      <c r="BJ12" s="324"/>
      <c r="BK12" s="324"/>
      <c r="BL12" s="324"/>
      <c r="BM12" s="324"/>
      <c r="BN12" s="324"/>
      <c r="BO12" s="324"/>
      <c r="BP12" s="324"/>
      <c r="BQ12" s="324"/>
      <c r="BR12" s="324"/>
      <c r="BS12" s="324"/>
      <c r="BT12" s="324"/>
      <c r="BU12" s="324"/>
      <c r="BV12" s="324"/>
      <c r="BW12" s="324"/>
      <c r="BX12" s="324"/>
      <c r="BY12" s="324"/>
      <c r="BZ12" s="324"/>
      <c r="CA12" s="324"/>
      <c r="CB12" s="324"/>
      <c r="CC12" s="324"/>
      <c r="CD12" s="324"/>
      <c r="CE12" s="324"/>
      <c r="CF12" s="324"/>
      <c r="CG12" s="324"/>
      <c r="CH12" s="324"/>
      <c r="CI12" s="324"/>
      <c r="CJ12" s="324"/>
      <c r="CK12" s="324"/>
      <c r="CL12" s="324"/>
      <c r="CM12" s="324"/>
      <c r="CN12" s="324"/>
      <c r="CO12" s="324"/>
      <c r="CP12" s="324"/>
      <c r="CQ12" s="324"/>
      <c r="CR12" s="324"/>
      <c r="CS12" s="324"/>
      <c r="CT12" s="324"/>
      <c r="CU12" s="324"/>
      <c r="CV12" s="324"/>
      <c r="CW12" s="324"/>
      <c r="CX12" s="324"/>
      <c r="CY12" s="324"/>
      <c r="CZ12" s="324"/>
      <c r="DA12" s="324"/>
      <c r="DB12" s="324"/>
      <c r="DC12" s="324"/>
      <c r="DD12" s="324"/>
      <c r="DE12" s="324"/>
      <c r="DF12" s="324"/>
      <c r="DG12" s="324"/>
      <c r="DH12" s="324"/>
      <c r="DI12" s="324"/>
      <c r="DJ12" s="324"/>
      <c r="DK12" s="324"/>
      <c r="DL12" s="324"/>
      <c r="DM12" s="324"/>
      <c r="DN12" s="324"/>
      <c r="DO12" s="324"/>
      <c r="DP12" s="324"/>
      <c r="DQ12" s="324"/>
      <c r="DR12" s="324"/>
      <c r="DS12" s="324"/>
      <c r="DT12" s="324"/>
      <c r="DU12" s="324"/>
      <c r="DV12" s="324"/>
      <c r="DW12" s="324"/>
      <c r="DX12" s="324"/>
      <c r="DY12" s="324"/>
      <c r="DZ12" s="324"/>
      <c r="EA12" s="324"/>
      <c r="EB12" s="324"/>
      <c r="EC12" s="324"/>
      <c r="ED12" s="324"/>
      <c r="EE12" s="324"/>
      <c r="EF12" s="324"/>
      <c r="EG12" s="324"/>
      <c r="EH12" s="324"/>
      <c r="EI12" s="324"/>
      <c r="EJ12" s="324"/>
      <c r="EK12" s="324"/>
      <c r="EL12" s="324"/>
      <c r="EM12" s="324"/>
      <c r="EN12" s="324"/>
      <c r="EO12" s="324"/>
      <c r="EP12" s="324"/>
      <c r="EQ12" s="324"/>
      <c r="ER12" s="324"/>
      <c r="ES12" s="324"/>
      <c r="ET12" s="324"/>
      <c r="EU12" s="324"/>
      <c r="EV12" s="324"/>
      <c r="EW12" s="324"/>
      <c r="EX12" s="324"/>
      <c r="EY12" s="324"/>
      <c r="EZ12" s="324"/>
      <c r="FA12" s="324"/>
      <c r="FB12" s="324"/>
      <c r="FC12" s="324"/>
      <c r="FD12" s="324"/>
      <c r="FE12" s="324"/>
      <c r="FF12" s="324"/>
      <c r="FG12" s="324"/>
      <c r="FH12" s="324"/>
      <c r="FI12" s="324"/>
      <c r="FJ12" s="324"/>
      <c r="FK12" s="324"/>
      <c r="FL12" s="324"/>
      <c r="FM12" s="324"/>
      <c r="FN12" s="324"/>
      <c r="FO12" s="324"/>
      <c r="FP12" s="324"/>
      <c r="FQ12" s="324"/>
      <c r="FR12" s="324"/>
      <c r="FS12" s="324"/>
      <c r="FT12" s="324"/>
      <c r="FU12" s="324"/>
      <c r="FV12" s="324"/>
      <c r="FW12" s="324"/>
      <c r="FX12" s="324"/>
      <c r="FY12" s="324"/>
      <c r="FZ12" s="324"/>
      <c r="GA12" s="324"/>
      <c r="GB12" s="324"/>
      <c r="GC12" s="324"/>
      <c r="GD12" s="324"/>
      <c r="GE12" s="324"/>
      <c r="GF12" s="324"/>
      <c r="GG12" s="324"/>
      <c r="GH12" s="324"/>
      <c r="GI12" s="324"/>
      <c r="GJ12" s="324"/>
      <c r="GK12" s="324"/>
      <c r="GL12" s="324"/>
      <c r="GM12" s="324"/>
      <c r="GN12" s="324"/>
      <c r="GO12" s="324"/>
      <c r="GP12" s="324"/>
      <c r="GQ12" s="324"/>
      <c r="GR12" s="324"/>
      <c r="GS12" s="324"/>
      <c r="GT12" s="324"/>
      <c r="GU12" s="324"/>
      <c r="GV12" s="324"/>
      <c r="GW12" s="324"/>
      <c r="GX12" s="324"/>
      <c r="GY12" s="324"/>
      <c r="GZ12" s="324"/>
      <c r="HA12" s="324"/>
      <c r="HB12" s="324"/>
      <c r="HC12" s="324"/>
      <c r="HD12" s="324"/>
      <c r="HE12" s="324"/>
      <c r="HF12" s="324"/>
      <c r="HG12" s="324"/>
      <c r="HH12" s="324"/>
      <c r="HI12" s="324"/>
      <c r="HJ12" s="324"/>
      <c r="HK12" s="324"/>
      <c r="HL12" s="324"/>
      <c r="HM12" s="324"/>
      <c r="HN12" s="324"/>
      <c r="HO12" s="324"/>
      <c r="HP12" s="324"/>
      <c r="HQ12" s="324"/>
      <c r="HR12" s="324"/>
      <c r="HS12" s="324"/>
      <c r="HT12" s="324"/>
      <c r="HU12" s="324"/>
      <c r="HV12" s="324"/>
      <c r="HW12" s="324"/>
      <c r="HX12" s="324"/>
      <c r="HY12" s="324"/>
      <c r="HZ12" s="324"/>
      <c r="IA12" s="324"/>
      <c r="IB12" s="324"/>
      <c r="IC12" s="324"/>
      <c r="ID12" s="324"/>
      <c r="IE12" s="324"/>
      <c r="IF12" s="324"/>
      <c r="IG12" s="324"/>
      <c r="IH12" s="324"/>
      <c r="II12" s="324"/>
      <c r="IJ12" s="324"/>
      <c r="IK12" s="324"/>
      <c r="IL12" s="324"/>
      <c r="IM12" s="324"/>
    </row>
    <row r="13" spans="1:247" x14ac:dyDescent="0.35">
      <c r="A13" s="356">
        <v>1443</v>
      </c>
      <c r="B13" s="357" t="s">
        <v>20</v>
      </c>
      <c r="C13" s="172" t="s">
        <v>8</v>
      </c>
      <c r="D13" s="358" t="s">
        <v>2053</v>
      </c>
      <c r="E13" s="336">
        <f t="shared" si="2"/>
        <v>1.0740000000000001</v>
      </c>
      <c r="F13" s="331">
        <f t="shared" si="0"/>
        <v>1.0209999999999999</v>
      </c>
      <c r="G13" s="337">
        <f t="shared" si="3"/>
        <v>1.0269999999999999</v>
      </c>
      <c r="H13" s="336">
        <f>+$H$3</f>
        <v>1.0029999999999999</v>
      </c>
      <c r="I13" s="338">
        <f>+$I$3</f>
        <v>1.0289999999999999</v>
      </c>
      <c r="J13" s="338">
        <f>+$J$3</f>
        <v>1.0049999999999999</v>
      </c>
      <c r="K13" s="338"/>
      <c r="L13" s="338"/>
      <c r="M13" s="338">
        <f>+$M$3</f>
        <v>1.0029999999999999</v>
      </c>
      <c r="N13" s="337">
        <f>+$N$3</f>
        <v>1.0029999999999999</v>
      </c>
      <c r="O13" s="339"/>
      <c r="P13" s="336">
        <f t="shared" si="4"/>
        <v>1.032</v>
      </c>
      <c r="Q13" s="337">
        <f t="shared" si="5"/>
        <v>1.0349999999999999</v>
      </c>
      <c r="R13" s="340">
        <f t="shared" si="1"/>
        <v>1.2551763558420395</v>
      </c>
      <c r="S13" s="324"/>
      <c r="T13" s="324"/>
      <c r="U13" s="324"/>
      <c r="V13" s="324"/>
      <c r="W13" s="324"/>
      <c r="X13" s="324"/>
      <c r="Y13" s="324"/>
      <c r="Z13" s="324"/>
      <c r="AA13" s="324"/>
      <c r="AB13" s="324"/>
      <c r="AC13" s="324"/>
      <c r="AD13" s="324"/>
      <c r="AE13" s="324"/>
      <c r="AF13" s="324"/>
      <c r="AG13" s="324"/>
      <c r="AH13" s="324"/>
      <c r="AI13" s="324"/>
      <c r="AJ13" s="324"/>
      <c r="AK13" s="324"/>
      <c r="AL13" s="324"/>
      <c r="AM13" s="324"/>
      <c r="AN13" s="324"/>
      <c r="AO13" s="324"/>
      <c r="AP13" s="324"/>
      <c r="AQ13" s="324"/>
      <c r="AR13" s="324"/>
      <c r="AS13" s="324"/>
      <c r="AT13" s="324"/>
      <c r="AU13" s="324"/>
      <c r="AV13" s="324"/>
      <c r="AW13" s="324"/>
      <c r="AX13" s="324"/>
      <c r="AY13" s="324"/>
      <c r="AZ13" s="324"/>
      <c r="BA13" s="324"/>
      <c r="BB13" s="324"/>
      <c r="BC13" s="324"/>
      <c r="BD13" s="324"/>
      <c r="BE13" s="324"/>
      <c r="BF13" s="324"/>
      <c r="BG13" s="324"/>
      <c r="BH13" s="324"/>
      <c r="BI13" s="324"/>
      <c r="BJ13" s="324"/>
      <c r="BK13" s="324"/>
      <c r="BL13" s="324"/>
      <c r="BM13" s="324"/>
      <c r="BN13" s="324"/>
      <c r="BO13" s="324"/>
      <c r="BP13" s="324"/>
      <c r="BQ13" s="324"/>
      <c r="BR13" s="324"/>
      <c r="BS13" s="324"/>
      <c r="BT13" s="324"/>
      <c r="BU13" s="324"/>
      <c r="BV13" s="324"/>
      <c r="BW13" s="324"/>
      <c r="BX13" s="324"/>
      <c r="BY13" s="324"/>
      <c r="BZ13" s="324"/>
      <c r="CA13" s="324"/>
      <c r="CB13" s="324"/>
      <c r="CC13" s="324"/>
      <c r="CD13" s="324"/>
      <c r="CE13" s="324"/>
      <c r="CF13" s="324"/>
      <c r="CG13" s="324"/>
      <c r="CH13" s="324"/>
      <c r="CI13" s="324"/>
      <c r="CJ13" s="324"/>
      <c r="CK13" s="324"/>
      <c r="CL13" s="324"/>
      <c r="CM13" s="324"/>
      <c r="CN13" s="324"/>
      <c r="CO13" s="324"/>
      <c r="CP13" s="324"/>
      <c r="CQ13" s="324"/>
      <c r="CR13" s="324"/>
      <c r="CS13" s="324"/>
      <c r="CT13" s="324"/>
      <c r="CU13" s="324"/>
      <c r="CV13" s="324"/>
      <c r="CW13" s="324"/>
      <c r="CX13" s="324"/>
      <c r="CY13" s="324"/>
      <c r="CZ13" s="324"/>
      <c r="DA13" s="324"/>
      <c r="DB13" s="324"/>
      <c r="DC13" s="324"/>
      <c r="DD13" s="324"/>
      <c r="DE13" s="324"/>
      <c r="DF13" s="324"/>
      <c r="DG13" s="324"/>
      <c r="DH13" s="324"/>
      <c r="DI13" s="324"/>
      <c r="DJ13" s="324"/>
      <c r="DK13" s="324"/>
      <c r="DL13" s="324"/>
      <c r="DM13" s="324"/>
      <c r="DN13" s="324"/>
      <c r="DO13" s="324"/>
      <c r="DP13" s="324"/>
      <c r="DQ13" s="324"/>
      <c r="DR13" s="324"/>
      <c r="DS13" s="324"/>
      <c r="DT13" s="324"/>
      <c r="DU13" s="324"/>
      <c r="DV13" s="324"/>
      <c r="DW13" s="324"/>
      <c r="DX13" s="324"/>
      <c r="DY13" s="324"/>
      <c r="DZ13" s="324"/>
      <c r="EA13" s="324"/>
      <c r="EB13" s="324"/>
      <c r="EC13" s="324"/>
      <c r="ED13" s="324"/>
      <c r="EE13" s="324"/>
      <c r="EF13" s="324"/>
      <c r="EG13" s="324"/>
      <c r="EH13" s="324"/>
      <c r="EI13" s="324"/>
      <c r="EJ13" s="324"/>
      <c r="EK13" s="324"/>
      <c r="EL13" s="324"/>
      <c r="EM13" s="324"/>
      <c r="EN13" s="324"/>
      <c r="EO13" s="324"/>
      <c r="EP13" s="324"/>
      <c r="EQ13" s="324"/>
      <c r="ER13" s="324"/>
      <c r="ES13" s="324"/>
      <c r="ET13" s="324"/>
      <c r="EU13" s="324"/>
      <c r="EV13" s="324"/>
      <c r="EW13" s="324"/>
      <c r="EX13" s="324"/>
      <c r="EY13" s="324"/>
      <c r="EZ13" s="324"/>
      <c r="FA13" s="324"/>
      <c r="FB13" s="324"/>
      <c r="FC13" s="324"/>
      <c r="FD13" s="324"/>
      <c r="FE13" s="324"/>
      <c r="FF13" s="324"/>
      <c r="FG13" s="324"/>
      <c r="FH13" s="324"/>
      <c r="FI13" s="324"/>
      <c r="FJ13" s="324"/>
      <c r="FK13" s="324"/>
      <c r="FL13" s="324"/>
      <c r="FM13" s="324"/>
      <c r="FN13" s="324"/>
      <c r="FO13" s="324"/>
      <c r="FP13" s="324"/>
      <c r="FQ13" s="324"/>
      <c r="FR13" s="324"/>
      <c r="FS13" s="324"/>
      <c r="FT13" s="324"/>
      <c r="FU13" s="324"/>
      <c r="FV13" s="324"/>
      <c r="FW13" s="324"/>
      <c r="FX13" s="324"/>
      <c r="FY13" s="324"/>
      <c r="FZ13" s="324"/>
      <c r="GA13" s="324"/>
      <c r="GB13" s="324"/>
      <c r="GC13" s="324"/>
      <c r="GD13" s="324"/>
      <c r="GE13" s="324"/>
      <c r="GF13" s="324"/>
      <c r="GG13" s="324"/>
      <c r="GH13" s="324"/>
      <c r="GI13" s="324"/>
      <c r="GJ13" s="324"/>
      <c r="GK13" s="324"/>
      <c r="GL13" s="324"/>
      <c r="GM13" s="324"/>
      <c r="GN13" s="324"/>
      <c r="GO13" s="324"/>
      <c r="GP13" s="324"/>
      <c r="GQ13" s="324"/>
      <c r="GR13" s="324"/>
      <c r="GS13" s="324"/>
      <c r="GT13" s="324"/>
      <c r="GU13" s="324"/>
      <c r="GV13" s="324"/>
      <c r="GW13" s="324"/>
      <c r="GX13" s="324"/>
      <c r="GY13" s="324"/>
      <c r="GZ13" s="324"/>
      <c r="HA13" s="324"/>
      <c r="HB13" s="324"/>
      <c r="HC13" s="324"/>
      <c r="HD13" s="324"/>
      <c r="HE13" s="324"/>
      <c r="HF13" s="324"/>
      <c r="HG13" s="324"/>
      <c r="HH13" s="324"/>
      <c r="HI13" s="324"/>
      <c r="HJ13" s="324"/>
      <c r="HK13" s="324"/>
      <c r="HL13" s="324"/>
      <c r="HM13" s="324"/>
      <c r="HN13" s="324"/>
      <c r="HO13" s="324"/>
      <c r="HP13" s="324"/>
      <c r="HQ13" s="324"/>
      <c r="HR13" s="324"/>
      <c r="HS13" s="324"/>
      <c r="HT13" s="324"/>
      <c r="HU13" s="324"/>
      <c r="HV13" s="324"/>
      <c r="HW13" s="324"/>
      <c r="HX13" s="324"/>
      <c r="HY13" s="324"/>
      <c r="HZ13" s="324"/>
      <c r="IA13" s="324"/>
      <c r="IB13" s="324"/>
      <c r="IC13" s="324"/>
      <c r="ID13" s="324"/>
      <c r="IE13" s="324"/>
      <c r="IF13" s="324"/>
      <c r="IG13" s="324"/>
      <c r="IH13" s="324"/>
      <c r="II13" s="324"/>
      <c r="IJ13" s="324"/>
      <c r="IK13" s="324"/>
      <c r="IL13" s="324"/>
      <c r="IM13" s="324"/>
    </row>
    <row r="14" spans="1:247" x14ac:dyDescent="0.35">
      <c r="A14" s="356">
        <v>1446</v>
      </c>
      <c r="B14" s="357" t="s">
        <v>21</v>
      </c>
      <c r="C14" s="172" t="s">
        <v>8</v>
      </c>
      <c r="D14" s="358" t="s">
        <v>2053</v>
      </c>
      <c r="E14" s="336">
        <f t="shared" si="2"/>
        <v>1.0740000000000001</v>
      </c>
      <c r="F14" s="331">
        <f t="shared" si="0"/>
        <v>1.0209999999999999</v>
      </c>
      <c r="G14" s="337">
        <f t="shared" si="3"/>
        <v>1.0269999999999999</v>
      </c>
      <c r="H14" s="336"/>
      <c r="I14" s="338">
        <f>+$I$3</f>
        <v>1.0289999999999999</v>
      </c>
      <c r="J14" s="338">
        <f>+$J$3</f>
        <v>1.0049999999999999</v>
      </c>
      <c r="K14" s="338">
        <f>+$K$3</f>
        <v>1.026</v>
      </c>
      <c r="L14" s="338">
        <f>+$L$3</f>
        <v>1.0129999999999999</v>
      </c>
      <c r="M14" s="338">
        <f>+$M$3</f>
        <v>1.0029999999999999</v>
      </c>
      <c r="N14" s="337">
        <f>+$N$3</f>
        <v>1.0029999999999999</v>
      </c>
      <c r="O14" s="339">
        <f>+$O$3</f>
        <v>1.0209999999999999</v>
      </c>
      <c r="P14" s="336">
        <f t="shared" si="4"/>
        <v>1.032</v>
      </c>
      <c r="Q14" s="337">
        <f t="shared" si="5"/>
        <v>1.0349999999999999</v>
      </c>
      <c r="R14" s="340">
        <f t="shared" si="1"/>
        <v>1.3279641928993471</v>
      </c>
      <c r="S14" s="324"/>
      <c r="T14" s="324"/>
      <c r="U14" s="324"/>
      <c r="V14" s="324"/>
      <c r="W14" s="324"/>
      <c r="X14" s="324"/>
      <c r="Y14" s="324"/>
      <c r="Z14" s="324"/>
      <c r="AA14" s="324"/>
      <c r="AB14" s="324"/>
      <c r="AC14" s="324"/>
      <c r="AD14" s="324"/>
      <c r="AE14" s="324"/>
      <c r="AF14" s="324"/>
      <c r="AG14" s="324"/>
      <c r="AH14" s="324"/>
      <c r="AI14" s="324"/>
      <c r="AJ14" s="324"/>
      <c r="AK14" s="324"/>
      <c r="AL14" s="324"/>
      <c r="AM14" s="324"/>
      <c r="AN14" s="324"/>
      <c r="AO14" s="324"/>
      <c r="AP14" s="324"/>
      <c r="AQ14" s="324"/>
      <c r="AR14" s="324"/>
      <c r="AS14" s="324"/>
      <c r="AT14" s="324"/>
      <c r="AU14" s="324"/>
      <c r="AV14" s="324"/>
      <c r="AW14" s="324"/>
      <c r="AX14" s="324"/>
      <c r="AY14" s="324"/>
      <c r="AZ14" s="324"/>
      <c r="BA14" s="324"/>
      <c r="BB14" s="324"/>
      <c r="BC14" s="324"/>
      <c r="BD14" s="324"/>
      <c r="BE14" s="324"/>
      <c r="BF14" s="324"/>
      <c r="BG14" s="324"/>
      <c r="BH14" s="324"/>
      <c r="BI14" s="324"/>
      <c r="BJ14" s="324"/>
      <c r="BK14" s="324"/>
      <c r="BL14" s="324"/>
      <c r="BM14" s="324"/>
      <c r="BN14" s="324"/>
      <c r="BO14" s="324"/>
      <c r="BP14" s="324"/>
      <c r="BQ14" s="324"/>
      <c r="BR14" s="324"/>
      <c r="BS14" s="324"/>
      <c r="BT14" s="324"/>
      <c r="BU14" s="324"/>
      <c r="BV14" s="324"/>
      <c r="BW14" s="324"/>
      <c r="BX14" s="324"/>
      <c r="BY14" s="324"/>
      <c r="BZ14" s="324"/>
      <c r="CA14" s="324"/>
      <c r="CB14" s="324"/>
      <c r="CC14" s="324"/>
      <c r="CD14" s="324"/>
      <c r="CE14" s="324"/>
      <c r="CF14" s="324"/>
      <c r="CG14" s="324"/>
      <c r="CH14" s="324"/>
      <c r="CI14" s="324"/>
      <c r="CJ14" s="324"/>
      <c r="CK14" s="324"/>
      <c r="CL14" s="324"/>
      <c r="CM14" s="324"/>
      <c r="CN14" s="324"/>
      <c r="CO14" s="324"/>
      <c r="CP14" s="324"/>
      <c r="CQ14" s="324"/>
      <c r="CR14" s="324"/>
      <c r="CS14" s="324"/>
      <c r="CT14" s="324"/>
      <c r="CU14" s="324"/>
      <c r="CV14" s="324"/>
      <c r="CW14" s="324"/>
      <c r="CX14" s="324"/>
      <c r="CY14" s="324"/>
      <c r="CZ14" s="324"/>
      <c r="DA14" s="324"/>
      <c r="DB14" s="324"/>
      <c r="DC14" s="324"/>
      <c r="DD14" s="324"/>
      <c r="DE14" s="324"/>
      <c r="DF14" s="324"/>
      <c r="DG14" s="324"/>
      <c r="DH14" s="324"/>
      <c r="DI14" s="324"/>
      <c r="DJ14" s="324"/>
      <c r="DK14" s="324"/>
      <c r="DL14" s="324"/>
      <c r="DM14" s="324"/>
      <c r="DN14" s="324"/>
      <c r="DO14" s="324"/>
      <c r="DP14" s="324"/>
      <c r="DQ14" s="324"/>
      <c r="DR14" s="324"/>
      <c r="DS14" s="324"/>
      <c r="DT14" s="324"/>
      <c r="DU14" s="324"/>
      <c r="DV14" s="324"/>
      <c r="DW14" s="324"/>
      <c r="DX14" s="324"/>
      <c r="DY14" s="324"/>
      <c r="DZ14" s="324"/>
      <c r="EA14" s="324"/>
      <c r="EB14" s="324"/>
      <c r="EC14" s="324"/>
      <c r="ED14" s="324"/>
      <c r="EE14" s="324"/>
      <c r="EF14" s="324"/>
      <c r="EG14" s="324"/>
      <c r="EH14" s="324"/>
      <c r="EI14" s="324"/>
      <c r="EJ14" s="324"/>
      <c r="EK14" s="324"/>
      <c r="EL14" s="324"/>
      <c r="EM14" s="324"/>
      <c r="EN14" s="324"/>
      <c r="EO14" s="324"/>
      <c r="EP14" s="324"/>
      <c r="EQ14" s="324"/>
      <c r="ER14" s="324"/>
      <c r="ES14" s="324"/>
      <c r="ET14" s="324"/>
      <c r="EU14" s="324"/>
      <c r="EV14" s="324"/>
      <c r="EW14" s="324"/>
      <c r="EX14" s="324"/>
      <c r="EY14" s="324"/>
      <c r="EZ14" s="324"/>
      <c r="FA14" s="324"/>
      <c r="FB14" s="324"/>
      <c r="FC14" s="324"/>
      <c r="FD14" s="324"/>
      <c r="FE14" s="324"/>
      <c r="FF14" s="324"/>
      <c r="FG14" s="324"/>
      <c r="FH14" s="324"/>
      <c r="FI14" s="324"/>
      <c r="FJ14" s="324"/>
      <c r="FK14" s="324"/>
      <c r="FL14" s="324"/>
      <c r="FM14" s="324"/>
      <c r="FN14" s="324"/>
      <c r="FO14" s="324"/>
      <c r="FP14" s="324"/>
      <c r="FQ14" s="324"/>
      <c r="FR14" s="324"/>
      <c r="FS14" s="324"/>
      <c r="FT14" s="324"/>
      <c r="FU14" s="324"/>
      <c r="FV14" s="324"/>
      <c r="FW14" s="324"/>
      <c r="FX14" s="324"/>
      <c r="FY14" s="324"/>
      <c r="FZ14" s="324"/>
      <c r="GA14" s="324"/>
      <c r="GB14" s="324"/>
      <c r="GC14" s="324"/>
      <c r="GD14" s="324"/>
      <c r="GE14" s="324"/>
      <c r="GF14" s="324"/>
      <c r="GG14" s="324"/>
      <c r="GH14" s="324"/>
      <c r="GI14" s="324"/>
      <c r="GJ14" s="324"/>
      <c r="GK14" s="324"/>
      <c r="GL14" s="324"/>
      <c r="GM14" s="324"/>
      <c r="GN14" s="324"/>
      <c r="GO14" s="324"/>
      <c r="GP14" s="324"/>
      <c r="GQ14" s="324"/>
      <c r="GR14" s="324"/>
      <c r="GS14" s="324"/>
      <c r="GT14" s="324"/>
      <c r="GU14" s="324"/>
      <c r="GV14" s="324"/>
      <c r="GW14" s="324"/>
      <c r="GX14" s="324"/>
      <c r="GY14" s="324"/>
      <c r="GZ14" s="324"/>
      <c r="HA14" s="324"/>
      <c r="HB14" s="324"/>
      <c r="HC14" s="324"/>
      <c r="HD14" s="324"/>
      <c r="HE14" s="324"/>
      <c r="HF14" s="324"/>
      <c r="HG14" s="324"/>
      <c r="HH14" s="324"/>
      <c r="HI14" s="324"/>
      <c r="HJ14" s="324"/>
      <c r="HK14" s="324"/>
      <c r="HL14" s="324"/>
      <c r="HM14" s="324"/>
      <c r="HN14" s="324"/>
      <c r="HO14" s="324"/>
      <c r="HP14" s="324"/>
      <c r="HQ14" s="324"/>
      <c r="HR14" s="324"/>
      <c r="HS14" s="324"/>
      <c r="HT14" s="324"/>
      <c r="HU14" s="324"/>
      <c r="HV14" s="324"/>
      <c r="HW14" s="324"/>
      <c r="HX14" s="324"/>
      <c r="HY14" s="324"/>
      <c r="HZ14" s="324"/>
      <c r="IA14" s="324"/>
      <c r="IB14" s="324"/>
      <c r="IC14" s="324"/>
      <c r="ID14" s="324"/>
      <c r="IE14" s="324"/>
      <c r="IF14" s="324"/>
      <c r="IG14" s="324"/>
      <c r="IH14" s="324"/>
      <c r="II14" s="324"/>
      <c r="IJ14" s="324"/>
      <c r="IK14" s="324"/>
      <c r="IL14" s="324"/>
      <c r="IM14" s="324"/>
    </row>
    <row r="15" spans="1:247" x14ac:dyDescent="0.35">
      <c r="A15" s="356">
        <v>1491</v>
      </c>
      <c r="B15" s="357" t="s">
        <v>22</v>
      </c>
      <c r="C15" s="172" t="s">
        <v>10</v>
      </c>
      <c r="D15" s="358" t="s">
        <v>2051</v>
      </c>
      <c r="E15" s="336">
        <f t="shared" si="2"/>
        <v>1.0740000000000001</v>
      </c>
      <c r="F15" s="331">
        <f t="shared" si="0"/>
        <v>1.0209999999999999</v>
      </c>
      <c r="G15" s="337">
        <f t="shared" si="3"/>
        <v>1.0269999999999999</v>
      </c>
      <c r="H15" s="336"/>
      <c r="I15" s="338"/>
      <c r="J15" s="338"/>
      <c r="K15" s="338"/>
      <c r="L15" s="338"/>
      <c r="M15" s="338"/>
      <c r="N15" s="337"/>
      <c r="O15" s="339">
        <f>+$O$3</f>
        <v>1.0209999999999999</v>
      </c>
      <c r="P15" s="336">
        <f t="shared" si="4"/>
        <v>1.032</v>
      </c>
      <c r="Q15" s="337">
        <f t="shared" si="5"/>
        <v>1.0349999999999999</v>
      </c>
      <c r="R15" s="340">
        <f t="shared" si="1"/>
        <v>1.2281354183505979</v>
      </c>
      <c r="S15" s="324"/>
      <c r="T15" s="324"/>
      <c r="U15" s="324"/>
      <c r="V15" s="324"/>
      <c r="W15" s="324"/>
      <c r="X15" s="324"/>
      <c r="Y15" s="324"/>
      <c r="Z15" s="324"/>
      <c r="AA15" s="324"/>
      <c r="AB15" s="324"/>
      <c r="AC15" s="324"/>
      <c r="AD15" s="324"/>
      <c r="AE15" s="324"/>
      <c r="AF15" s="324"/>
      <c r="AG15" s="324"/>
      <c r="AH15" s="324"/>
      <c r="AI15" s="324"/>
      <c r="AJ15" s="324"/>
      <c r="AK15" s="324"/>
      <c r="AL15" s="324"/>
      <c r="AM15" s="324"/>
      <c r="AN15" s="324"/>
      <c r="AO15" s="324"/>
      <c r="AP15" s="324"/>
      <c r="AQ15" s="324"/>
      <c r="AR15" s="324"/>
      <c r="AS15" s="324"/>
      <c r="AT15" s="324"/>
      <c r="AU15" s="324"/>
      <c r="AV15" s="324"/>
      <c r="AW15" s="324"/>
      <c r="AX15" s="324"/>
      <c r="AY15" s="324"/>
      <c r="AZ15" s="324"/>
      <c r="BA15" s="324"/>
      <c r="BB15" s="324"/>
      <c r="BC15" s="324"/>
      <c r="BD15" s="324"/>
      <c r="BE15" s="324"/>
      <c r="BF15" s="324"/>
      <c r="BG15" s="324"/>
      <c r="BH15" s="324"/>
      <c r="BI15" s="324"/>
      <c r="BJ15" s="324"/>
      <c r="BK15" s="324"/>
      <c r="BL15" s="324"/>
      <c r="BM15" s="324"/>
      <c r="BN15" s="324"/>
      <c r="BO15" s="324"/>
      <c r="BP15" s="324"/>
      <c r="BQ15" s="324"/>
      <c r="BR15" s="324"/>
      <c r="BS15" s="324"/>
      <c r="BT15" s="324"/>
      <c r="BU15" s="324"/>
      <c r="BV15" s="324"/>
      <c r="BW15" s="324"/>
      <c r="BX15" s="324"/>
      <c r="BY15" s="324"/>
      <c r="BZ15" s="324"/>
      <c r="CA15" s="324"/>
      <c r="CB15" s="324"/>
      <c r="CC15" s="324"/>
      <c r="CD15" s="324"/>
      <c r="CE15" s="324"/>
      <c r="CF15" s="324"/>
      <c r="CG15" s="324"/>
      <c r="CH15" s="324"/>
      <c r="CI15" s="324"/>
      <c r="CJ15" s="324"/>
      <c r="CK15" s="324"/>
      <c r="CL15" s="324"/>
      <c r="CM15" s="324"/>
      <c r="CN15" s="324"/>
      <c r="CO15" s="324"/>
      <c r="CP15" s="324"/>
      <c r="CQ15" s="324"/>
      <c r="CR15" s="324"/>
      <c r="CS15" s="324"/>
      <c r="CT15" s="324"/>
      <c r="CU15" s="324"/>
      <c r="CV15" s="324"/>
      <c r="CW15" s="324"/>
      <c r="CX15" s="324"/>
      <c r="CY15" s="324"/>
      <c r="CZ15" s="324"/>
      <c r="DA15" s="324"/>
      <c r="DB15" s="324"/>
      <c r="DC15" s="324"/>
      <c r="DD15" s="324"/>
      <c r="DE15" s="324"/>
      <c r="DF15" s="324"/>
      <c r="DG15" s="324"/>
      <c r="DH15" s="324"/>
      <c r="DI15" s="324"/>
      <c r="DJ15" s="324"/>
      <c r="DK15" s="324"/>
      <c r="DL15" s="324"/>
      <c r="DM15" s="324"/>
      <c r="DN15" s="324"/>
      <c r="DO15" s="324"/>
      <c r="DP15" s="324"/>
      <c r="DQ15" s="324"/>
      <c r="DR15" s="324"/>
      <c r="DS15" s="324"/>
      <c r="DT15" s="324"/>
      <c r="DU15" s="324"/>
      <c r="DV15" s="324"/>
      <c r="DW15" s="324"/>
      <c r="DX15" s="324"/>
      <c r="DY15" s="324"/>
      <c r="DZ15" s="324"/>
      <c r="EA15" s="324"/>
      <c r="EB15" s="324"/>
      <c r="EC15" s="324"/>
      <c r="ED15" s="324"/>
      <c r="EE15" s="324"/>
      <c r="EF15" s="324"/>
      <c r="EG15" s="324"/>
      <c r="EH15" s="324"/>
      <c r="EI15" s="324"/>
      <c r="EJ15" s="324"/>
      <c r="EK15" s="324"/>
      <c r="EL15" s="324"/>
      <c r="EM15" s="324"/>
      <c r="EN15" s="324"/>
      <c r="EO15" s="324"/>
      <c r="EP15" s="324"/>
      <c r="EQ15" s="324"/>
      <c r="ER15" s="324"/>
      <c r="ES15" s="324"/>
      <c r="ET15" s="324"/>
      <c r="EU15" s="324"/>
      <c r="EV15" s="324"/>
      <c r="EW15" s="324"/>
      <c r="EX15" s="324"/>
      <c r="EY15" s="324"/>
      <c r="EZ15" s="324"/>
      <c r="FA15" s="324"/>
      <c r="FB15" s="324"/>
      <c r="FC15" s="324"/>
      <c r="FD15" s="324"/>
      <c r="FE15" s="324"/>
      <c r="FF15" s="324"/>
      <c r="FG15" s="324"/>
      <c r="FH15" s="324"/>
      <c r="FI15" s="324"/>
      <c r="FJ15" s="324"/>
      <c r="FK15" s="324"/>
      <c r="FL15" s="324"/>
      <c r="FM15" s="324"/>
      <c r="FN15" s="324"/>
      <c r="FO15" s="324"/>
      <c r="FP15" s="324"/>
      <c r="FQ15" s="324"/>
      <c r="FR15" s="324"/>
      <c r="FS15" s="324"/>
      <c r="FT15" s="324"/>
      <c r="FU15" s="324"/>
      <c r="FV15" s="324"/>
      <c r="FW15" s="324"/>
      <c r="FX15" s="324"/>
      <c r="FY15" s="324"/>
      <c r="FZ15" s="324"/>
      <c r="GA15" s="324"/>
      <c r="GB15" s="324"/>
      <c r="GC15" s="324"/>
      <c r="GD15" s="324"/>
      <c r="GE15" s="324"/>
      <c r="GF15" s="324"/>
      <c r="GG15" s="324"/>
      <c r="GH15" s="324"/>
      <c r="GI15" s="324"/>
      <c r="GJ15" s="324"/>
      <c r="GK15" s="324"/>
      <c r="GL15" s="324"/>
      <c r="GM15" s="324"/>
      <c r="GN15" s="324"/>
      <c r="GO15" s="324"/>
      <c r="GP15" s="324"/>
      <c r="GQ15" s="324"/>
      <c r="GR15" s="324"/>
      <c r="GS15" s="324"/>
      <c r="GT15" s="324"/>
      <c r="GU15" s="324"/>
      <c r="GV15" s="324"/>
      <c r="GW15" s="324"/>
      <c r="GX15" s="324"/>
      <c r="GY15" s="324"/>
      <c r="GZ15" s="324"/>
      <c r="HA15" s="324"/>
      <c r="HB15" s="324"/>
      <c r="HC15" s="324"/>
      <c r="HD15" s="324"/>
      <c r="HE15" s="324"/>
      <c r="HF15" s="324"/>
      <c r="HG15" s="324"/>
      <c r="HH15" s="324"/>
      <c r="HI15" s="324"/>
      <c r="HJ15" s="324"/>
      <c r="HK15" s="324"/>
      <c r="HL15" s="324"/>
      <c r="HM15" s="324"/>
      <c r="HN15" s="324"/>
      <c r="HO15" s="324"/>
      <c r="HP15" s="324"/>
      <c r="HQ15" s="324"/>
      <c r="HR15" s="324"/>
      <c r="HS15" s="324"/>
      <c r="HT15" s="324"/>
      <c r="HU15" s="324"/>
      <c r="HV15" s="324"/>
      <c r="HW15" s="324"/>
      <c r="HX15" s="324"/>
      <c r="HY15" s="324"/>
      <c r="HZ15" s="324"/>
      <c r="IA15" s="324"/>
      <c r="IB15" s="324"/>
      <c r="IC15" s="324"/>
      <c r="ID15" s="324"/>
      <c r="IE15" s="324"/>
      <c r="IF15" s="324"/>
      <c r="IG15" s="324"/>
      <c r="IH15" s="324"/>
      <c r="II15" s="324"/>
      <c r="IJ15" s="324"/>
      <c r="IK15" s="324"/>
      <c r="IL15" s="324"/>
      <c r="IM15" s="324"/>
    </row>
    <row r="16" spans="1:247" x14ac:dyDescent="0.35">
      <c r="A16" s="356">
        <v>1493</v>
      </c>
      <c r="B16" s="357" t="s">
        <v>23</v>
      </c>
      <c r="C16" s="172" t="s">
        <v>10</v>
      </c>
      <c r="D16" s="358" t="s">
        <v>2051</v>
      </c>
      <c r="E16" s="336"/>
      <c r="F16" s="331">
        <f t="shared" si="0"/>
        <v>1.0209999999999999</v>
      </c>
      <c r="G16" s="337">
        <f t="shared" si="3"/>
        <v>1.0269999999999999</v>
      </c>
      <c r="H16" s="336"/>
      <c r="I16" s="338"/>
      <c r="J16" s="338"/>
      <c r="K16" s="338"/>
      <c r="L16" s="338"/>
      <c r="M16" s="338"/>
      <c r="N16" s="337"/>
      <c r="O16" s="339"/>
      <c r="P16" s="336">
        <f t="shared" si="4"/>
        <v>1.032</v>
      </c>
      <c r="Q16" s="337">
        <f t="shared" si="5"/>
        <v>1.0349999999999999</v>
      </c>
      <c r="R16" s="340">
        <f t="shared" si="1"/>
        <v>1.1199953840399997</v>
      </c>
      <c r="S16" s="324"/>
      <c r="T16" s="324"/>
      <c r="U16" s="324"/>
      <c r="V16" s="324"/>
      <c r="W16" s="324"/>
      <c r="X16" s="324"/>
      <c r="Y16" s="324"/>
      <c r="Z16" s="324"/>
      <c r="AA16" s="324"/>
      <c r="AB16" s="324"/>
      <c r="AC16" s="324"/>
      <c r="AD16" s="324"/>
      <c r="AE16" s="324"/>
      <c r="AF16" s="324"/>
      <c r="AG16" s="324"/>
      <c r="AH16" s="324"/>
      <c r="AI16" s="324"/>
      <c r="AJ16" s="324"/>
      <c r="AK16" s="324"/>
      <c r="AL16" s="324"/>
      <c r="AM16" s="324"/>
      <c r="AN16" s="324"/>
      <c r="AO16" s="324"/>
      <c r="AP16" s="324"/>
      <c r="AQ16" s="324"/>
      <c r="AR16" s="324"/>
      <c r="AS16" s="324"/>
      <c r="AT16" s="324"/>
      <c r="AU16" s="324"/>
      <c r="AV16" s="324"/>
      <c r="AW16" s="324"/>
      <c r="AX16" s="324"/>
      <c r="AY16" s="324"/>
      <c r="AZ16" s="324"/>
      <c r="BA16" s="324"/>
      <c r="BB16" s="324"/>
      <c r="BC16" s="324"/>
      <c r="BD16" s="324"/>
      <c r="BE16" s="324"/>
      <c r="BF16" s="324"/>
      <c r="BG16" s="324"/>
      <c r="BH16" s="324"/>
      <c r="BI16" s="324"/>
      <c r="BJ16" s="324"/>
      <c r="BK16" s="324"/>
      <c r="BL16" s="324"/>
      <c r="BM16" s="324"/>
      <c r="BN16" s="324"/>
      <c r="BO16" s="324"/>
      <c r="BP16" s="324"/>
      <c r="BQ16" s="324"/>
      <c r="BR16" s="324"/>
      <c r="BS16" s="324"/>
      <c r="BT16" s="324"/>
      <c r="BU16" s="324"/>
      <c r="BV16" s="324"/>
      <c r="BW16" s="324"/>
      <c r="BX16" s="324"/>
      <c r="BY16" s="324"/>
      <c r="BZ16" s="324"/>
      <c r="CA16" s="324"/>
      <c r="CB16" s="324"/>
      <c r="CC16" s="324"/>
      <c r="CD16" s="324"/>
      <c r="CE16" s="324"/>
      <c r="CF16" s="324"/>
      <c r="CG16" s="324"/>
      <c r="CH16" s="324"/>
      <c r="CI16" s="324"/>
      <c r="CJ16" s="324"/>
      <c r="CK16" s="324"/>
      <c r="CL16" s="324"/>
      <c r="CM16" s="324"/>
      <c r="CN16" s="324"/>
      <c r="CO16" s="324"/>
      <c r="CP16" s="324"/>
      <c r="CQ16" s="324"/>
      <c r="CR16" s="324"/>
      <c r="CS16" s="324"/>
      <c r="CT16" s="324"/>
      <c r="CU16" s="324"/>
      <c r="CV16" s="324"/>
      <c r="CW16" s="324"/>
      <c r="CX16" s="324"/>
      <c r="CY16" s="324"/>
      <c r="CZ16" s="324"/>
      <c r="DA16" s="324"/>
      <c r="DB16" s="324"/>
      <c r="DC16" s="324"/>
      <c r="DD16" s="324"/>
      <c r="DE16" s="324"/>
      <c r="DF16" s="324"/>
      <c r="DG16" s="324"/>
      <c r="DH16" s="324"/>
      <c r="DI16" s="324"/>
      <c r="DJ16" s="324"/>
      <c r="DK16" s="324"/>
      <c r="DL16" s="324"/>
      <c r="DM16" s="324"/>
      <c r="DN16" s="324"/>
      <c r="DO16" s="324"/>
      <c r="DP16" s="324"/>
      <c r="DQ16" s="324"/>
      <c r="DR16" s="324"/>
      <c r="DS16" s="324"/>
      <c r="DT16" s="324"/>
      <c r="DU16" s="324"/>
      <c r="DV16" s="324"/>
      <c r="DW16" s="324"/>
      <c r="DX16" s="324"/>
      <c r="DY16" s="324"/>
      <c r="DZ16" s="324"/>
      <c r="EA16" s="324"/>
      <c r="EB16" s="324"/>
      <c r="EC16" s="324"/>
      <c r="ED16" s="324"/>
      <c r="EE16" s="324"/>
      <c r="EF16" s="324"/>
      <c r="EG16" s="324"/>
      <c r="EH16" s="324"/>
      <c r="EI16" s="324"/>
      <c r="EJ16" s="324"/>
      <c r="EK16" s="324"/>
      <c r="EL16" s="324"/>
      <c r="EM16" s="324"/>
      <c r="EN16" s="324"/>
      <c r="EO16" s="324"/>
      <c r="EP16" s="324"/>
      <c r="EQ16" s="324"/>
      <c r="ER16" s="324"/>
      <c r="ES16" s="324"/>
      <c r="ET16" s="324"/>
      <c r="EU16" s="324"/>
      <c r="EV16" s="324"/>
      <c r="EW16" s="324"/>
      <c r="EX16" s="324"/>
      <c r="EY16" s="324"/>
      <c r="EZ16" s="324"/>
      <c r="FA16" s="324"/>
      <c r="FB16" s="324"/>
      <c r="FC16" s="324"/>
      <c r="FD16" s="324"/>
      <c r="FE16" s="324"/>
      <c r="FF16" s="324"/>
      <c r="FG16" s="324"/>
      <c r="FH16" s="324"/>
      <c r="FI16" s="324"/>
      <c r="FJ16" s="324"/>
      <c r="FK16" s="324"/>
      <c r="FL16" s="324"/>
      <c r="FM16" s="324"/>
      <c r="FN16" s="324"/>
      <c r="FO16" s="324"/>
      <c r="FP16" s="324"/>
      <c r="FQ16" s="324"/>
      <c r="FR16" s="324"/>
      <c r="FS16" s="324"/>
      <c r="FT16" s="324"/>
      <c r="FU16" s="324"/>
      <c r="FV16" s="324"/>
      <c r="FW16" s="324"/>
      <c r="FX16" s="324"/>
      <c r="FY16" s="324"/>
      <c r="FZ16" s="324"/>
      <c r="GA16" s="324"/>
      <c r="GB16" s="324"/>
      <c r="GC16" s="324"/>
      <c r="GD16" s="324"/>
      <c r="GE16" s="324"/>
      <c r="GF16" s="324"/>
      <c r="GG16" s="324"/>
      <c r="GH16" s="324"/>
      <c r="GI16" s="324"/>
      <c r="GJ16" s="324"/>
      <c r="GK16" s="324"/>
      <c r="GL16" s="324"/>
      <c r="GM16" s="324"/>
      <c r="GN16" s="324"/>
      <c r="GO16" s="324"/>
      <c r="GP16" s="324"/>
      <c r="GQ16" s="324"/>
      <c r="GR16" s="324"/>
      <c r="GS16" s="324"/>
      <c r="GT16" s="324"/>
      <c r="GU16" s="324"/>
      <c r="GV16" s="324"/>
      <c r="GW16" s="324"/>
      <c r="GX16" s="324"/>
      <c r="GY16" s="324"/>
      <c r="GZ16" s="324"/>
      <c r="HA16" s="324"/>
      <c r="HB16" s="324"/>
      <c r="HC16" s="324"/>
      <c r="HD16" s="324"/>
      <c r="HE16" s="324"/>
      <c r="HF16" s="324"/>
      <c r="HG16" s="324"/>
      <c r="HH16" s="324"/>
      <c r="HI16" s="324"/>
      <c r="HJ16" s="324"/>
      <c r="HK16" s="324"/>
      <c r="HL16" s="324"/>
      <c r="HM16" s="324"/>
      <c r="HN16" s="324"/>
      <c r="HO16" s="324"/>
      <c r="HP16" s="324"/>
      <c r="HQ16" s="324"/>
      <c r="HR16" s="324"/>
      <c r="HS16" s="324"/>
      <c r="HT16" s="324"/>
      <c r="HU16" s="324"/>
      <c r="HV16" s="324"/>
      <c r="HW16" s="324"/>
      <c r="HX16" s="324"/>
      <c r="HY16" s="324"/>
      <c r="HZ16" s="324"/>
      <c r="IA16" s="324"/>
      <c r="IB16" s="324"/>
      <c r="IC16" s="324"/>
      <c r="ID16" s="324"/>
      <c r="IE16" s="324"/>
      <c r="IF16" s="324"/>
      <c r="IG16" s="324"/>
      <c r="IH16" s="324"/>
      <c r="II16" s="324"/>
      <c r="IJ16" s="324"/>
      <c r="IK16" s="324"/>
      <c r="IL16" s="324"/>
      <c r="IM16" s="324"/>
    </row>
    <row r="17" spans="1:247" x14ac:dyDescent="0.35">
      <c r="A17" s="356">
        <v>1495</v>
      </c>
      <c r="B17" s="357" t="s">
        <v>24</v>
      </c>
      <c r="C17" s="172" t="s">
        <v>10</v>
      </c>
      <c r="D17" s="358" t="s">
        <v>2051</v>
      </c>
      <c r="E17" s="336"/>
      <c r="F17" s="331">
        <f t="shared" si="0"/>
        <v>1.0209999999999999</v>
      </c>
      <c r="G17" s="337"/>
      <c r="H17" s="336"/>
      <c r="I17" s="338"/>
      <c r="J17" s="338"/>
      <c r="K17" s="338"/>
      <c r="L17" s="338"/>
      <c r="M17" s="338"/>
      <c r="N17" s="337"/>
      <c r="O17" s="339"/>
      <c r="P17" s="336"/>
      <c r="Q17" s="337"/>
      <c r="R17" s="340">
        <f t="shared" si="1"/>
        <v>1.0209999999999999</v>
      </c>
      <c r="S17" s="324"/>
      <c r="T17" s="324"/>
      <c r="U17" s="324"/>
      <c r="V17" s="324"/>
      <c r="W17" s="324"/>
      <c r="X17" s="324"/>
      <c r="Y17" s="324"/>
      <c r="Z17" s="324"/>
      <c r="AA17" s="324"/>
      <c r="AB17" s="324"/>
      <c r="AC17" s="324"/>
      <c r="AD17" s="324"/>
      <c r="AE17" s="324"/>
      <c r="AF17" s="324"/>
      <c r="AG17" s="324"/>
      <c r="AH17" s="324"/>
      <c r="AI17" s="324"/>
      <c r="AJ17" s="324"/>
      <c r="AK17" s="324"/>
      <c r="AL17" s="324"/>
      <c r="AM17" s="324"/>
      <c r="AN17" s="324"/>
      <c r="AO17" s="324"/>
      <c r="AP17" s="324"/>
      <c r="AQ17" s="324"/>
      <c r="AR17" s="324"/>
      <c r="AS17" s="324"/>
      <c r="AT17" s="324"/>
      <c r="AU17" s="324"/>
      <c r="AV17" s="324"/>
      <c r="AW17" s="324"/>
      <c r="AX17" s="324"/>
      <c r="AY17" s="324"/>
      <c r="AZ17" s="324"/>
      <c r="BA17" s="324"/>
      <c r="BB17" s="324"/>
      <c r="BC17" s="324"/>
      <c r="BD17" s="324"/>
      <c r="BE17" s="324"/>
      <c r="BF17" s="324"/>
      <c r="BG17" s="324"/>
      <c r="BH17" s="324"/>
      <c r="BI17" s="324"/>
      <c r="BJ17" s="324"/>
      <c r="BK17" s="324"/>
      <c r="BL17" s="324"/>
      <c r="BM17" s="324"/>
      <c r="BN17" s="324"/>
      <c r="BO17" s="324"/>
      <c r="BP17" s="324"/>
      <c r="BQ17" s="324"/>
      <c r="BR17" s="324"/>
      <c r="BS17" s="324"/>
      <c r="BT17" s="324"/>
      <c r="BU17" s="324"/>
      <c r="BV17" s="324"/>
      <c r="BW17" s="324"/>
      <c r="BX17" s="324"/>
      <c r="BY17" s="324"/>
      <c r="BZ17" s="324"/>
      <c r="CA17" s="324"/>
      <c r="CB17" s="324"/>
      <c r="CC17" s="324"/>
      <c r="CD17" s="324"/>
      <c r="CE17" s="324"/>
      <c r="CF17" s="324"/>
      <c r="CG17" s="324"/>
      <c r="CH17" s="324"/>
      <c r="CI17" s="324"/>
      <c r="CJ17" s="324"/>
      <c r="CK17" s="324"/>
      <c r="CL17" s="324"/>
      <c r="CM17" s="324"/>
      <c r="CN17" s="324"/>
      <c r="CO17" s="324"/>
      <c r="CP17" s="324"/>
      <c r="CQ17" s="324"/>
      <c r="CR17" s="324"/>
      <c r="CS17" s="324"/>
      <c r="CT17" s="324"/>
      <c r="CU17" s="324"/>
      <c r="CV17" s="324"/>
      <c r="CW17" s="324"/>
      <c r="CX17" s="324"/>
      <c r="CY17" s="324"/>
      <c r="CZ17" s="324"/>
      <c r="DA17" s="324"/>
      <c r="DB17" s="324"/>
      <c r="DC17" s="324"/>
      <c r="DD17" s="324"/>
      <c r="DE17" s="324"/>
      <c r="DF17" s="324"/>
      <c r="DG17" s="324"/>
      <c r="DH17" s="324"/>
      <c r="DI17" s="324"/>
      <c r="DJ17" s="324"/>
      <c r="DK17" s="324"/>
      <c r="DL17" s="324"/>
      <c r="DM17" s="324"/>
      <c r="DN17" s="324"/>
      <c r="DO17" s="324"/>
      <c r="DP17" s="324"/>
      <c r="DQ17" s="324"/>
      <c r="DR17" s="324"/>
      <c r="DS17" s="324"/>
      <c r="DT17" s="324"/>
      <c r="DU17" s="324"/>
      <c r="DV17" s="324"/>
      <c r="DW17" s="324"/>
      <c r="DX17" s="324"/>
      <c r="DY17" s="324"/>
      <c r="DZ17" s="324"/>
      <c r="EA17" s="324"/>
      <c r="EB17" s="324"/>
      <c r="EC17" s="324"/>
      <c r="ED17" s="324"/>
      <c r="EE17" s="324"/>
      <c r="EF17" s="324"/>
      <c r="EG17" s="324"/>
      <c r="EH17" s="324"/>
      <c r="EI17" s="324"/>
      <c r="EJ17" s="324"/>
      <c r="EK17" s="324"/>
      <c r="EL17" s="324"/>
      <c r="EM17" s="324"/>
      <c r="EN17" s="324"/>
      <c r="EO17" s="324"/>
      <c r="EP17" s="324"/>
      <c r="EQ17" s="324"/>
      <c r="ER17" s="324"/>
      <c r="ES17" s="324"/>
      <c r="ET17" s="324"/>
      <c r="EU17" s="324"/>
      <c r="EV17" s="324"/>
      <c r="EW17" s="324"/>
      <c r="EX17" s="324"/>
      <c r="EY17" s="324"/>
      <c r="EZ17" s="324"/>
      <c r="FA17" s="324"/>
      <c r="FB17" s="324"/>
      <c r="FC17" s="324"/>
      <c r="FD17" s="324"/>
      <c r="FE17" s="324"/>
      <c r="FF17" s="324"/>
      <c r="FG17" s="324"/>
      <c r="FH17" s="324"/>
      <c r="FI17" s="324"/>
      <c r="FJ17" s="324"/>
      <c r="FK17" s="324"/>
      <c r="FL17" s="324"/>
      <c r="FM17" s="324"/>
      <c r="FN17" s="324"/>
      <c r="FO17" s="324"/>
      <c r="FP17" s="324"/>
      <c r="FQ17" s="324"/>
      <c r="FR17" s="324"/>
      <c r="FS17" s="324"/>
      <c r="FT17" s="324"/>
      <c r="FU17" s="324"/>
      <c r="FV17" s="324"/>
      <c r="FW17" s="324"/>
      <c r="FX17" s="324"/>
      <c r="FY17" s="324"/>
      <c r="FZ17" s="324"/>
      <c r="GA17" s="324"/>
      <c r="GB17" s="324"/>
      <c r="GC17" s="324"/>
      <c r="GD17" s="324"/>
      <c r="GE17" s="324"/>
      <c r="GF17" s="324"/>
      <c r="GG17" s="324"/>
      <c r="GH17" s="324"/>
      <c r="GI17" s="324"/>
      <c r="GJ17" s="324"/>
      <c r="GK17" s="324"/>
      <c r="GL17" s="324"/>
      <c r="GM17" s="324"/>
      <c r="GN17" s="324"/>
      <c r="GO17" s="324"/>
      <c r="GP17" s="324"/>
      <c r="GQ17" s="324"/>
      <c r="GR17" s="324"/>
      <c r="GS17" s="324"/>
      <c r="GT17" s="324"/>
      <c r="GU17" s="324"/>
      <c r="GV17" s="324"/>
      <c r="GW17" s="324"/>
      <c r="GX17" s="324"/>
      <c r="GY17" s="324"/>
      <c r="GZ17" s="324"/>
      <c r="HA17" s="324"/>
      <c r="HB17" s="324"/>
      <c r="HC17" s="324"/>
      <c r="HD17" s="324"/>
      <c r="HE17" s="324"/>
      <c r="HF17" s="324"/>
      <c r="HG17" s="324"/>
      <c r="HH17" s="324"/>
      <c r="HI17" s="324"/>
      <c r="HJ17" s="324"/>
      <c r="HK17" s="324"/>
      <c r="HL17" s="324"/>
      <c r="HM17" s="324"/>
      <c r="HN17" s="324"/>
      <c r="HO17" s="324"/>
      <c r="HP17" s="324"/>
      <c r="HQ17" s="324"/>
      <c r="HR17" s="324"/>
      <c r="HS17" s="324"/>
      <c r="HT17" s="324"/>
      <c r="HU17" s="324"/>
      <c r="HV17" s="324"/>
      <c r="HW17" s="324"/>
      <c r="HX17" s="324"/>
      <c r="HY17" s="324"/>
      <c r="HZ17" s="324"/>
      <c r="IA17" s="324"/>
      <c r="IB17" s="324"/>
      <c r="IC17" s="324"/>
      <c r="ID17" s="324"/>
      <c r="IE17" s="324"/>
      <c r="IF17" s="324"/>
      <c r="IG17" s="324"/>
      <c r="IH17" s="324"/>
      <c r="II17" s="324"/>
      <c r="IJ17" s="324"/>
      <c r="IK17" s="324"/>
      <c r="IL17" s="324"/>
      <c r="IM17" s="324"/>
    </row>
    <row r="18" spans="1:247" x14ac:dyDescent="0.35">
      <c r="A18" s="356">
        <v>1513</v>
      </c>
      <c r="B18" s="357" t="s">
        <v>26</v>
      </c>
      <c r="C18" s="172" t="s">
        <v>3</v>
      </c>
      <c r="D18" s="358" t="s">
        <v>2051</v>
      </c>
      <c r="E18" s="336"/>
      <c r="F18" s="331">
        <f t="shared" si="0"/>
        <v>1.0209999999999999</v>
      </c>
      <c r="G18" s="337"/>
      <c r="H18" s="336"/>
      <c r="I18" s="338"/>
      <c r="J18" s="338"/>
      <c r="K18" s="338"/>
      <c r="L18" s="338"/>
      <c r="M18" s="338"/>
      <c r="N18" s="337"/>
      <c r="O18" s="339"/>
      <c r="P18" s="336">
        <f>+$P$3</f>
        <v>1.032</v>
      </c>
      <c r="Q18" s="337">
        <f>+$Q$3</f>
        <v>1.0349999999999999</v>
      </c>
      <c r="R18" s="340">
        <f t="shared" si="1"/>
        <v>1.0905505199999999</v>
      </c>
      <c r="S18" s="324"/>
      <c r="T18" s="324"/>
      <c r="U18" s="324"/>
      <c r="V18" s="324"/>
      <c r="W18" s="324"/>
      <c r="X18" s="324"/>
      <c r="Y18" s="324"/>
      <c r="Z18" s="324"/>
      <c r="AA18" s="324"/>
      <c r="AB18" s="324"/>
      <c r="AC18" s="324"/>
      <c r="AD18" s="324"/>
      <c r="AE18" s="324"/>
      <c r="AF18" s="324"/>
      <c r="AG18" s="324"/>
      <c r="AH18" s="324"/>
      <c r="AI18" s="324"/>
      <c r="AJ18" s="324"/>
      <c r="AK18" s="324"/>
      <c r="AL18" s="324"/>
      <c r="AM18" s="324"/>
      <c r="AN18" s="324"/>
      <c r="AO18" s="324"/>
      <c r="AP18" s="324"/>
      <c r="AQ18" s="324"/>
      <c r="AR18" s="324"/>
      <c r="AS18" s="324"/>
      <c r="AT18" s="324"/>
      <c r="AU18" s="324"/>
      <c r="AV18" s="324"/>
      <c r="AW18" s="324"/>
      <c r="AX18" s="324"/>
      <c r="AY18" s="324"/>
      <c r="AZ18" s="324"/>
      <c r="BA18" s="324"/>
      <c r="BB18" s="324"/>
      <c r="BC18" s="324"/>
      <c r="BD18" s="324"/>
      <c r="BE18" s="324"/>
      <c r="BF18" s="324"/>
      <c r="BG18" s="324"/>
      <c r="BH18" s="324"/>
      <c r="BI18" s="324"/>
      <c r="BJ18" s="324"/>
      <c r="BK18" s="324"/>
      <c r="BL18" s="324"/>
      <c r="BM18" s="324"/>
      <c r="BN18" s="324"/>
      <c r="BO18" s="324"/>
      <c r="BP18" s="324"/>
      <c r="BQ18" s="324"/>
      <c r="BR18" s="324"/>
      <c r="BS18" s="324"/>
      <c r="BT18" s="324"/>
      <c r="BU18" s="324"/>
      <c r="BV18" s="324"/>
      <c r="BW18" s="324"/>
      <c r="BX18" s="324"/>
      <c r="BY18" s="324"/>
      <c r="BZ18" s="324"/>
      <c r="CA18" s="324"/>
      <c r="CB18" s="324"/>
      <c r="CC18" s="324"/>
      <c r="CD18" s="324"/>
      <c r="CE18" s="324"/>
      <c r="CF18" s="324"/>
      <c r="CG18" s="324"/>
      <c r="CH18" s="324"/>
      <c r="CI18" s="324"/>
      <c r="CJ18" s="324"/>
      <c r="CK18" s="324"/>
      <c r="CL18" s="324"/>
      <c r="CM18" s="324"/>
      <c r="CN18" s="324"/>
      <c r="CO18" s="324"/>
      <c r="CP18" s="324"/>
      <c r="CQ18" s="324"/>
      <c r="CR18" s="324"/>
      <c r="CS18" s="324"/>
      <c r="CT18" s="324"/>
      <c r="CU18" s="324"/>
      <c r="CV18" s="324"/>
      <c r="CW18" s="324"/>
      <c r="CX18" s="324"/>
      <c r="CY18" s="324"/>
      <c r="CZ18" s="324"/>
      <c r="DA18" s="324"/>
      <c r="DB18" s="324"/>
      <c r="DC18" s="324"/>
      <c r="DD18" s="324"/>
      <c r="DE18" s="324"/>
      <c r="DF18" s="324"/>
      <c r="DG18" s="324"/>
      <c r="DH18" s="324"/>
      <c r="DI18" s="324"/>
      <c r="DJ18" s="324"/>
      <c r="DK18" s="324"/>
      <c r="DL18" s="324"/>
      <c r="DM18" s="324"/>
      <c r="DN18" s="324"/>
      <c r="DO18" s="324"/>
      <c r="DP18" s="324"/>
      <c r="DQ18" s="324"/>
      <c r="DR18" s="324"/>
      <c r="DS18" s="324"/>
      <c r="DT18" s="324"/>
      <c r="DU18" s="324"/>
      <c r="DV18" s="324"/>
      <c r="DW18" s="324"/>
      <c r="DX18" s="324"/>
      <c r="DY18" s="324"/>
      <c r="DZ18" s="324"/>
      <c r="EA18" s="324"/>
      <c r="EB18" s="324"/>
      <c r="EC18" s="324"/>
      <c r="ED18" s="324"/>
      <c r="EE18" s="324"/>
      <c r="EF18" s="324"/>
      <c r="EG18" s="324"/>
      <c r="EH18" s="324"/>
      <c r="EI18" s="324"/>
      <c r="EJ18" s="324"/>
      <c r="EK18" s="324"/>
      <c r="EL18" s="324"/>
      <c r="EM18" s="324"/>
      <c r="EN18" s="324"/>
      <c r="EO18" s="324"/>
      <c r="EP18" s="324"/>
      <c r="EQ18" s="324"/>
      <c r="ER18" s="324"/>
      <c r="ES18" s="324"/>
      <c r="ET18" s="324"/>
      <c r="EU18" s="324"/>
      <c r="EV18" s="324"/>
      <c r="EW18" s="324"/>
      <c r="EX18" s="324"/>
      <c r="EY18" s="324"/>
      <c r="EZ18" s="324"/>
      <c r="FA18" s="324"/>
      <c r="FB18" s="324"/>
      <c r="FC18" s="324"/>
      <c r="FD18" s="324"/>
      <c r="FE18" s="324"/>
      <c r="FF18" s="324"/>
      <c r="FG18" s="324"/>
      <c r="FH18" s="324"/>
      <c r="FI18" s="324"/>
      <c r="FJ18" s="324"/>
      <c r="FK18" s="324"/>
      <c r="FL18" s="324"/>
      <c r="FM18" s="324"/>
      <c r="FN18" s="324"/>
      <c r="FO18" s="324"/>
      <c r="FP18" s="324"/>
      <c r="FQ18" s="324"/>
      <c r="FR18" s="324"/>
      <c r="FS18" s="324"/>
      <c r="FT18" s="324"/>
      <c r="FU18" s="324"/>
      <c r="FV18" s="324"/>
      <c r="FW18" s="324"/>
      <c r="FX18" s="324"/>
      <c r="FY18" s="324"/>
      <c r="FZ18" s="324"/>
      <c r="GA18" s="324"/>
      <c r="GB18" s="324"/>
      <c r="GC18" s="324"/>
      <c r="GD18" s="324"/>
      <c r="GE18" s="324"/>
      <c r="GF18" s="324"/>
      <c r="GG18" s="324"/>
      <c r="GH18" s="324"/>
      <c r="GI18" s="324"/>
      <c r="GJ18" s="324"/>
      <c r="GK18" s="324"/>
      <c r="GL18" s="324"/>
      <c r="GM18" s="324"/>
      <c r="GN18" s="324"/>
      <c r="GO18" s="324"/>
      <c r="GP18" s="324"/>
      <c r="GQ18" s="324"/>
      <c r="GR18" s="324"/>
      <c r="GS18" s="324"/>
      <c r="GT18" s="324"/>
      <c r="GU18" s="324"/>
      <c r="GV18" s="324"/>
      <c r="GW18" s="324"/>
      <c r="GX18" s="324"/>
      <c r="GY18" s="324"/>
      <c r="GZ18" s="324"/>
      <c r="HA18" s="324"/>
      <c r="HB18" s="324"/>
      <c r="HC18" s="324"/>
      <c r="HD18" s="324"/>
      <c r="HE18" s="324"/>
      <c r="HF18" s="324"/>
      <c r="HG18" s="324"/>
      <c r="HH18" s="324"/>
      <c r="HI18" s="324"/>
      <c r="HJ18" s="324"/>
      <c r="HK18" s="324"/>
      <c r="HL18" s="324"/>
      <c r="HM18" s="324"/>
      <c r="HN18" s="324"/>
      <c r="HO18" s="324"/>
      <c r="HP18" s="324"/>
      <c r="HQ18" s="324"/>
      <c r="HR18" s="324"/>
      <c r="HS18" s="324"/>
      <c r="HT18" s="324"/>
      <c r="HU18" s="324"/>
      <c r="HV18" s="324"/>
      <c r="HW18" s="324"/>
      <c r="HX18" s="324"/>
      <c r="HY18" s="324"/>
      <c r="HZ18" s="324"/>
      <c r="IA18" s="324"/>
      <c r="IB18" s="324"/>
      <c r="IC18" s="324"/>
      <c r="ID18" s="324"/>
      <c r="IE18" s="324"/>
      <c r="IF18" s="324"/>
      <c r="IG18" s="324"/>
      <c r="IH18" s="324"/>
      <c r="II18" s="324"/>
      <c r="IJ18" s="324"/>
      <c r="IK18" s="324"/>
      <c r="IL18" s="324"/>
      <c r="IM18" s="324"/>
    </row>
    <row r="19" spans="1:247" x14ac:dyDescent="0.35">
      <c r="A19" s="356">
        <v>1541</v>
      </c>
      <c r="B19" s="357" t="s">
        <v>27</v>
      </c>
      <c r="C19" s="172" t="s">
        <v>6</v>
      </c>
      <c r="D19" s="358" t="s">
        <v>2051</v>
      </c>
      <c r="E19" s="336"/>
      <c r="F19" s="331">
        <f t="shared" si="0"/>
        <v>1.0209999999999999</v>
      </c>
      <c r="G19" s="337"/>
      <c r="H19" s="336"/>
      <c r="I19" s="338"/>
      <c r="J19" s="338"/>
      <c r="K19" s="338"/>
      <c r="L19" s="338"/>
      <c r="M19" s="338"/>
      <c r="N19" s="337"/>
      <c r="O19" s="339"/>
      <c r="P19" s="336"/>
      <c r="Q19" s="337"/>
      <c r="R19" s="340">
        <f t="shared" si="1"/>
        <v>1.0209999999999999</v>
      </c>
      <c r="S19" s="324"/>
      <c r="T19" s="324"/>
      <c r="U19" s="324"/>
      <c r="V19" s="324"/>
      <c r="W19" s="324"/>
      <c r="X19" s="324"/>
      <c r="Y19" s="324"/>
      <c r="Z19" s="324"/>
      <c r="AA19" s="324"/>
      <c r="AB19" s="324"/>
      <c r="AC19" s="324"/>
      <c r="AD19" s="324"/>
      <c r="AE19" s="324"/>
      <c r="AF19" s="324"/>
      <c r="AG19" s="324"/>
      <c r="AH19" s="324"/>
      <c r="AI19" s="324"/>
      <c r="AJ19" s="324"/>
      <c r="AK19" s="324"/>
      <c r="AL19" s="324"/>
      <c r="AM19" s="324"/>
      <c r="AN19" s="324"/>
      <c r="AO19" s="324"/>
      <c r="AP19" s="324"/>
      <c r="AQ19" s="324"/>
      <c r="AR19" s="324"/>
      <c r="AS19" s="324"/>
      <c r="AT19" s="324"/>
      <c r="AU19" s="324"/>
      <c r="AV19" s="324"/>
      <c r="AW19" s="324"/>
      <c r="AX19" s="324"/>
      <c r="AY19" s="324"/>
      <c r="AZ19" s="324"/>
      <c r="BA19" s="324"/>
      <c r="BB19" s="324"/>
      <c r="BC19" s="324"/>
      <c r="BD19" s="324"/>
      <c r="BE19" s="324"/>
      <c r="BF19" s="324"/>
      <c r="BG19" s="324"/>
      <c r="BH19" s="324"/>
      <c r="BI19" s="324"/>
      <c r="BJ19" s="324"/>
      <c r="BK19" s="324"/>
      <c r="BL19" s="324"/>
      <c r="BM19" s="324"/>
      <c r="BN19" s="324"/>
      <c r="BO19" s="324"/>
      <c r="BP19" s="324"/>
      <c r="BQ19" s="324"/>
      <c r="BR19" s="324"/>
      <c r="BS19" s="324"/>
      <c r="BT19" s="324"/>
      <c r="BU19" s="324"/>
      <c r="BV19" s="324"/>
      <c r="BW19" s="324"/>
      <c r="BX19" s="324"/>
      <c r="BY19" s="324"/>
      <c r="BZ19" s="324"/>
      <c r="CA19" s="324"/>
      <c r="CB19" s="324"/>
      <c r="CC19" s="324"/>
      <c r="CD19" s="324"/>
      <c r="CE19" s="324"/>
      <c r="CF19" s="324"/>
      <c r="CG19" s="324"/>
      <c r="CH19" s="324"/>
      <c r="CI19" s="324"/>
      <c r="CJ19" s="324"/>
      <c r="CK19" s="324"/>
      <c r="CL19" s="324"/>
      <c r="CM19" s="324"/>
      <c r="CN19" s="324"/>
      <c r="CO19" s="324"/>
      <c r="CP19" s="324"/>
      <c r="CQ19" s="324"/>
      <c r="CR19" s="324"/>
      <c r="CS19" s="324"/>
      <c r="CT19" s="324"/>
      <c r="CU19" s="324"/>
      <c r="CV19" s="324"/>
      <c r="CW19" s="324"/>
      <c r="CX19" s="324"/>
      <c r="CY19" s="324"/>
      <c r="CZ19" s="324"/>
      <c r="DA19" s="324"/>
      <c r="DB19" s="324"/>
      <c r="DC19" s="324"/>
      <c r="DD19" s="324"/>
      <c r="DE19" s="324"/>
      <c r="DF19" s="324"/>
      <c r="DG19" s="324"/>
      <c r="DH19" s="324"/>
      <c r="DI19" s="324"/>
      <c r="DJ19" s="324"/>
      <c r="DK19" s="324"/>
      <c r="DL19" s="324"/>
      <c r="DM19" s="324"/>
      <c r="DN19" s="324"/>
      <c r="DO19" s="324"/>
      <c r="DP19" s="324"/>
      <c r="DQ19" s="324"/>
      <c r="DR19" s="324"/>
      <c r="DS19" s="324"/>
      <c r="DT19" s="324"/>
      <c r="DU19" s="324"/>
      <c r="DV19" s="324"/>
      <c r="DW19" s="324"/>
      <c r="DX19" s="324"/>
      <c r="DY19" s="324"/>
      <c r="DZ19" s="324"/>
      <c r="EA19" s="324"/>
      <c r="EB19" s="324"/>
      <c r="EC19" s="324"/>
      <c r="ED19" s="324"/>
      <c r="EE19" s="324"/>
      <c r="EF19" s="324"/>
      <c r="EG19" s="324"/>
      <c r="EH19" s="324"/>
      <c r="EI19" s="324"/>
      <c r="EJ19" s="324"/>
      <c r="EK19" s="324"/>
      <c r="EL19" s="324"/>
      <c r="EM19" s="324"/>
      <c r="EN19" s="324"/>
      <c r="EO19" s="324"/>
      <c r="EP19" s="324"/>
      <c r="EQ19" s="324"/>
      <c r="ER19" s="324"/>
      <c r="ES19" s="324"/>
      <c r="ET19" s="324"/>
      <c r="EU19" s="324"/>
      <c r="EV19" s="324"/>
      <c r="EW19" s="324"/>
      <c r="EX19" s="324"/>
      <c r="EY19" s="324"/>
      <c r="EZ19" s="324"/>
      <c r="FA19" s="324"/>
      <c r="FB19" s="324"/>
      <c r="FC19" s="324"/>
      <c r="FD19" s="324"/>
      <c r="FE19" s="324"/>
      <c r="FF19" s="324"/>
      <c r="FG19" s="324"/>
      <c r="FH19" s="324"/>
      <c r="FI19" s="324"/>
      <c r="FJ19" s="324"/>
      <c r="FK19" s="324"/>
      <c r="FL19" s="324"/>
      <c r="FM19" s="324"/>
      <c r="FN19" s="324"/>
      <c r="FO19" s="324"/>
      <c r="FP19" s="324"/>
      <c r="FQ19" s="324"/>
      <c r="FR19" s="324"/>
      <c r="FS19" s="324"/>
      <c r="FT19" s="324"/>
      <c r="FU19" s="324"/>
      <c r="FV19" s="324"/>
      <c r="FW19" s="324"/>
      <c r="FX19" s="324"/>
      <c r="FY19" s="324"/>
      <c r="FZ19" s="324"/>
      <c r="GA19" s="324"/>
      <c r="GB19" s="324"/>
      <c r="GC19" s="324"/>
      <c r="GD19" s="324"/>
      <c r="GE19" s="324"/>
      <c r="GF19" s="324"/>
      <c r="GG19" s="324"/>
      <c r="GH19" s="324"/>
      <c r="GI19" s="324"/>
      <c r="GJ19" s="324"/>
      <c r="GK19" s="324"/>
      <c r="GL19" s="324"/>
      <c r="GM19" s="324"/>
      <c r="GN19" s="324"/>
      <c r="GO19" s="324"/>
      <c r="GP19" s="324"/>
      <c r="GQ19" s="324"/>
      <c r="GR19" s="324"/>
      <c r="GS19" s="324"/>
      <c r="GT19" s="324"/>
      <c r="GU19" s="324"/>
      <c r="GV19" s="324"/>
      <c r="GW19" s="324"/>
      <c r="GX19" s="324"/>
      <c r="GY19" s="324"/>
      <c r="GZ19" s="324"/>
      <c r="HA19" s="324"/>
      <c r="HB19" s="324"/>
      <c r="HC19" s="324"/>
      <c r="HD19" s="324"/>
      <c r="HE19" s="324"/>
      <c r="HF19" s="324"/>
      <c r="HG19" s="324"/>
      <c r="HH19" s="324"/>
      <c r="HI19" s="324"/>
      <c r="HJ19" s="324"/>
      <c r="HK19" s="324"/>
      <c r="HL19" s="324"/>
      <c r="HM19" s="324"/>
      <c r="HN19" s="324"/>
      <c r="HO19" s="324"/>
      <c r="HP19" s="324"/>
      <c r="HQ19" s="324"/>
      <c r="HR19" s="324"/>
      <c r="HS19" s="324"/>
      <c r="HT19" s="324"/>
      <c r="HU19" s="324"/>
      <c r="HV19" s="324"/>
      <c r="HW19" s="324"/>
      <c r="HX19" s="324"/>
      <c r="HY19" s="324"/>
      <c r="HZ19" s="324"/>
      <c r="IA19" s="324"/>
      <c r="IB19" s="324"/>
      <c r="IC19" s="324"/>
      <c r="ID19" s="324"/>
      <c r="IE19" s="324"/>
      <c r="IF19" s="324"/>
      <c r="IG19" s="324"/>
      <c r="IH19" s="324"/>
      <c r="II19" s="324"/>
      <c r="IJ19" s="324"/>
      <c r="IK19" s="324"/>
      <c r="IL19" s="324"/>
      <c r="IM19" s="324"/>
    </row>
    <row r="20" spans="1:247" x14ac:dyDescent="0.35">
      <c r="A20" s="356">
        <v>1551</v>
      </c>
      <c r="B20" s="357" t="s">
        <v>28</v>
      </c>
      <c r="C20" s="172" t="s">
        <v>29</v>
      </c>
      <c r="D20" s="358" t="s">
        <v>2051</v>
      </c>
      <c r="E20" s="336"/>
      <c r="F20" s="331">
        <f t="shared" si="0"/>
        <v>1.0209999999999999</v>
      </c>
      <c r="G20" s="337"/>
      <c r="H20" s="336"/>
      <c r="I20" s="338"/>
      <c r="J20" s="338"/>
      <c r="K20" s="338"/>
      <c r="L20" s="338"/>
      <c r="M20" s="338"/>
      <c r="N20" s="337"/>
      <c r="O20" s="339"/>
      <c r="P20" s="336">
        <f>+$P$3</f>
        <v>1.032</v>
      </c>
      <c r="Q20" s="337">
        <f>+$Q$3</f>
        <v>1.0349999999999999</v>
      </c>
      <c r="R20" s="340">
        <f t="shared" si="1"/>
        <v>1.0905505199999999</v>
      </c>
      <c r="S20" s="324"/>
      <c r="T20" s="324"/>
      <c r="U20" s="324"/>
      <c r="V20" s="324"/>
      <c r="W20" s="324"/>
      <c r="X20" s="324"/>
      <c r="Y20" s="324"/>
      <c r="Z20" s="324"/>
      <c r="AA20" s="324"/>
      <c r="AB20" s="324"/>
      <c r="AC20" s="324"/>
      <c r="AD20" s="324"/>
      <c r="AE20" s="324"/>
      <c r="AF20" s="324"/>
      <c r="AG20" s="324"/>
      <c r="AH20" s="324"/>
      <c r="AI20" s="324"/>
      <c r="AJ20" s="324"/>
      <c r="AK20" s="324"/>
      <c r="AL20" s="324"/>
      <c r="AM20" s="324"/>
      <c r="AN20" s="324"/>
      <c r="AO20" s="324"/>
      <c r="AP20" s="324"/>
      <c r="AQ20" s="324"/>
      <c r="AR20" s="324"/>
      <c r="AS20" s="324"/>
      <c r="AT20" s="324"/>
      <c r="AU20" s="324"/>
      <c r="AV20" s="324"/>
      <c r="AW20" s="324"/>
      <c r="AX20" s="324"/>
      <c r="AY20" s="324"/>
      <c r="AZ20" s="324"/>
      <c r="BA20" s="324"/>
      <c r="BB20" s="324"/>
      <c r="BC20" s="324"/>
      <c r="BD20" s="324"/>
      <c r="BE20" s="324"/>
      <c r="BF20" s="324"/>
      <c r="BG20" s="324"/>
      <c r="BH20" s="324"/>
      <c r="BI20" s="324"/>
      <c r="BJ20" s="324"/>
      <c r="BK20" s="324"/>
      <c r="BL20" s="324"/>
      <c r="BM20" s="324"/>
      <c r="BN20" s="324"/>
      <c r="BO20" s="324"/>
      <c r="BP20" s="324"/>
      <c r="BQ20" s="324"/>
      <c r="BR20" s="324"/>
      <c r="BS20" s="324"/>
      <c r="BT20" s="324"/>
      <c r="BU20" s="324"/>
      <c r="BV20" s="324"/>
      <c r="BW20" s="324"/>
      <c r="BX20" s="324"/>
      <c r="BY20" s="324"/>
      <c r="BZ20" s="324"/>
      <c r="CA20" s="324"/>
      <c r="CB20" s="324"/>
      <c r="CC20" s="324"/>
      <c r="CD20" s="324"/>
      <c r="CE20" s="324"/>
      <c r="CF20" s="324"/>
      <c r="CG20" s="324"/>
      <c r="CH20" s="324"/>
      <c r="CI20" s="324"/>
      <c r="CJ20" s="324"/>
      <c r="CK20" s="324"/>
      <c r="CL20" s="324"/>
      <c r="CM20" s="324"/>
      <c r="CN20" s="324"/>
      <c r="CO20" s="324"/>
      <c r="CP20" s="324"/>
      <c r="CQ20" s="324"/>
      <c r="CR20" s="324"/>
      <c r="CS20" s="324"/>
      <c r="CT20" s="324"/>
      <c r="CU20" s="324"/>
      <c r="CV20" s="324"/>
      <c r="CW20" s="324"/>
      <c r="CX20" s="324"/>
      <c r="CY20" s="324"/>
      <c r="CZ20" s="324"/>
      <c r="DA20" s="324"/>
      <c r="DB20" s="324"/>
      <c r="DC20" s="324"/>
      <c r="DD20" s="324"/>
      <c r="DE20" s="324"/>
      <c r="DF20" s="324"/>
      <c r="DG20" s="324"/>
      <c r="DH20" s="324"/>
      <c r="DI20" s="324"/>
      <c r="DJ20" s="324"/>
      <c r="DK20" s="324"/>
      <c r="DL20" s="324"/>
      <c r="DM20" s="324"/>
      <c r="DN20" s="324"/>
      <c r="DO20" s="324"/>
      <c r="DP20" s="324"/>
      <c r="DQ20" s="324"/>
      <c r="DR20" s="324"/>
      <c r="DS20" s="324"/>
      <c r="DT20" s="324"/>
      <c r="DU20" s="324"/>
      <c r="DV20" s="324"/>
      <c r="DW20" s="324"/>
      <c r="DX20" s="324"/>
      <c r="DY20" s="324"/>
      <c r="DZ20" s="324"/>
      <c r="EA20" s="324"/>
      <c r="EB20" s="324"/>
      <c r="EC20" s="324"/>
      <c r="ED20" s="324"/>
      <c r="EE20" s="324"/>
      <c r="EF20" s="324"/>
      <c r="EG20" s="324"/>
      <c r="EH20" s="324"/>
      <c r="EI20" s="324"/>
      <c r="EJ20" s="324"/>
      <c r="EK20" s="324"/>
      <c r="EL20" s="324"/>
      <c r="EM20" s="324"/>
      <c r="EN20" s="324"/>
      <c r="EO20" s="324"/>
      <c r="EP20" s="324"/>
      <c r="EQ20" s="324"/>
      <c r="ER20" s="324"/>
      <c r="ES20" s="324"/>
      <c r="ET20" s="324"/>
      <c r="EU20" s="324"/>
      <c r="EV20" s="324"/>
      <c r="EW20" s="324"/>
      <c r="EX20" s="324"/>
      <c r="EY20" s="324"/>
      <c r="EZ20" s="324"/>
      <c r="FA20" s="324"/>
      <c r="FB20" s="324"/>
      <c r="FC20" s="324"/>
      <c r="FD20" s="324"/>
      <c r="FE20" s="324"/>
      <c r="FF20" s="324"/>
      <c r="FG20" s="324"/>
      <c r="FH20" s="324"/>
      <c r="FI20" s="324"/>
      <c r="FJ20" s="324"/>
      <c r="FK20" s="324"/>
      <c r="FL20" s="324"/>
      <c r="FM20" s="324"/>
      <c r="FN20" s="324"/>
      <c r="FO20" s="324"/>
      <c r="FP20" s="324"/>
      <c r="FQ20" s="324"/>
      <c r="FR20" s="324"/>
      <c r="FS20" s="324"/>
      <c r="FT20" s="324"/>
      <c r="FU20" s="324"/>
      <c r="FV20" s="324"/>
      <c r="FW20" s="324"/>
      <c r="FX20" s="324"/>
      <c r="FY20" s="324"/>
      <c r="FZ20" s="324"/>
      <c r="GA20" s="324"/>
      <c r="GB20" s="324"/>
      <c r="GC20" s="324"/>
      <c r="GD20" s="324"/>
      <c r="GE20" s="324"/>
      <c r="GF20" s="324"/>
      <c r="GG20" s="324"/>
      <c r="GH20" s="324"/>
      <c r="GI20" s="324"/>
      <c r="GJ20" s="324"/>
      <c r="GK20" s="324"/>
      <c r="GL20" s="324"/>
      <c r="GM20" s="324"/>
      <c r="GN20" s="324"/>
      <c r="GO20" s="324"/>
      <c r="GP20" s="324"/>
      <c r="GQ20" s="324"/>
      <c r="GR20" s="324"/>
      <c r="GS20" s="324"/>
      <c r="GT20" s="324"/>
      <c r="GU20" s="324"/>
      <c r="GV20" s="324"/>
      <c r="GW20" s="324"/>
      <c r="GX20" s="324"/>
      <c r="GY20" s="324"/>
      <c r="GZ20" s="324"/>
      <c r="HA20" s="324"/>
      <c r="HB20" s="324"/>
      <c r="HC20" s="324"/>
      <c r="HD20" s="324"/>
      <c r="HE20" s="324"/>
      <c r="HF20" s="324"/>
      <c r="HG20" s="324"/>
      <c r="HH20" s="324"/>
      <c r="HI20" s="324"/>
      <c r="HJ20" s="324"/>
      <c r="HK20" s="324"/>
      <c r="HL20" s="324"/>
      <c r="HM20" s="324"/>
      <c r="HN20" s="324"/>
      <c r="HO20" s="324"/>
      <c r="HP20" s="324"/>
      <c r="HQ20" s="324"/>
      <c r="HR20" s="324"/>
      <c r="HS20" s="324"/>
      <c r="HT20" s="324"/>
      <c r="HU20" s="324"/>
      <c r="HV20" s="324"/>
      <c r="HW20" s="324"/>
      <c r="HX20" s="324"/>
      <c r="HY20" s="324"/>
      <c r="HZ20" s="324"/>
      <c r="IA20" s="324"/>
      <c r="IB20" s="324"/>
      <c r="IC20" s="324"/>
      <c r="ID20" s="324"/>
      <c r="IE20" s="324"/>
      <c r="IF20" s="324"/>
      <c r="IG20" s="324"/>
      <c r="IH20" s="324"/>
      <c r="II20" s="324"/>
      <c r="IJ20" s="324"/>
      <c r="IK20" s="324"/>
      <c r="IL20" s="324"/>
      <c r="IM20" s="324"/>
    </row>
    <row r="21" spans="1:247" x14ac:dyDescent="0.35">
      <c r="A21" s="356">
        <v>1552</v>
      </c>
      <c r="B21" s="357" t="s">
        <v>30</v>
      </c>
      <c r="C21" s="172" t="s">
        <v>8</v>
      </c>
      <c r="D21" s="358" t="s">
        <v>2053</v>
      </c>
      <c r="E21" s="336"/>
      <c r="F21" s="331">
        <f t="shared" si="0"/>
        <v>1.0209999999999999</v>
      </c>
      <c r="G21" s="337"/>
      <c r="H21" s="336"/>
      <c r="I21" s="338"/>
      <c r="J21" s="338">
        <f>+$J$3</f>
        <v>1.0049999999999999</v>
      </c>
      <c r="K21" s="338"/>
      <c r="L21" s="338"/>
      <c r="M21" s="338"/>
      <c r="N21" s="337">
        <f>+$N$3</f>
        <v>1.0029999999999999</v>
      </c>
      <c r="O21" s="339">
        <f>+$O$3</f>
        <v>1.0209999999999999</v>
      </c>
      <c r="P21" s="336">
        <f>+$P$3</f>
        <v>1.032</v>
      </c>
      <c r="Q21" s="337">
        <f>+$Q$3</f>
        <v>1.0349999999999999</v>
      </c>
      <c r="R21" s="340">
        <f t="shared" si="1"/>
        <v>1.1223763993485734</v>
      </c>
      <c r="S21" s="324"/>
      <c r="T21" s="324"/>
      <c r="U21" s="324"/>
      <c r="V21" s="324"/>
      <c r="W21" s="324"/>
      <c r="X21" s="324"/>
      <c r="Y21" s="324"/>
      <c r="Z21" s="324"/>
      <c r="AA21" s="324"/>
      <c r="AB21" s="324"/>
      <c r="AC21" s="324"/>
      <c r="AD21" s="324"/>
      <c r="AE21" s="324"/>
      <c r="AF21" s="324"/>
      <c r="AG21" s="324"/>
      <c r="AH21" s="324"/>
      <c r="AI21" s="324"/>
      <c r="AJ21" s="324"/>
      <c r="AK21" s="324"/>
      <c r="AL21" s="324"/>
      <c r="AM21" s="324"/>
      <c r="AN21" s="324"/>
      <c r="AO21" s="324"/>
      <c r="AP21" s="324"/>
      <c r="AQ21" s="324"/>
      <c r="AR21" s="324"/>
      <c r="AS21" s="324"/>
      <c r="AT21" s="324"/>
      <c r="AU21" s="324"/>
      <c r="AV21" s="324"/>
      <c r="AW21" s="324"/>
      <c r="AX21" s="324"/>
      <c r="AY21" s="324"/>
      <c r="AZ21" s="324"/>
      <c r="BA21" s="324"/>
      <c r="BB21" s="324"/>
      <c r="BC21" s="324"/>
      <c r="BD21" s="324"/>
      <c r="BE21" s="324"/>
      <c r="BF21" s="324"/>
      <c r="BG21" s="324"/>
      <c r="BH21" s="324"/>
      <c r="BI21" s="324"/>
      <c r="BJ21" s="324"/>
      <c r="BK21" s="324"/>
      <c r="BL21" s="324"/>
      <c r="BM21" s="324"/>
      <c r="BN21" s="324"/>
      <c r="BO21" s="324"/>
      <c r="BP21" s="324"/>
      <c r="BQ21" s="324"/>
      <c r="BR21" s="324"/>
      <c r="BS21" s="324"/>
      <c r="BT21" s="324"/>
      <c r="BU21" s="324"/>
      <c r="BV21" s="324"/>
      <c r="BW21" s="324"/>
      <c r="BX21" s="324"/>
      <c r="BY21" s="324"/>
      <c r="BZ21" s="324"/>
      <c r="CA21" s="324"/>
      <c r="CB21" s="324"/>
      <c r="CC21" s="324"/>
      <c r="CD21" s="324"/>
      <c r="CE21" s="324"/>
      <c r="CF21" s="324"/>
      <c r="CG21" s="324"/>
      <c r="CH21" s="324"/>
      <c r="CI21" s="324"/>
      <c r="CJ21" s="324"/>
      <c r="CK21" s="324"/>
      <c r="CL21" s="324"/>
      <c r="CM21" s="324"/>
      <c r="CN21" s="324"/>
      <c r="CO21" s="324"/>
      <c r="CP21" s="324"/>
      <c r="CQ21" s="324"/>
      <c r="CR21" s="324"/>
      <c r="CS21" s="324"/>
      <c r="CT21" s="324"/>
      <c r="CU21" s="324"/>
      <c r="CV21" s="324"/>
      <c r="CW21" s="324"/>
      <c r="CX21" s="324"/>
      <c r="CY21" s="324"/>
      <c r="CZ21" s="324"/>
      <c r="DA21" s="324"/>
      <c r="DB21" s="324"/>
      <c r="DC21" s="324"/>
      <c r="DD21" s="324"/>
      <c r="DE21" s="324"/>
      <c r="DF21" s="324"/>
      <c r="DG21" s="324"/>
      <c r="DH21" s="324"/>
      <c r="DI21" s="324"/>
      <c r="DJ21" s="324"/>
      <c r="DK21" s="324"/>
      <c r="DL21" s="324"/>
      <c r="DM21" s="324"/>
      <c r="DN21" s="324"/>
      <c r="DO21" s="324"/>
      <c r="DP21" s="324"/>
      <c r="DQ21" s="324"/>
      <c r="DR21" s="324"/>
      <c r="DS21" s="324"/>
      <c r="DT21" s="324"/>
      <c r="DU21" s="324"/>
      <c r="DV21" s="324"/>
      <c r="DW21" s="324"/>
      <c r="DX21" s="324"/>
      <c r="DY21" s="324"/>
      <c r="DZ21" s="324"/>
      <c r="EA21" s="324"/>
      <c r="EB21" s="324"/>
      <c r="EC21" s="324"/>
      <c r="ED21" s="324"/>
      <c r="EE21" s="324"/>
      <c r="EF21" s="324"/>
      <c r="EG21" s="324"/>
      <c r="EH21" s="324"/>
      <c r="EI21" s="324"/>
      <c r="EJ21" s="324"/>
      <c r="EK21" s="324"/>
      <c r="EL21" s="324"/>
      <c r="EM21" s="324"/>
      <c r="EN21" s="324"/>
      <c r="EO21" s="324"/>
      <c r="EP21" s="324"/>
      <c r="EQ21" s="324"/>
      <c r="ER21" s="324"/>
      <c r="ES21" s="324"/>
      <c r="ET21" s="324"/>
      <c r="EU21" s="324"/>
      <c r="EV21" s="324"/>
      <c r="EW21" s="324"/>
      <c r="EX21" s="324"/>
      <c r="EY21" s="324"/>
      <c r="EZ21" s="324"/>
      <c r="FA21" s="324"/>
      <c r="FB21" s="324"/>
      <c r="FC21" s="324"/>
      <c r="FD21" s="324"/>
      <c r="FE21" s="324"/>
      <c r="FF21" s="324"/>
      <c r="FG21" s="324"/>
      <c r="FH21" s="324"/>
      <c r="FI21" s="324"/>
      <c r="FJ21" s="324"/>
      <c r="FK21" s="324"/>
      <c r="FL21" s="324"/>
      <c r="FM21" s="324"/>
      <c r="FN21" s="324"/>
      <c r="FO21" s="324"/>
      <c r="FP21" s="324"/>
      <c r="FQ21" s="324"/>
      <c r="FR21" s="324"/>
      <c r="FS21" s="324"/>
      <c r="FT21" s="324"/>
      <c r="FU21" s="324"/>
      <c r="FV21" s="324"/>
      <c r="FW21" s="324"/>
      <c r="FX21" s="324"/>
      <c r="FY21" s="324"/>
      <c r="FZ21" s="324"/>
      <c r="GA21" s="324"/>
      <c r="GB21" s="324"/>
      <c r="GC21" s="324"/>
      <c r="GD21" s="324"/>
      <c r="GE21" s="324"/>
      <c r="GF21" s="324"/>
      <c r="GG21" s="324"/>
      <c r="GH21" s="324"/>
      <c r="GI21" s="324"/>
      <c r="GJ21" s="324"/>
      <c r="GK21" s="324"/>
      <c r="GL21" s="324"/>
      <c r="GM21" s="324"/>
      <c r="GN21" s="324"/>
      <c r="GO21" s="324"/>
      <c r="GP21" s="324"/>
      <c r="GQ21" s="324"/>
      <c r="GR21" s="324"/>
      <c r="GS21" s="324"/>
      <c r="GT21" s="324"/>
      <c r="GU21" s="324"/>
      <c r="GV21" s="324"/>
      <c r="GW21" s="324"/>
      <c r="GX21" s="324"/>
      <c r="GY21" s="324"/>
      <c r="GZ21" s="324"/>
      <c r="HA21" s="324"/>
      <c r="HB21" s="324"/>
      <c r="HC21" s="324"/>
      <c r="HD21" s="324"/>
      <c r="HE21" s="324"/>
      <c r="HF21" s="324"/>
      <c r="HG21" s="324"/>
      <c r="HH21" s="324"/>
      <c r="HI21" s="324"/>
      <c r="HJ21" s="324"/>
      <c r="HK21" s="324"/>
      <c r="HL21" s="324"/>
      <c r="HM21" s="324"/>
      <c r="HN21" s="324"/>
      <c r="HO21" s="324"/>
      <c r="HP21" s="324"/>
      <c r="HQ21" s="324"/>
      <c r="HR21" s="324"/>
      <c r="HS21" s="324"/>
      <c r="HT21" s="324"/>
      <c r="HU21" s="324"/>
      <c r="HV21" s="324"/>
      <c r="HW21" s="324"/>
      <c r="HX21" s="324"/>
      <c r="HY21" s="324"/>
      <c r="HZ21" s="324"/>
      <c r="IA21" s="324"/>
      <c r="IB21" s="324"/>
      <c r="IC21" s="324"/>
      <c r="ID21" s="324"/>
      <c r="IE21" s="324"/>
      <c r="IF21" s="324"/>
      <c r="IG21" s="324"/>
      <c r="IH21" s="324"/>
      <c r="II21" s="324"/>
      <c r="IJ21" s="324"/>
      <c r="IK21" s="324"/>
      <c r="IL21" s="324"/>
      <c r="IM21" s="324"/>
    </row>
    <row r="22" spans="1:247" x14ac:dyDescent="0.35">
      <c r="A22" s="356">
        <v>1591</v>
      </c>
      <c r="B22" s="357" t="s">
        <v>31</v>
      </c>
      <c r="C22" s="172" t="s">
        <v>10</v>
      </c>
      <c r="D22" s="358" t="s">
        <v>2051</v>
      </c>
      <c r="E22" s="336"/>
      <c r="F22" s="331">
        <f t="shared" si="0"/>
        <v>1.0209999999999999</v>
      </c>
      <c r="G22" s="337"/>
      <c r="H22" s="336"/>
      <c r="I22" s="338"/>
      <c r="J22" s="338"/>
      <c r="K22" s="338"/>
      <c r="L22" s="338"/>
      <c r="M22" s="338"/>
      <c r="N22" s="337"/>
      <c r="O22" s="339"/>
      <c r="P22" s="336"/>
      <c r="Q22" s="337"/>
      <c r="R22" s="340">
        <f t="shared" si="1"/>
        <v>1.0209999999999999</v>
      </c>
      <c r="S22" s="324"/>
      <c r="T22" s="324"/>
      <c r="U22" s="324"/>
      <c r="V22" s="324"/>
      <c r="W22" s="324"/>
      <c r="X22" s="324"/>
      <c r="Y22" s="324"/>
      <c r="Z22" s="324"/>
      <c r="AA22" s="324"/>
      <c r="AB22" s="324"/>
      <c r="AC22" s="324"/>
      <c r="AD22" s="324"/>
      <c r="AE22" s="324"/>
      <c r="AF22" s="324"/>
      <c r="AG22" s="324"/>
      <c r="AH22" s="324"/>
      <c r="AI22" s="324"/>
      <c r="AJ22" s="324"/>
      <c r="AK22" s="324"/>
      <c r="AL22" s="324"/>
      <c r="AM22" s="324"/>
      <c r="AN22" s="324"/>
      <c r="AO22" s="324"/>
      <c r="AP22" s="324"/>
      <c r="AQ22" s="324"/>
      <c r="AR22" s="324"/>
      <c r="AS22" s="324"/>
      <c r="AT22" s="324"/>
      <c r="AU22" s="324"/>
      <c r="AV22" s="324"/>
      <c r="AW22" s="324"/>
      <c r="AX22" s="324"/>
      <c r="AY22" s="324"/>
      <c r="AZ22" s="324"/>
      <c r="BA22" s="324"/>
      <c r="BB22" s="324"/>
      <c r="BC22" s="324"/>
      <c r="BD22" s="324"/>
      <c r="BE22" s="324"/>
      <c r="BF22" s="324"/>
      <c r="BG22" s="324"/>
      <c r="BH22" s="324"/>
      <c r="BI22" s="324"/>
      <c r="BJ22" s="324"/>
      <c r="BK22" s="324"/>
      <c r="BL22" s="324"/>
      <c r="BM22" s="324"/>
      <c r="BN22" s="324"/>
      <c r="BO22" s="324"/>
      <c r="BP22" s="324"/>
      <c r="BQ22" s="324"/>
      <c r="BR22" s="324"/>
      <c r="BS22" s="324"/>
      <c r="BT22" s="324"/>
      <c r="BU22" s="324"/>
      <c r="BV22" s="324"/>
      <c r="BW22" s="324"/>
      <c r="BX22" s="324"/>
      <c r="BY22" s="324"/>
      <c r="BZ22" s="324"/>
      <c r="CA22" s="324"/>
      <c r="CB22" s="324"/>
      <c r="CC22" s="324"/>
      <c r="CD22" s="324"/>
      <c r="CE22" s="324"/>
      <c r="CF22" s="324"/>
      <c r="CG22" s="324"/>
      <c r="CH22" s="324"/>
      <c r="CI22" s="324"/>
      <c r="CJ22" s="324"/>
      <c r="CK22" s="324"/>
      <c r="CL22" s="324"/>
      <c r="CM22" s="324"/>
      <c r="CN22" s="324"/>
      <c r="CO22" s="324"/>
      <c r="CP22" s="324"/>
      <c r="CQ22" s="324"/>
      <c r="CR22" s="324"/>
      <c r="CS22" s="324"/>
      <c r="CT22" s="324"/>
      <c r="CU22" s="324"/>
      <c r="CV22" s="324"/>
      <c r="CW22" s="324"/>
      <c r="CX22" s="324"/>
      <c r="CY22" s="324"/>
      <c r="CZ22" s="324"/>
      <c r="DA22" s="324"/>
      <c r="DB22" s="324"/>
      <c r="DC22" s="324"/>
      <c r="DD22" s="324"/>
      <c r="DE22" s="324"/>
      <c r="DF22" s="324"/>
      <c r="DG22" s="324"/>
      <c r="DH22" s="324"/>
      <c r="DI22" s="324"/>
      <c r="DJ22" s="324"/>
      <c r="DK22" s="324"/>
      <c r="DL22" s="324"/>
      <c r="DM22" s="324"/>
      <c r="DN22" s="324"/>
      <c r="DO22" s="324"/>
      <c r="DP22" s="324"/>
      <c r="DQ22" s="324"/>
      <c r="DR22" s="324"/>
      <c r="DS22" s="324"/>
      <c r="DT22" s="324"/>
      <c r="DU22" s="324"/>
      <c r="DV22" s="324"/>
      <c r="DW22" s="324"/>
      <c r="DX22" s="324"/>
      <c r="DY22" s="324"/>
      <c r="DZ22" s="324"/>
      <c r="EA22" s="324"/>
      <c r="EB22" s="324"/>
      <c r="EC22" s="324"/>
      <c r="ED22" s="324"/>
      <c r="EE22" s="324"/>
      <c r="EF22" s="324"/>
      <c r="EG22" s="324"/>
      <c r="EH22" s="324"/>
      <c r="EI22" s="324"/>
      <c r="EJ22" s="324"/>
      <c r="EK22" s="324"/>
      <c r="EL22" s="324"/>
      <c r="EM22" s="324"/>
      <c r="EN22" s="324"/>
      <c r="EO22" s="324"/>
      <c r="EP22" s="324"/>
      <c r="EQ22" s="324"/>
      <c r="ER22" s="324"/>
      <c r="ES22" s="324"/>
      <c r="ET22" s="324"/>
      <c r="EU22" s="324"/>
      <c r="EV22" s="324"/>
      <c r="EW22" s="324"/>
      <c r="EX22" s="324"/>
      <c r="EY22" s="324"/>
      <c r="EZ22" s="324"/>
      <c r="FA22" s="324"/>
      <c r="FB22" s="324"/>
      <c r="FC22" s="324"/>
      <c r="FD22" s="324"/>
      <c r="FE22" s="324"/>
      <c r="FF22" s="324"/>
      <c r="FG22" s="324"/>
      <c r="FH22" s="324"/>
      <c r="FI22" s="324"/>
      <c r="FJ22" s="324"/>
      <c r="FK22" s="324"/>
      <c r="FL22" s="324"/>
      <c r="FM22" s="324"/>
      <c r="FN22" s="324"/>
      <c r="FO22" s="324"/>
      <c r="FP22" s="324"/>
      <c r="FQ22" s="324"/>
      <c r="FR22" s="324"/>
      <c r="FS22" s="324"/>
      <c r="FT22" s="324"/>
      <c r="FU22" s="324"/>
      <c r="FV22" s="324"/>
      <c r="FW22" s="324"/>
      <c r="FX22" s="324"/>
      <c r="FY22" s="324"/>
      <c r="FZ22" s="324"/>
      <c r="GA22" s="324"/>
      <c r="GB22" s="324"/>
      <c r="GC22" s="324"/>
      <c r="GD22" s="324"/>
      <c r="GE22" s="324"/>
      <c r="GF22" s="324"/>
      <c r="GG22" s="324"/>
      <c r="GH22" s="324"/>
      <c r="GI22" s="324"/>
      <c r="GJ22" s="324"/>
      <c r="GK22" s="324"/>
      <c r="GL22" s="324"/>
      <c r="GM22" s="324"/>
      <c r="GN22" s="324"/>
      <c r="GO22" s="324"/>
      <c r="GP22" s="324"/>
      <c r="GQ22" s="324"/>
      <c r="GR22" s="324"/>
      <c r="GS22" s="324"/>
      <c r="GT22" s="324"/>
      <c r="GU22" s="324"/>
      <c r="GV22" s="324"/>
      <c r="GW22" s="324"/>
      <c r="GX22" s="324"/>
      <c r="GY22" s="324"/>
      <c r="GZ22" s="324"/>
      <c r="HA22" s="324"/>
      <c r="HB22" s="324"/>
      <c r="HC22" s="324"/>
      <c r="HD22" s="324"/>
      <c r="HE22" s="324"/>
      <c r="HF22" s="324"/>
      <c r="HG22" s="324"/>
      <c r="HH22" s="324"/>
      <c r="HI22" s="324"/>
      <c r="HJ22" s="324"/>
      <c r="HK22" s="324"/>
      <c r="HL22" s="324"/>
      <c r="HM22" s="324"/>
      <c r="HN22" s="324"/>
      <c r="HO22" s="324"/>
      <c r="HP22" s="324"/>
      <c r="HQ22" s="324"/>
      <c r="HR22" s="324"/>
      <c r="HS22" s="324"/>
      <c r="HT22" s="324"/>
      <c r="HU22" s="324"/>
      <c r="HV22" s="324"/>
      <c r="HW22" s="324"/>
      <c r="HX22" s="324"/>
      <c r="HY22" s="324"/>
      <c r="HZ22" s="324"/>
      <c r="IA22" s="324"/>
      <c r="IB22" s="324"/>
      <c r="IC22" s="324"/>
      <c r="ID22" s="324"/>
      <c r="IE22" s="324"/>
      <c r="IF22" s="324"/>
      <c r="IG22" s="324"/>
      <c r="IH22" s="324"/>
      <c r="II22" s="324"/>
      <c r="IJ22" s="324"/>
      <c r="IK22" s="324"/>
      <c r="IL22" s="324"/>
      <c r="IM22" s="324"/>
    </row>
    <row r="23" spans="1:247" x14ac:dyDescent="0.35">
      <c r="A23" s="356">
        <v>1593</v>
      </c>
      <c r="B23" s="357" t="s">
        <v>277</v>
      </c>
      <c r="C23" s="172" t="s">
        <v>3</v>
      </c>
      <c r="D23" s="358" t="s">
        <v>2051</v>
      </c>
      <c r="E23" s="336"/>
      <c r="F23" s="331">
        <f t="shared" si="0"/>
        <v>1.0209999999999999</v>
      </c>
      <c r="G23" s="337"/>
      <c r="H23" s="336"/>
      <c r="I23" s="338"/>
      <c r="J23" s="338"/>
      <c r="K23" s="338"/>
      <c r="L23" s="338"/>
      <c r="M23" s="338"/>
      <c r="N23" s="337"/>
      <c r="O23" s="339"/>
      <c r="P23" s="336"/>
      <c r="Q23" s="337"/>
      <c r="R23" s="340">
        <f>PRODUCT(E23:Q23)</f>
        <v>1.0209999999999999</v>
      </c>
      <c r="S23" s="324"/>
      <c r="T23" s="324"/>
      <c r="U23" s="324"/>
      <c r="V23" s="324"/>
      <c r="W23" s="324"/>
      <c r="X23" s="324"/>
      <c r="Y23" s="324"/>
      <c r="Z23" s="324"/>
      <c r="AA23" s="324"/>
      <c r="AB23" s="324"/>
      <c r="AC23" s="324"/>
      <c r="AD23" s="324"/>
      <c r="AE23" s="324"/>
      <c r="AF23" s="324"/>
      <c r="AG23" s="324"/>
      <c r="AH23" s="324"/>
      <c r="AI23" s="324"/>
      <c r="AJ23" s="324"/>
      <c r="AK23" s="324"/>
      <c r="AL23" s="324"/>
      <c r="AM23" s="324"/>
      <c r="AN23" s="324"/>
      <c r="AO23" s="324"/>
      <c r="AP23" s="324"/>
      <c r="AQ23" s="324"/>
      <c r="AR23" s="324"/>
      <c r="AS23" s="324"/>
      <c r="AT23" s="324"/>
      <c r="AU23" s="324"/>
      <c r="AV23" s="324"/>
      <c r="AW23" s="324"/>
      <c r="AX23" s="324"/>
      <c r="AY23" s="324"/>
      <c r="AZ23" s="324"/>
      <c r="BA23" s="324"/>
      <c r="BB23" s="324"/>
      <c r="BC23" s="324"/>
      <c r="BD23" s="324"/>
      <c r="BE23" s="324"/>
      <c r="BF23" s="324"/>
      <c r="BG23" s="324"/>
      <c r="BH23" s="324"/>
      <c r="BI23" s="324"/>
      <c r="BJ23" s="324"/>
      <c r="BK23" s="324"/>
      <c r="BL23" s="324"/>
      <c r="BM23" s="324"/>
      <c r="BN23" s="324"/>
      <c r="BO23" s="324"/>
      <c r="BP23" s="324"/>
      <c r="BQ23" s="324"/>
      <c r="BR23" s="324"/>
      <c r="BS23" s="324"/>
      <c r="BT23" s="324"/>
      <c r="BU23" s="324"/>
      <c r="BV23" s="324"/>
      <c r="BW23" s="324"/>
      <c r="BX23" s="324"/>
      <c r="BY23" s="324"/>
      <c r="BZ23" s="324"/>
      <c r="CA23" s="324"/>
      <c r="CB23" s="324"/>
      <c r="CC23" s="324"/>
      <c r="CD23" s="324"/>
      <c r="CE23" s="324"/>
      <c r="CF23" s="324"/>
      <c r="CG23" s="324"/>
      <c r="CH23" s="324"/>
      <c r="CI23" s="324"/>
      <c r="CJ23" s="324"/>
      <c r="CK23" s="324"/>
      <c r="CL23" s="324"/>
      <c r="CM23" s="324"/>
      <c r="CN23" s="324"/>
      <c r="CO23" s="324"/>
      <c r="CP23" s="324"/>
      <c r="CQ23" s="324"/>
      <c r="CR23" s="324"/>
      <c r="CS23" s="324"/>
      <c r="CT23" s="324"/>
      <c r="CU23" s="324"/>
      <c r="CV23" s="324"/>
      <c r="CW23" s="324"/>
      <c r="CX23" s="324"/>
      <c r="CY23" s="324"/>
      <c r="CZ23" s="324"/>
      <c r="DA23" s="324"/>
      <c r="DB23" s="324"/>
      <c r="DC23" s="324"/>
      <c r="DD23" s="324"/>
      <c r="DE23" s="324"/>
      <c r="DF23" s="324"/>
      <c r="DG23" s="324"/>
      <c r="DH23" s="324"/>
      <c r="DI23" s="324"/>
      <c r="DJ23" s="324"/>
      <c r="DK23" s="324"/>
      <c r="DL23" s="324"/>
      <c r="DM23" s="324"/>
      <c r="DN23" s="324"/>
      <c r="DO23" s="324"/>
      <c r="DP23" s="324"/>
      <c r="DQ23" s="324"/>
      <c r="DR23" s="324"/>
      <c r="DS23" s="324"/>
      <c r="DT23" s="324"/>
      <c r="DU23" s="324"/>
      <c r="DV23" s="324"/>
      <c r="DW23" s="324"/>
      <c r="DX23" s="324"/>
      <c r="DY23" s="324"/>
      <c r="DZ23" s="324"/>
      <c r="EA23" s="324"/>
      <c r="EB23" s="324"/>
      <c r="EC23" s="324"/>
      <c r="ED23" s="324"/>
      <c r="EE23" s="324"/>
      <c r="EF23" s="324"/>
      <c r="EG23" s="324"/>
      <c r="EH23" s="324"/>
      <c r="EI23" s="324"/>
      <c r="EJ23" s="324"/>
      <c r="EK23" s="324"/>
      <c r="EL23" s="324"/>
      <c r="EM23" s="324"/>
      <c r="EN23" s="324"/>
      <c r="EO23" s="324"/>
      <c r="EP23" s="324"/>
      <c r="EQ23" s="324"/>
      <c r="ER23" s="324"/>
      <c r="ES23" s="324"/>
      <c r="ET23" s="324"/>
      <c r="EU23" s="324"/>
      <c r="EV23" s="324"/>
      <c r="EW23" s="324"/>
      <c r="EX23" s="324"/>
      <c r="EY23" s="324"/>
      <c r="EZ23" s="324"/>
      <c r="FA23" s="324"/>
      <c r="FB23" s="324"/>
      <c r="FC23" s="324"/>
      <c r="FD23" s="324"/>
      <c r="FE23" s="324"/>
      <c r="FF23" s="324"/>
      <c r="FG23" s="324"/>
      <c r="FH23" s="324"/>
      <c r="FI23" s="324"/>
      <c r="FJ23" s="324"/>
      <c r="FK23" s="324"/>
      <c r="FL23" s="324"/>
      <c r="FM23" s="324"/>
      <c r="FN23" s="324"/>
      <c r="FO23" s="324"/>
      <c r="FP23" s="324"/>
      <c r="FQ23" s="324"/>
      <c r="FR23" s="324"/>
      <c r="FS23" s="324"/>
      <c r="FT23" s="324"/>
      <c r="FU23" s="324"/>
      <c r="FV23" s="324"/>
      <c r="FW23" s="324"/>
      <c r="FX23" s="324"/>
      <c r="FY23" s="324"/>
      <c r="FZ23" s="324"/>
      <c r="GA23" s="324"/>
      <c r="GB23" s="324"/>
      <c r="GC23" s="324"/>
      <c r="GD23" s="324"/>
      <c r="GE23" s="324"/>
      <c r="GF23" s="324"/>
      <c r="GG23" s="324"/>
      <c r="GH23" s="324"/>
      <c r="GI23" s="324"/>
      <c r="GJ23" s="324"/>
      <c r="GK23" s="324"/>
      <c r="GL23" s="324"/>
      <c r="GM23" s="324"/>
      <c r="GN23" s="324"/>
      <c r="GO23" s="324"/>
      <c r="GP23" s="324"/>
      <c r="GQ23" s="324"/>
      <c r="GR23" s="324"/>
      <c r="GS23" s="324"/>
      <c r="GT23" s="324"/>
      <c r="GU23" s="324"/>
      <c r="GV23" s="324"/>
      <c r="GW23" s="324"/>
      <c r="GX23" s="324"/>
      <c r="GY23" s="324"/>
      <c r="GZ23" s="324"/>
      <c r="HA23" s="324"/>
      <c r="HB23" s="324"/>
      <c r="HC23" s="324"/>
      <c r="HD23" s="324"/>
      <c r="HE23" s="324"/>
      <c r="HF23" s="324"/>
      <c r="HG23" s="324"/>
      <c r="HH23" s="324"/>
      <c r="HI23" s="324"/>
      <c r="HJ23" s="324"/>
      <c r="HK23" s="324"/>
      <c r="HL23" s="324"/>
      <c r="HM23" s="324"/>
      <c r="HN23" s="324"/>
      <c r="HO23" s="324"/>
      <c r="HP23" s="324"/>
      <c r="HQ23" s="324"/>
      <c r="HR23" s="324"/>
      <c r="HS23" s="324"/>
      <c r="HT23" s="324"/>
      <c r="HU23" s="324"/>
      <c r="HV23" s="324"/>
      <c r="HW23" s="324"/>
      <c r="HX23" s="324"/>
      <c r="HY23" s="324"/>
      <c r="HZ23" s="324"/>
      <c r="IA23" s="324"/>
      <c r="IB23" s="324"/>
      <c r="IC23" s="324"/>
      <c r="ID23" s="324"/>
      <c r="IE23" s="324"/>
      <c r="IF23" s="324"/>
      <c r="IG23" s="324"/>
      <c r="IH23" s="324"/>
      <c r="II23" s="324"/>
      <c r="IJ23" s="324"/>
      <c r="IK23" s="324"/>
      <c r="IL23" s="324"/>
      <c r="IM23" s="324"/>
    </row>
    <row r="24" spans="1:247" x14ac:dyDescent="0.35">
      <c r="A24" s="356">
        <v>1641</v>
      </c>
      <c r="B24" s="357" t="s">
        <v>32</v>
      </c>
      <c r="C24" s="172" t="s">
        <v>6</v>
      </c>
      <c r="D24" s="358" t="s">
        <v>2051</v>
      </c>
      <c r="E24" s="336"/>
      <c r="F24" s="331">
        <f t="shared" si="0"/>
        <v>1.0209999999999999</v>
      </c>
      <c r="G24" s="337"/>
      <c r="H24" s="336"/>
      <c r="I24" s="338"/>
      <c r="J24" s="338"/>
      <c r="K24" s="338"/>
      <c r="L24" s="338"/>
      <c r="M24" s="338"/>
      <c r="N24" s="337"/>
      <c r="O24" s="339"/>
      <c r="P24" s="336"/>
      <c r="Q24" s="337"/>
      <c r="R24" s="340">
        <f t="shared" si="1"/>
        <v>1.0209999999999999</v>
      </c>
      <c r="S24" s="324"/>
      <c r="T24" s="324"/>
      <c r="U24" s="324"/>
      <c r="V24" s="324"/>
      <c r="W24" s="324"/>
      <c r="X24" s="324"/>
      <c r="Y24" s="324"/>
      <c r="Z24" s="324"/>
      <c r="AA24" s="324"/>
      <c r="AB24" s="324"/>
      <c r="AC24" s="324"/>
      <c r="AD24" s="324"/>
      <c r="AE24" s="324"/>
      <c r="AF24" s="324"/>
      <c r="AG24" s="324"/>
      <c r="AH24" s="324"/>
      <c r="AI24" s="324"/>
      <c r="AJ24" s="324"/>
      <c r="AK24" s="324"/>
      <c r="AL24" s="324"/>
      <c r="AM24" s="324"/>
      <c r="AN24" s="324"/>
      <c r="AO24" s="324"/>
      <c r="AP24" s="324"/>
      <c r="AQ24" s="324"/>
      <c r="AR24" s="324"/>
      <c r="AS24" s="324"/>
      <c r="AT24" s="324"/>
      <c r="AU24" s="324"/>
      <c r="AV24" s="324"/>
      <c r="AW24" s="324"/>
      <c r="AX24" s="324"/>
      <c r="AY24" s="324"/>
      <c r="AZ24" s="324"/>
      <c r="BA24" s="324"/>
      <c r="BB24" s="324"/>
      <c r="BC24" s="324"/>
      <c r="BD24" s="324"/>
      <c r="BE24" s="324"/>
      <c r="BF24" s="324"/>
      <c r="BG24" s="324"/>
      <c r="BH24" s="324"/>
      <c r="BI24" s="324"/>
      <c r="BJ24" s="324"/>
      <c r="BK24" s="324"/>
      <c r="BL24" s="324"/>
      <c r="BM24" s="324"/>
      <c r="BN24" s="324"/>
      <c r="BO24" s="324"/>
      <c r="BP24" s="324"/>
      <c r="BQ24" s="324"/>
      <c r="BR24" s="324"/>
      <c r="BS24" s="324"/>
      <c r="BT24" s="324"/>
      <c r="BU24" s="324"/>
      <c r="BV24" s="324"/>
      <c r="BW24" s="324"/>
      <c r="BX24" s="324"/>
      <c r="BY24" s="324"/>
      <c r="BZ24" s="324"/>
      <c r="CA24" s="324"/>
      <c r="CB24" s="324"/>
      <c r="CC24" s="324"/>
      <c r="CD24" s="324"/>
      <c r="CE24" s="324"/>
      <c r="CF24" s="324"/>
      <c r="CG24" s="324"/>
      <c r="CH24" s="324"/>
      <c r="CI24" s="324"/>
      <c r="CJ24" s="324"/>
      <c r="CK24" s="324"/>
      <c r="CL24" s="324"/>
      <c r="CM24" s="324"/>
      <c r="CN24" s="324"/>
      <c r="CO24" s="324"/>
      <c r="CP24" s="324"/>
      <c r="CQ24" s="324"/>
      <c r="CR24" s="324"/>
      <c r="CS24" s="324"/>
      <c r="CT24" s="324"/>
      <c r="CU24" s="324"/>
      <c r="CV24" s="324"/>
      <c r="CW24" s="324"/>
      <c r="CX24" s="324"/>
      <c r="CY24" s="324"/>
      <c r="CZ24" s="324"/>
      <c r="DA24" s="324"/>
      <c r="DB24" s="324"/>
      <c r="DC24" s="324"/>
      <c r="DD24" s="324"/>
      <c r="DE24" s="324"/>
      <c r="DF24" s="324"/>
      <c r="DG24" s="324"/>
      <c r="DH24" s="324"/>
      <c r="DI24" s="324"/>
      <c r="DJ24" s="324"/>
      <c r="DK24" s="324"/>
      <c r="DL24" s="324"/>
      <c r="DM24" s="324"/>
      <c r="DN24" s="324"/>
      <c r="DO24" s="324"/>
      <c r="DP24" s="324"/>
      <c r="DQ24" s="324"/>
      <c r="DR24" s="324"/>
      <c r="DS24" s="324"/>
      <c r="DT24" s="324"/>
      <c r="DU24" s="324"/>
      <c r="DV24" s="324"/>
      <c r="DW24" s="324"/>
      <c r="DX24" s="324"/>
      <c r="DY24" s="324"/>
      <c r="DZ24" s="324"/>
      <c r="EA24" s="324"/>
      <c r="EB24" s="324"/>
      <c r="EC24" s="324"/>
      <c r="ED24" s="324"/>
      <c r="EE24" s="324"/>
      <c r="EF24" s="324"/>
      <c r="EG24" s="324"/>
      <c r="EH24" s="324"/>
      <c r="EI24" s="324"/>
      <c r="EJ24" s="324"/>
      <c r="EK24" s="324"/>
      <c r="EL24" s="324"/>
      <c r="EM24" s="324"/>
      <c r="EN24" s="324"/>
      <c r="EO24" s="324"/>
      <c r="EP24" s="324"/>
      <c r="EQ24" s="324"/>
      <c r="ER24" s="324"/>
      <c r="ES24" s="324"/>
      <c r="ET24" s="324"/>
      <c r="EU24" s="324"/>
      <c r="EV24" s="324"/>
      <c r="EW24" s="324"/>
      <c r="EX24" s="324"/>
      <c r="EY24" s="324"/>
      <c r="EZ24" s="324"/>
      <c r="FA24" s="324"/>
      <c r="FB24" s="324"/>
      <c r="FC24" s="324"/>
      <c r="FD24" s="324"/>
      <c r="FE24" s="324"/>
      <c r="FF24" s="324"/>
      <c r="FG24" s="324"/>
      <c r="FH24" s="324"/>
      <c r="FI24" s="324"/>
      <c r="FJ24" s="324"/>
      <c r="FK24" s="324"/>
      <c r="FL24" s="324"/>
      <c r="FM24" s="324"/>
      <c r="FN24" s="324"/>
      <c r="FO24" s="324"/>
      <c r="FP24" s="324"/>
      <c r="FQ24" s="324"/>
      <c r="FR24" s="324"/>
      <c r="FS24" s="324"/>
      <c r="FT24" s="324"/>
      <c r="FU24" s="324"/>
      <c r="FV24" s="324"/>
      <c r="FW24" s="324"/>
      <c r="FX24" s="324"/>
      <c r="FY24" s="324"/>
      <c r="FZ24" s="324"/>
      <c r="GA24" s="324"/>
      <c r="GB24" s="324"/>
      <c r="GC24" s="324"/>
      <c r="GD24" s="324"/>
      <c r="GE24" s="324"/>
      <c r="GF24" s="324"/>
      <c r="GG24" s="324"/>
      <c r="GH24" s="324"/>
      <c r="GI24" s="324"/>
      <c r="GJ24" s="324"/>
      <c r="GK24" s="324"/>
      <c r="GL24" s="324"/>
      <c r="GM24" s="324"/>
      <c r="GN24" s="324"/>
      <c r="GO24" s="324"/>
      <c r="GP24" s="324"/>
      <c r="GQ24" s="324"/>
      <c r="GR24" s="324"/>
      <c r="GS24" s="324"/>
      <c r="GT24" s="324"/>
      <c r="GU24" s="324"/>
      <c r="GV24" s="324"/>
      <c r="GW24" s="324"/>
      <c r="GX24" s="324"/>
      <c r="GY24" s="324"/>
      <c r="GZ24" s="324"/>
      <c r="HA24" s="324"/>
      <c r="HB24" s="324"/>
      <c r="HC24" s="324"/>
      <c r="HD24" s="324"/>
      <c r="HE24" s="324"/>
      <c r="HF24" s="324"/>
      <c r="HG24" s="324"/>
      <c r="HH24" s="324"/>
      <c r="HI24" s="324"/>
      <c r="HJ24" s="324"/>
      <c r="HK24" s="324"/>
      <c r="HL24" s="324"/>
      <c r="HM24" s="324"/>
      <c r="HN24" s="324"/>
      <c r="HO24" s="324"/>
      <c r="HP24" s="324"/>
      <c r="HQ24" s="324"/>
      <c r="HR24" s="324"/>
      <c r="HS24" s="324"/>
      <c r="HT24" s="324"/>
      <c r="HU24" s="324"/>
      <c r="HV24" s="324"/>
      <c r="HW24" s="324"/>
      <c r="HX24" s="324"/>
      <c r="HY24" s="324"/>
      <c r="HZ24" s="324"/>
      <c r="IA24" s="324"/>
      <c r="IB24" s="324"/>
      <c r="IC24" s="324"/>
      <c r="ID24" s="324"/>
      <c r="IE24" s="324"/>
      <c r="IF24" s="324"/>
      <c r="IG24" s="324"/>
      <c r="IH24" s="324"/>
      <c r="II24" s="324"/>
      <c r="IJ24" s="324"/>
      <c r="IK24" s="324"/>
      <c r="IL24" s="324"/>
      <c r="IM24" s="324"/>
    </row>
    <row r="25" spans="1:247" x14ac:dyDescent="0.35">
      <c r="A25" s="356">
        <v>1725</v>
      </c>
      <c r="B25" s="357" t="s">
        <v>33</v>
      </c>
      <c r="C25" s="172" t="s">
        <v>10</v>
      </c>
      <c r="D25" s="358" t="s">
        <v>2051</v>
      </c>
      <c r="E25" s="336"/>
      <c r="F25" s="331">
        <f t="shared" si="0"/>
        <v>1.0209999999999999</v>
      </c>
      <c r="G25" s="337">
        <f>+$G$3</f>
        <v>1.0269999999999999</v>
      </c>
      <c r="H25" s="336"/>
      <c r="I25" s="338"/>
      <c r="J25" s="338"/>
      <c r="K25" s="338"/>
      <c r="L25" s="338">
        <f>+$L$3</f>
        <v>1.0129999999999999</v>
      </c>
      <c r="M25" s="338"/>
      <c r="N25" s="337">
        <f>+$N$3</f>
        <v>1.0029999999999999</v>
      </c>
      <c r="O25" s="339"/>
      <c r="P25" s="336">
        <f>+$P$3</f>
        <v>1.032</v>
      </c>
      <c r="Q25" s="337">
        <f>+$Q$3</f>
        <v>1.0349999999999999</v>
      </c>
      <c r="R25" s="340">
        <f t="shared" si="1"/>
        <v>1.1379589900046172</v>
      </c>
      <c r="S25" s="324"/>
      <c r="T25" s="324"/>
      <c r="U25" s="324"/>
      <c r="V25" s="324"/>
      <c r="W25" s="324"/>
      <c r="X25" s="324"/>
      <c r="Y25" s="324"/>
      <c r="Z25" s="324"/>
      <c r="AA25" s="324"/>
      <c r="AB25" s="324"/>
      <c r="AC25" s="324"/>
      <c r="AD25" s="324"/>
      <c r="AE25" s="324"/>
      <c r="AF25" s="324"/>
      <c r="AG25" s="324"/>
      <c r="AH25" s="324"/>
      <c r="AI25" s="324"/>
      <c r="AJ25" s="324"/>
      <c r="AK25" s="324"/>
      <c r="AL25" s="324"/>
      <c r="AM25" s="324"/>
      <c r="AN25" s="324"/>
      <c r="AO25" s="324"/>
      <c r="AP25" s="324"/>
      <c r="AQ25" s="324"/>
      <c r="AR25" s="324"/>
      <c r="AS25" s="324"/>
      <c r="AT25" s="324"/>
      <c r="AU25" s="324"/>
      <c r="AV25" s="324"/>
      <c r="AW25" s="324"/>
      <c r="AX25" s="324"/>
      <c r="AY25" s="324"/>
      <c r="AZ25" s="324"/>
      <c r="BA25" s="324"/>
      <c r="BB25" s="324"/>
      <c r="BC25" s="324"/>
      <c r="BD25" s="324"/>
      <c r="BE25" s="324"/>
      <c r="BF25" s="324"/>
      <c r="BG25" s="324"/>
      <c r="BH25" s="324"/>
      <c r="BI25" s="324"/>
      <c r="BJ25" s="324"/>
      <c r="BK25" s="324"/>
      <c r="BL25" s="324"/>
      <c r="BM25" s="324"/>
      <c r="BN25" s="324"/>
      <c r="BO25" s="324"/>
      <c r="BP25" s="324"/>
      <c r="BQ25" s="324"/>
      <c r="BR25" s="324"/>
      <c r="BS25" s="324"/>
      <c r="BT25" s="324"/>
      <c r="BU25" s="324"/>
      <c r="BV25" s="324"/>
      <c r="BW25" s="324"/>
      <c r="BX25" s="324"/>
      <c r="BY25" s="324"/>
      <c r="BZ25" s="324"/>
      <c r="CA25" s="324"/>
      <c r="CB25" s="324"/>
      <c r="CC25" s="324"/>
      <c r="CD25" s="324"/>
      <c r="CE25" s="324"/>
      <c r="CF25" s="324"/>
      <c r="CG25" s="324"/>
      <c r="CH25" s="324"/>
      <c r="CI25" s="324"/>
      <c r="CJ25" s="324"/>
      <c r="CK25" s="324"/>
      <c r="CL25" s="324"/>
      <c r="CM25" s="324"/>
      <c r="CN25" s="324"/>
      <c r="CO25" s="324"/>
      <c r="CP25" s="324"/>
      <c r="CQ25" s="324"/>
      <c r="CR25" s="324"/>
      <c r="CS25" s="324"/>
      <c r="CT25" s="324"/>
      <c r="CU25" s="324"/>
      <c r="CV25" s="324"/>
      <c r="CW25" s="324"/>
      <c r="CX25" s="324"/>
      <c r="CY25" s="324"/>
      <c r="CZ25" s="324"/>
      <c r="DA25" s="324"/>
      <c r="DB25" s="324"/>
      <c r="DC25" s="324"/>
      <c r="DD25" s="324"/>
      <c r="DE25" s="324"/>
      <c r="DF25" s="324"/>
      <c r="DG25" s="324"/>
      <c r="DH25" s="324"/>
      <c r="DI25" s="324"/>
      <c r="DJ25" s="324"/>
      <c r="DK25" s="324"/>
      <c r="DL25" s="324"/>
      <c r="DM25" s="324"/>
      <c r="DN25" s="324"/>
      <c r="DO25" s="324"/>
      <c r="DP25" s="324"/>
      <c r="DQ25" s="324"/>
      <c r="DR25" s="324"/>
      <c r="DS25" s="324"/>
      <c r="DT25" s="324"/>
      <c r="DU25" s="324"/>
      <c r="DV25" s="324"/>
      <c r="DW25" s="324"/>
      <c r="DX25" s="324"/>
      <c r="DY25" s="324"/>
      <c r="DZ25" s="324"/>
      <c r="EA25" s="324"/>
      <c r="EB25" s="324"/>
      <c r="EC25" s="324"/>
      <c r="ED25" s="324"/>
      <c r="EE25" s="324"/>
      <c r="EF25" s="324"/>
      <c r="EG25" s="324"/>
      <c r="EH25" s="324"/>
      <c r="EI25" s="324"/>
      <c r="EJ25" s="324"/>
      <c r="EK25" s="324"/>
      <c r="EL25" s="324"/>
      <c r="EM25" s="324"/>
      <c r="EN25" s="324"/>
      <c r="EO25" s="324"/>
      <c r="EP25" s="324"/>
      <c r="EQ25" s="324"/>
      <c r="ER25" s="324"/>
      <c r="ES25" s="324"/>
      <c r="ET25" s="324"/>
      <c r="EU25" s="324"/>
      <c r="EV25" s="324"/>
      <c r="EW25" s="324"/>
      <c r="EX25" s="324"/>
      <c r="EY25" s="324"/>
      <c r="EZ25" s="324"/>
      <c r="FA25" s="324"/>
      <c r="FB25" s="324"/>
      <c r="FC25" s="324"/>
      <c r="FD25" s="324"/>
      <c r="FE25" s="324"/>
      <c r="FF25" s="324"/>
      <c r="FG25" s="324"/>
      <c r="FH25" s="324"/>
      <c r="FI25" s="324"/>
      <c r="FJ25" s="324"/>
      <c r="FK25" s="324"/>
      <c r="FL25" s="324"/>
      <c r="FM25" s="324"/>
      <c r="FN25" s="324"/>
      <c r="FO25" s="324"/>
      <c r="FP25" s="324"/>
      <c r="FQ25" s="324"/>
      <c r="FR25" s="324"/>
      <c r="FS25" s="324"/>
      <c r="FT25" s="324"/>
      <c r="FU25" s="324"/>
      <c r="FV25" s="324"/>
      <c r="FW25" s="324"/>
      <c r="FX25" s="324"/>
      <c r="FY25" s="324"/>
      <c r="FZ25" s="324"/>
      <c r="GA25" s="324"/>
      <c r="GB25" s="324"/>
      <c r="GC25" s="324"/>
      <c r="GD25" s="324"/>
      <c r="GE25" s="324"/>
      <c r="GF25" s="324"/>
      <c r="GG25" s="324"/>
      <c r="GH25" s="324"/>
      <c r="GI25" s="324"/>
      <c r="GJ25" s="324"/>
      <c r="GK25" s="324"/>
      <c r="GL25" s="324"/>
      <c r="GM25" s="324"/>
      <c r="GN25" s="324"/>
      <c r="GO25" s="324"/>
      <c r="GP25" s="324"/>
      <c r="GQ25" s="324"/>
      <c r="GR25" s="324"/>
      <c r="GS25" s="324"/>
      <c r="GT25" s="324"/>
      <c r="GU25" s="324"/>
      <c r="GV25" s="324"/>
      <c r="GW25" s="324"/>
      <c r="GX25" s="324"/>
      <c r="GY25" s="324"/>
      <c r="GZ25" s="324"/>
      <c r="HA25" s="324"/>
      <c r="HB25" s="324"/>
      <c r="HC25" s="324"/>
      <c r="HD25" s="324"/>
      <c r="HE25" s="324"/>
      <c r="HF25" s="324"/>
      <c r="HG25" s="324"/>
      <c r="HH25" s="324"/>
      <c r="HI25" s="324"/>
      <c r="HJ25" s="324"/>
      <c r="HK25" s="324"/>
      <c r="HL25" s="324"/>
      <c r="HM25" s="324"/>
      <c r="HN25" s="324"/>
      <c r="HO25" s="324"/>
      <c r="HP25" s="324"/>
      <c r="HQ25" s="324"/>
      <c r="HR25" s="324"/>
      <c r="HS25" s="324"/>
      <c r="HT25" s="324"/>
      <c r="HU25" s="324"/>
      <c r="HV25" s="324"/>
      <c r="HW25" s="324"/>
      <c r="HX25" s="324"/>
      <c r="HY25" s="324"/>
      <c r="HZ25" s="324"/>
      <c r="IA25" s="324"/>
      <c r="IB25" s="324"/>
      <c r="IC25" s="324"/>
      <c r="ID25" s="324"/>
      <c r="IE25" s="324"/>
      <c r="IF25" s="324"/>
      <c r="IG25" s="324"/>
      <c r="IH25" s="324"/>
      <c r="II25" s="324"/>
      <c r="IJ25" s="324"/>
      <c r="IK25" s="324"/>
      <c r="IL25" s="324"/>
      <c r="IM25" s="324"/>
    </row>
    <row r="26" spans="1:247" x14ac:dyDescent="0.35">
      <c r="A26" s="356">
        <v>1726</v>
      </c>
      <c r="B26" s="357" t="s">
        <v>2605</v>
      </c>
      <c r="C26" s="172" t="s">
        <v>8</v>
      </c>
      <c r="D26" s="358" t="s">
        <v>2053</v>
      </c>
      <c r="E26" s="336"/>
      <c r="F26" s="331">
        <f t="shared" si="0"/>
        <v>1.0209999999999999</v>
      </c>
      <c r="G26" s="337">
        <f t="shared" ref="G26:G62" si="6">+$G$3</f>
        <v>1.0269999999999999</v>
      </c>
      <c r="H26" s="336"/>
      <c r="I26" s="338"/>
      <c r="J26" s="338"/>
      <c r="K26" s="338"/>
      <c r="L26" s="338"/>
      <c r="M26" s="338"/>
      <c r="N26" s="337"/>
      <c r="O26" s="339"/>
      <c r="P26" s="336">
        <f>+$P$3</f>
        <v>1.032</v>
      </c>
      <c r="Q26" s="337"/>
      <c r="R26" s="340">
        <f t="shared" si="1"/>
        <v>1.0821211439999998</v>
      </c>
      <c r="S26" s="324"/>
      <c r="T26" s="324"/>
      <c r="U26" s="324"/>
      <c r="V26" s="324"/>
      <c r="W26" s="324"/>
      <c r="X26" s="324"/>
      <c r="Y26" s="324"/>
      <c r="Z26" s="324"/>
      <c r="AA26" s="324"/>
      <c r="AB26" s="324"/>
      <c r="AC26" s="324"/>
      <c r="AD26" s="324"/>
      <c r="AE26" s="324"/>
      <c r="AF26" s="324"/>
      <c r="AG26" s="324"/>
      <c r="AH26" s="324"/>
      <c r="AI26" s="324"/>
      <c r="AJ26" s="324"/>
      <c r="AK26" s="324"/>
      <c r="AL26" s="324"/>
      <c r="AM26" s="324"/>
      <c r="AN26" s="324"/>
      <c r="AO26" s="324"/>
      <c r="AP26" s="324"/>
      <c r="AQ26" s="324"/>
      <c r="AR26" s="324"/>
      <c r="AS26" s="324"/>
      <c r="AT26" s="324"/>
      <c r="AU26" s="324"/>
      <c r="AV26" s="324"/>
      <c r="AW26" s="324"/>
      <c r="AX26" s="324"/>
      <c r="AY26" s="324"/>
      <c r="AZ26" s="324"/>
      <c r="BA26" s="324"/>
      <c r="BB26" s="324"/>
      <c r="BC26" s="324"/>
      <c r="BD26" s="324"/>
      <c r="BE26" s="324"/>
      <c r="BF26" s="324"/>
      <c r="BG26" s="324"/>
      <c r="BH26" s="324"/>
      <c r="BI26" s="324"/>
      <c r="BJ26" s="324"/>
      <c r="BK26" s="324"/>
      <c r="BL26" s="324"/>
      <c r="BM26" s="324"/>
      <c r="BN26" s="324"/>
      <c r="BO26" s="324"/>
      <c r="BP26" s="324"/>
      <c r="BQ26" s="324"/>
      <c r="BR26" s="324"/>
      <c r="BS26" s="324"/>
      <c r="BT26" s="324"/>
      <c r="BU26" s="324"/>
      <c r="BV26" s="324"/>
      <c r="BW26" s="324"/>
      <c r="BX26" s="324"/>
      <c r="BY26" s="324"/>
      <c r="BZ26" s="324"/>
      <c r="CA26" s="324"/>
      <c r="CB26" s="324"/>
      <c r="CC26" s="324"/>
      <c r="CD26" s="324"/>
      <c r="CE26" s="324"/>
      <c r="CF26" s="324"/>
      <c r="CG26" s="324"/>
      <c r="CH26" s="324"/>
      <c r="CI26" s="324"/>
      <c r="CJ26" s="324"/>
      <c r="CK26" s="324"/>
      <c r="CL26" s="324"/>
      <c r="CM26" s="324"/>
      <c r="CN26" s="324"/>
      <c r="CO26" s="324"/>
      <c r="CP26" s="324"/>
      <c r="CQ26" s="324"/>
      <c r="CR26" s="324"/>
      <c r="CS26" s="324"/>
      <c r="CT26" s="324"/>
      <c r="CU26" s="324"/>
      <c r="CV26" s="324"/>
      <c r="CW26" s="324"/>
      <c r="CX26" s="324"/>
      <c r="CY26" s="324"/>
      <c r="CZ26" s="324"/>
      <c r="DA26" s="324"/>
      <c r="DB26" s="324"/>
      <c r="DC26" s="324"/>
      <c r="DD26" s="324"/>
      <c r="DE26" s="324"/>
      <c r="DF26" s="324"/>
      <c r="DG26" s="324"/>
      <c r="DH26" s="324"/>
      <c r="DI26" s="324"/>
      <c r="DJ26" s="324"/>
      <c r="DK26" s="324"/>
      <c r="DL26" s="324"/>
      <c r="DM26" s="324"/>
      <c r="DN26" s="324"/>
      <c r="DO26" s="324"/>
      <c r="DP26" s="324"/>
      <c r="DQ26" s="324"/>
      <c r="DR26" s="324"/>
      <c r="DS26" s="324"/>
      <c r="DT26" s="324"/>
      <c r="DU26" s="324"/>
      <c r="DV26" s="324"/>
      <c r="DW26" s="324"/>
      <c r="DX26" s="324"/>
      <c r="DY26" s="324"/>
      <c r="DZ26" s="324"/>
      <c r="EA26" s="324"/>
      <c r="EB26" s="324"/>
      <c r="EC26" s="324"/>
      <c r="ED26" s="324"/>
      <c r="EE26" s="324"/>
      <c r="EF26" s="324"/>
      <c r="EG26" s="324"/>
      <c r="EH26" s="324"/>
      <c r="EI26" s="324"/>
      <c r="EJ26" s="324"/>
      <c r="EK26" s="324"/>
      <c r="EL26" s="324"/>
      <c r="EM26" s="324"/>
      <c r="EN26" s="324"/>
      <c r="EO26" s="324"/>
      <c r="EP26" s="324"/>
      <c r="EQ26" s="324"/>
      <c r="ER26" s="324"/>
      <c r="ES26" s="324"/>
      <c r="ET26" s="324"/>
      <c r="EU26" s="324"/>
      <c r="EV26" s="324"/>
      <c r="EW26" s="324"/>
      <c r="EX26" s="324"/>
      <c r="EY26" s="324"/>
      <c r="EZ26" s="324"/>
      <c r="FA26" s="324"/>
      <c r="FB26" s="324"/>
      <c r="FC26" s="324"/>
      <c r="FD26" s="324"/>
      <c r="FE26" s="324"/>
      <c r="FF26" s="324"/>
      <c r="FG26" s="324"/>
      <c r="FH26" s="324"/>
      <c r="FI26" s="324"/>
      <c r="FJ26" s="324"/>
      <c r="FK26" s="324"/>
      <c r="FL26" s="324"/>
      <c r="FM26" s="324"/>
      <c r="FN26" s="324"/>
      <c r="FO26" s="324"/>
      <c r="FP26" s="324"/>
      <c r="FQ26" s="324"/>
      <c r="FR26" s="324"/>
      <c r="FS26" s="324"/>
      <c r="FT26" s="324"/>
      <c r="FU26" s="324"/>
      <c r="FV26" s="324"/>
      <c r="FW26" s="324"/>
      <c r="FX26" s="324"/>
      <c r="FY26" s="324"/>
      <c r="FZ26" s="324"/>
      <c r="GA26" s="324"/>
      <c r="GB26" s="324"/>
      <c r="GC26" s="324"/>
      <c r="GD26" s="324"/>
      <c r="GE26" s="324"/>
      <c r="GF26" s="324"/>
      <c r="GG26" s="324"/>
      <c r="GH26" s="324"/>
      <c r="GI26" s="324"/>
      <c r="GJ26" s="324"/>
      <c r="GK26" s="324"/>
      <c r="GL26" s="324"/>
      <c r="GM26" s="324"/>
      <c r="GN26" s="324"/>
      <c r="GO26" s="324"/>
      <c r="GP26" s="324"/>
      <c r="GQ26" s="324"/>
      <c r="GR26" s="324"/>
      <c r="GS26" s="324"/>
      <c r="GT26" s="324"/>
      <c r="GU26" s="324"/>
      <c r="GV26" s="324"/>
      <c r="GW26" s="324"/>
      <c r="GX26" s="324"/>
      <c r="GY26" s="324"/>
      <c r="GZ26" s="324"/>
      <c r="HA26" s="324"/>
      <c r="HB26" s="324"/>
      <c r="HC26" s="324"/>
      <c r="HD26" s="324"/>
      <c r="HE26" s="324"/>
      <c r="HF26" s="324"/>
      <c r="HG26" s="324"/>
      <c r="HH26" s="324"/>
      <c r="HI26" s="324"/>
      <c r="HJ26" s="324"/>
      <c r="HK26" s="324"/>
      <c r="HL26" s="324"/>
      <c r="HM26" s="324"/>
      <c r="HN26" s="324"/>
      <c r="HO26" s="324"/>
      <c r="HP26" s="324"/>
      <c r="HQ26" s="324"/>
      <c r="HR26" s="324"/>
      <c r="HS26" s="324"/>
      <c r="HT26" s="324"/>
      <c r="HU26" s="324"/>
      <c r="HV26" s="324"/>
      <c r="HW26" s="324"/>
      <c r="HX26" s="324"/>
      <c r="HY26" s="324"/>
      <c r="HZ26" s="324"/>
      <c r="IA26" s="324"/>
      <c r="IB26" s="324"/>
      <c r="IC26" s="324"/>
      <c r="ID26" s="324"/>
      <c r="IE26" s="324"/>
      <c r="IF26" s="324"/>
      <c r="IG26" s="324"/>
      <c r="IH26" s="324"/>
      <c r="II26" s="324"/>
      <c r="IJ26" s="324"/>
      <c r="IK26" s="324"/>
      <c r="IL26" s="324"/>
      <c r="IM26" s="324"/>
    </row>
    <row r="27" spans="1:247" x14ac:dyDescent="0.35">
      <c r="A27" s="356">
        <v>1745</v>
      </c>
      <c r="B27" s="357" t="s">
        <v>35</v>
      </c>
      <c r="C27" s="172" t="s">
        <v>34</v>
      </c>
      <c r="D27" s="358" t="s">
        <v>2051</v>
      </c>
      <c r="E27" s="336"/>
      <c r="F27" s="331">
        <f t="shared" si="0"/>
        <v>1.0209999999999999</v>
      </c>
      <c r="G27" s="337"/>
      <c r="H27" s="336"/>
      <c r="I27" s="338"/>
      <c r="J27" s="338"/>
      <c r="K27" s="338"/>
      <c r="L27" s="338"/>
      <c r="M27" s="338"/>
      <c r="N27" s="337"/>
      <c r="O27" s="339"/>
      <c r="P27" s="336"/>
      <c r="Q27" s="337"/>
      <c r="R27" s="340">
        <f t="shared" si="1"/>
        <v>1.0209999999999999</v>
      </c>
      <c r="S27" s="324"/>
      <c r="T27" s="324"/>
      <c r="U27" s="324"/>
      <c r="V27" s="324"/>
      <c r="W27" s="324"/>
      <c r="X27" s="324"/>
      <c r="Y27" s="324"/>
      <c r="Z27" s="324"/>
      <c r="AA27" s="324"/>
      <c r="AB27" s="324"/>
      <c r="AC27" s="324"/>
      <c r="AD27" s="324"/>
      <c r="AE27" s="324"/>
      <c r="AF27" s="324"/>
      <c r="AG27" s="324"/>
      <c r="AH27" s="324"/>
      <c r="AI27" s="324"/>
      <c r="AJ27" s="324"/>
      <c r="AK27" s="324"/>
      <c r="AL27" s="324"/>
      <c r="AM27" s="324"/>
      <c r="AN27" s="324"/>
      <c r="AO27" s="324"/>
      <c r="AP27" s="324"/>
      <c r="AQ27" s="324"/>
      <c r="AR27" s="324"/>
      <c r="AS27" s="324"/>
      <c r="AT27" s="324"/>
      <c r="AU27" s="324"/>
      <c r="AV27" s="324"/>
      <c r="AW27" s="324"/>
      <c r="AX27" s="324"/>
      <c r="AY27" s="324"/>
      <c r="AZ27" s="324"/>
      <c r="BA27" s="324"/>
      <c r="BB27" s="324"/>
      <c r="BC27" s="324"/>
      <c r="BD27" s="324"/>
      <c r="BE27" s="324"/>
      <c r="BF27" s="324"/>
      <c r="BG27" s="324"/>
      <c r="BH27" s="324"/>
      <c r="BI27" s="324"/>
      <c r="BJ27" s="324"/>
      <c r="BK27" s="324"/>
      <c r="BL27" s="324"/>
      <c r="BM27" s="324"/>
      <c r="BN27" s="324"/>
      <c r="BO27" s="324"/>
      <c r="BP27" s="324"/>
      <c r="BQ27" s="324"/>
      <c r="BR27" s="324"/>
      <c r="BS27" s="324"/>
      <c r="BT27" s="324"/>
      <c r="BU27" s="324"/>
      <c r="BV27" s="324"/>
      <c r="BW27" s="324"/>
      <c r="BX27" s="324"/>
      <c r="BY27" s="324"/>
      <c r="BZ27" s="324"/>
      <c r="CA27" s="324"/>
      <c r="CB27" s="324"/>
      <c r="CC27" s="324"/>
      <c r="CD27" s="324"/>
      <c r="CE27" s="324"/>
      <c r="CF27" s="324"/>
      <c r="CG27" s="324"/>
      <c r="CH27" s="324"/>
      <c r="CI27" s="324"/>
      <c r="CJ27" s="324"/>
      <c r="CK27" s="324"/>
      <c r="CL27" s="324"/>
      <c r="CM27" s="324"/>
      <c r="CN27" s="324"/>
      <c r="CO27" s="324"/>
      <c r="CP27" s="324"/>
      <c r="CQ27" s="324"/>
      <c r="CR27" s="324"/>
      <c r="CS27" s="324"/>
      <c r="CT27" s="324"/>
      <c r="CU27" s="324"/>
      <c r="CV27" s="324"/>
      <c r="CW27" s="324"/>
      <c r="CX27" s="324"/>
      <c r="CY27" s="324"/>
      <c r="CZ27" s="324"/>
      <c r="DA27" s="324"/>
      <c r="DB27" s="324"/>
      <c r="DC27" s="324"/>
      <c r="DD27" s="324"/>
      <c r="DE27" s="324"/>
      <c r="DF27" s="324"/>
      <c r="DG27" s="324"/>
      <c r="DH27" s="324"/>
      <c r="DI27" s="324"/>
      <c r="DJ27" s="324"/>
      <c r="DK27" s="324"/>
      <c r="DL27" s="324"/>
      <c r="DM27" s="324"/>
      <c r="DN27" s="324"/>
      <c r="DO27" s="324"/>
      <c r="DP27" s="324"/>
      <c r="DQ27" s="324"/>
      <c r="DR27" s="324"/>
      <c r="DS27" s="324"/>
      <c r="DT27" s="324"/>
      <c r="DU27" s="324"/>
      <c r="DV27" s="324"/>
      <c r="DW27" s="324"/>
      <c r="DX27" s="324"/>
      <c r="DY27" s="324"/>
      <c r="DZ27" s="324"/>
      <c r="EA27" s="324"/>
      <c r="EB27" s="324"/>
      <c r="EC27" s="324"/>
      <c r="ED27" s="324"/>
      <c r="EE27" s="324"/>
      <c r="EF27" s="324"/>
      <c r="EG27" s="324"/>
      <c r="EH27" s="324"/>
      <c r="EI27" s="324"/>
      <c r="EJ27" s="324"/>
      <c r="EK27" s="324"/>
      <c r="EL27" s="324"/>
      <c r="EM27" s="324"/>
      <c r="EN27" s="324"/>
      <c r="EO27" s="324"/>
      <c r="EP27" s="324"/>
      <c r="EQ27" s="324"/>
      <c r="ER27" s="324"/>
      <c r="ES27" s="324"/>
      <c r="ET27" s="324"/>
      <c r="EU27" s="324"/>
      <c r="EV27" s="324"/>
      <c r="EW27" s="324"/>
      <c r="EX27" s="324"/>
      <c r="EY27" s="324"/>
      <c r="EZ27" s="324"/>
      <c r="FA27" s="324"/>
      <c r="FB27" s="324"/>
      <c r="FC27" s="324"/>
      <c r="FD27" s="324"/>
      <c r="FE27" s="324"/>
      <c r="FF27" s="324"/>
      <c r="FG27" s="324"/>
      <c r="FH27" s="324"/>
      <c r="FI27" s="324"/>
      <c r="FJ27" s="324"/>
      <c r="FK27" s="324"/>
      <c r="FL27" s="324"/>
      <c r="FM27" s="324"/>
      <c r="FN27" s="324"/>
      <c r="FO27" s="324"/>
      <c r="FP27" s="324"/>
      <c r="FQ27" s="324"/>
      <c r="FR27" s="324"/>
      <c r="FS27" s="324"/>
      <c r="FT27" s="324"/>
      <c r="FU27" s="324"/>
      <c r="FV27" s="324"/>
      <c r="FW27" s="324"/>
      <c r="FX27" s="324"/>
      <c r="FY27" s="324"/>
      <c r="FZ27" s="324"/>
      <c r="GA27" s="324"/>
      <c r="GB27" s="324"/>
      <c r="GC27" s="324"/>
      <c r="GD27" s="324"/>
      <c r="GE27" s="324"/>
      <c r="GF27" s="324"/>
      <c r="GG27" s="324"/>
      <c r="GH27" s="324"/>
      <c r="GI27" s="324"/>
      <c r="GJ27" s="324"/>
      <c r="GK27" s="324"/>
      <c r="GL27" s="324"/>
      <c r="GM27" s="324"/>
      <c r="GN27" s="324"/>
      <c r="GO27" s="324"/>
      <c r="GP27" s="324"/>
      <c r="GQ27" s="324"/>
      <c r="GR27" s="324"/>
      <c r="GS27" s="324"/>
      <c r="GT27" s="324"/>
      <c r="GU27" s="324"/>
      <c r="GV27" s="324"/>
      <c r="GW27" s="324"/>
      <c r="GX27" s="324"/>
      <c r="GY27" s="324"/>
      <c r="GZ27" s="324"/>
      <c r="HA27" s="324"/>
      <c r="HB27" s="324"/>
      <c r="HC27" s="324"/>
      <c r="HD27" s="324"/>
      <c r="HE27" s="324"/>
      <c r="HF27" s="324"/>
      <c r="HG27" s="324"/>
      <c r="HH27" s="324"/>
      <c r="HI27" s="324"/>
      <c r="HJ27" s="324"/>
      <c r="HK27" s="324"/>
      <c r="HL27" s="324"/>
      <c r="HM27" s="324"/>
      <c r="HN27" s="324"/>
      <c r="HO27" s="324"/>
      <c r="HP27" s="324"/>
      <c r="HQ27" s="324"/>
      <c r="HR27" s="324"/>
      <c r="HS27" s="324"/>
      <c r="HT27" s="324"/>
      <c r="HU27" s="324"/>
      <c r="HV27" s="324"/>
      <c r="HW27" s="324"/>
      <c r="HX27" s="324"/>
      <c r="HY27" s="324"/>
      <c r="HZ27" s="324"/>
      <c r="IA27" s="324"/>
      <c r="IB27" s="324"/>
      <c r="IC27" s="324"/>
      <c r="ID27" s="324"/>
      <c r="IE27" s="324"/>
      <c r="IF27" s="324"/>
      <c r="IG27" s="324"/>
      <c r="IH27" s="324"/>
      <c r="II27" s="324"/>
      <c r="IJ27" s="324"/>
      <c r="IK27" s="324"/>
      <c r="IL27" s="324"/>
      <c r="IM27" s="324"/>
    </row>
    <row r="28" spans="1:247" x14ac:dyDescent="0.35">
      <c r="A28" s="356">
        <v>1750</v>
      </c>
      <c r="B28" s="357" t="s">
        <v>36</v>
      </c>
      <c r="C28" s="172" t="s">
        <v>37</v>
      </c>
      <c r="D28" s="358" t="s">
        <v>2051</v>
      </c>
      <c r="E28" s="336"/>
      <c r="F28" s="331">
        <f t="shared" si="0"/>
        <v>1.0209999999999999</v>
      </c>
      <c r="G28" s="337">
        <f t="shared" si="6"/>
        <v>1.0269999999999999</v>
      </c>
      <c r="H28" s="336"/>
      <c r="I28" s="338"/>
      <c r="J28" s="338"/>
      <c r="K28" s="338"/>
      <c r="L28" s="338"/>
      <c r="M28" s="338"/>
      <c r="N28" s="337"/>
      <c r="O28" s="339"/>
      <c r="P28" s="336"/>
      <c r="Q28" s="337"/>
      <c r="R28" s="340">
        <f t="shared" si="1"/>
        <v>1.0485669999999998</v>
      </c>
      <c r="S28" s="324"/>
      <c r="T28" s="324"/>
      <c r="U28" s="324"/>
      <c r="V28" s="324"/>
      <c r="W28" s="324"/>
      <c r="X28" s="324"/>
      <c r="Y28" s="324"/>
      <c r="Z28" s="324"/>
      <c r="AA28" s="324"/>
      <c r="AB28" s="324"/>
      <c r="AC28" s="324"/>
      <c r="AD28" s="324"/>
      <c r="AE28" s="324"/>
      <c r="AF28" s="324"/>
      <c r="AG28" s="324"/>
      <c r="AH28" s="324"/>
      <c r="AI28" s="324"/>
      <c r="AJ28" s="324"/>
      <c r="AK28" s="324"/>
      <c r="AL28" s="324"/>
      <c r="AM28" s="324"/>
      <c r="AN28" s="324"/>
      <c r="AO28" s="324"/>
      <c r="AP28" s="324"/>
      <c r="AQ28" s="324"/>
      <c r="AR28" s="324"/>
      <c r="AS28" s="324"/>
      <c r="AT28" s="324"/>
      <c r="AU28" s="324"/>
      <c r="AV28" s="324"/>
      <c r="AW28" s="324"/>
      <c r="AX28" s="324"/>
      <c r="AY28" s="324"/>
      <c r="AZ28" s="324"/>
      <c r="BA28" s="324"/>
      <c r="BB28" s="324"/>
      <c r="BC28" s="324"/>
      <c r="BD28" s="324"/>
      <c r="BE28" s="324"/>
      <c r="BF28" s="324"/>
      <c r="BG28" s="324"/>
      <c r="BH28" s="324"/>
      <c r="BI28" s="324"/>
      <c r="BJ28" s="324"/>
      <c r="BK28" s="324"/>
      <c r="BL28" s="324"/>
      <c r="BM28" s="324"/>
      <c r="BN28" s="324"/>
      <c r="BO28" s="324"/>
      <c r="BP28" s="324"/>
      <c r="BQ28" s="324"/>
      <c r="BR28" s="324"/>
      <c r="BS28" s="324"/>
      <c r="BT28" s="324"/>
      <c r="BU28" s="324"/>
      <c r="BV28" s="324"/>
      <c r="BW28" s="324"/>
      <c r="BX28" s="324"/>
      <c r="BY28" s="324"/>
      <c r="BZ28" s="324"/>
      <c r="CA28" s="324"/>
      <c r="CB28" s="324"/>
      <c r="CC28" s="324"/>
      <c r="CD28" s="324"/>
      <c r="CE28" s="324"/>
      <c r="CF28" s="324"/>
      <c r="CG28" s="324"/>
      <c r="CH28" s="324"/>
      <c r="CI28" s="324"/>
      <c r="CJ28" s="324"/>
      <c r="CK28" s="324"/>
      <c r="CL28" s="324"/>
      <c r="CM28" s="324"/>
      <c r="CN28" s="324"/>
      <c r="CO28" s="324"/>
      <c r="CP28" s="324"/>
      <c r="CQ28" s="324"/>
      <c r="CR28" s="324"/>
      <c r="CS28" s="324"/>
      <c r="CT28" s="324"/>
      <c r="CU28" s="324"/>
      <c r="CV28" s="324"/>
      <c r="CW28" s="324"/>
      <c r="CX28" s="324"/>
      <c r="CY28" s="324"/>
      <c r="CZ28" s="324"/>
      <c r="DA28" s="324"/>
      <c r="DB28" s="324"/>
      <c r="DC28" s="324"/>
      <c r="DD28" s="324"/>
      <c r="DE28" s="324"/>
      <c r="DF28" s="324"/>
      <c r="DG28" s="324"/>
      <c r="DH28" s="324"/>
      <c r="DI28" s="324"/>
      <c r="DJ28" s="324"/>
      <c r="DK28" s="324"/>
      <c r="DL28" s="324"/>
      <c r="DM28" s="324"/>
      <c r="DN28" s="324"/>
      <c r="DO28" s="324"/>
      <c r="DP28" s="324"/>
      <c r="DQ28" s="324"/>
      <c r="DR28" s="324"/>
      <c r="DS28" s="324"/>
      <c r="DT28" s="324"/>
      <c r="DU28" s="324"/>
      <c r="DV28" s="324"/>
      <c r="DW28" s="324"/>
      <c r="DX28" s="324"/>
      <c r="DY28" s="324"/>
      <c r="DZ28" s="324"/>
      <c r="EA28" s="324"/>
      <c r="EB28" s="324"/>
      <c r="EC28" s="324"/>
      <c r="ED28" s="324"/>
      <c r="EE28" s="324"/>
      <c r="EF28" s="324"/>
      <c r="EG28" s="324"/>
      <c r="EH28" s="324"/>
      <c r="EI28" s="324"/>
      <c r="EJ28" s="324"/>
      <c r="EK28" s="324"/>
      <c r="EL28" s="324"/>
      <c r="EM28" s="324"/>
      <c r="EN28" s="324"/>
      <c r="EO28" s="324"/>
      <c r="EP28" s="324"/>
      <c r="EQ28" s="324"/>
      <c r="ER28" s="324"/>
      <c r="ES28" s="324"/>
      <c r="ET28" s="324"/>
      <c r="EU28" s="324"/>
      <c r="EV28" s="324"/>
      <c r="EW28" s="324"/>
      <c r="EX28" s="324"/>
      <c r="EY28" s="324"/>
      <c r="EZ28" s="324"/>
      <c r="FA28" s="324"/>
      <c r="FB28" s="324"/>
      <c r="FC28" s="324"/>
      <c r="FD28" s="324"/>
      <c r="FE28" s="324"/>
      <c r="FF28" s="324"/>
      <c r="FG28" s="324"/>
      <c r="FH28" s="324"/>
      <c r="FI28" s="324"/>
      <c r="FJ28" s="324"/>
      <c r="FK28" s="324"/>
      <c r="FL28" s="324"/>
      <c r="FM28" s="324"/>
      <c r="FN28" s="324"/>
      <c r="FO28" s="324"/>
      <c r="FP28" s="324"/>
      <c r="FQ28" s="324"/>
      <c r="FR28" s="324"/>
      <c r="FS28" s="324"/>
      <c r="FT28" s="324"/>
      <c r="FU28" s="324"/>
      <c r="FV28" s="324"/>
      <c r="FW28" s="324"/>
      <c r="FX28" s="324"/>
      <c r="FY28" s="324"/>
      <c r="FZ28" s="324"/>
      <c r="GA28" s="324"/>
      <c r="GB28" s="324"/>
      <c r="GC28" s="324"/>
      <c r="GD28" s="324"/>
      <c r="GE28" s="324"/>
      <c r="GF28" s="324"/>
      <c r="GG28" s="324"/>
      <c r="GH28" s="324"/>
      <c r="GI28" s="324"/>
      <c r="GJ28" s="324"/>
      <c r="GK28" s="324"/>
      <c r="GL28" s="324"/>
      <c r="GM28" s="324"/>
      <c r="GN28" s="324"/>
      <c r="GO28" s="324"/>
      <c r="GP28" s="324"/>
      <c r="GQ28" s="324"/>
      <c r="GR28" s="324"/>
      <c r="GS28" s="324"/>
      <c r="GT28" s="324"/>
      <c r="GU28" s="324"/>
      <c r="GV28" s="324"/>
      <c r="GW28" s="324"/>
      <c r="GX28" s="324"/>
      <c r="GY28" s="324"/>
      <c r="GZ28" s="324"/>
      <c r="HA28" s="324"/>
      <c r="HB28" s="324"/>
      <c r="HC28" s="324"/>
      <c r="HD28" s="324"/>
      <c r="HE28" s="324"/>
      <c r="HF28" s="324"/>
      <c r="HG28" s="324"/>
      <c r="HH28" s="324"/>
      <c r="HI28" s="324"/>
      <c r="HJ28" s="324"/>
      <c r="HK28" s="324"/>
      <c r="HL28" s="324"/>
      <c r="HM28" s="324"/>
      <c r="HN28" s="324"/>
      <c r="HO28" s="324"/>
      <c r="HP28" s="324"/>
      <c r="HQ28" s="324"/>
      <c r="HR28" s="324"/>
      <c r="HS28" s="324"/>
      <c r="HT28" s="324"/>
      <c r="HU28" s="324"/>
      <c r="HV28" s="324"/>
      <c r="HW28" s="324"/>
      <c r="HX28" s="324"/>
      <c r="HY28" s="324"/>
      <c r="HZ28" s="324"/>
      <c r="IA28" s="324"/>
      <c r="IB28" s="324"/>
      <c r="IC28" s="324"/>
      <c r="ID28" s="324"/>
      <c r="IE28" s="324"/>
      <c r="IF28" s="324"/>
      <c r="IG28" s="324"/>
      <c r="IH28" s="324"/>
      <c r="II28" s="324"/>
      <c r="IJ28" s="324"/>
      <c r="IK28" s="324"/>
      <c r="IL28" s="324"/>
      <c r="IM28" s="324"/>
    </row>
    <row r="29" spans="1:247" x14ac:dyDescent="0.35">
      <c r="A29" s="356">
        <v>1751</v>
      </c>
      <c r="B29" s="357" t="s">
        <v>38</v>
      </c>
      <c r="C29" s="172" t="s">
        <v>37</v>
      </c>
      <c r="D29" s="358" t="s">
        <v>2051</v>
      </c>
      <c r="E29" s="336"/>
      <c r="F29" s="331">
        <f t="shared" si="0"/>
        <v>1.0209999999999999</v>
      </c>
      <c r="G29" s="337">
        <f t="shared" si="6"/>
        <v>1.0269999999999999</v>
      </c>
      <c r="H29" s="336"/>
      <c r="I29" s="338"/>
      <c r="J29" s="338"/>
      <c r="K29" s="338"/>
      <c r="L29" s="338"/>
      <c r="M29" s="338"/>
      <c r="N29" s="337"/>
      <c r="O29" s="339"/>
      <c r="P29" s="336"/>
      <c r="Q29" s="337"/>
      <c r="R29" s="340">
        <f t="shared" si="1"/>
        <v>1.0485669999999998</v>
      </c>
      <c r="S29" s="324"/>
      <c r="T29" s="324"/>
      <c r="U29" s="324"/>
      <c r="V29" s="324"/>
      <c r="W29" s="324"/>
      <c r="X29" s="324"/>
      <c r="Y29" s="324"/>
      <c r="Z29" s="324"/>
      <c r="AA29" s="324"/>
      <c r="AB29" s="324"/>
      <c r="AC29" s="324"/>
      <c r="AD29" s="324"/>
      <c r="AE29" s="324"/>
      <c r="AF29" s="324"/>
      <c r="AG29" s="324"/>
      <c r="AH29" s="324"/>
      <c r="AI29" s="324"/>
      <c r="AJ29" s="324"/>
      <c r="AK29" s="324"/>
      <c r="AL29" s="324"/>
      <c r="AM29" s="324"/>
      <c r="AN29" s="324"/>
      <c r="AO29" s="324"/>
      <c r="AP29" s="324"/>
      <c r="AQ29" s="324"/>
      <c r="AR29" s="324"/>
      <c r="AS29" s="324"/>
      <c r="AT29" s="324"/>
      <c r="AU29" s="324"/>
      <c r="AV29" s="324"/>
      <c r="AW29" s="324"/>
      <c r="AX29" s="324"/>
      <c r="AY29" s="324"/>
      <c r="AZ29" s="324"/>
      <c r="BA29" s="324"/>
      <c r="BB29" s="324"/>
      <c r="BC29" s="324"/>
      <c r="BD29" s="324"/>
      <c r="BE29" s="324"/>
      <c r="BF29" s="324"/>
      <c r="BG29" s="324"/>
      <c r="BH29" s="324"/>
      <c r="BI29" s="324"/>
      <c r="BJ29" s="324"/>
      <c r="BK29" s="324"/>
      <c r="BL29" s="324"/>
      <c r="BM29" s="324"/>
      <c r="BN29" s="324"/>
      <c r="BO29" s="324"/>
      <c r="BP29" s="324"/>
      <c r="BQ29" s="324"/>
      <c r="BR29" s="324"/>
      <c r="BS29" s="324"/>
      <c r="BT29" s="324"/>
      <c r="BU29" s="324"/>
      <c r="BV29" s="324"/>
      <c r="BW29" s="324"/>
      <c r="BX29" s="324"/>
      <c r="BY29" s="324"/>
      <c r="BZ29" s="324"/>
      <c r="CA29" s="324"/>
      <c r="CB29" s="324"/>
      <c r="CC29" s="324"/>
      <c r="CD29" s="324"/>
      <c r="CE29" s="324"/>
      <c r="CF29" s="324"/>
      <c r="CG29" s="324"/>
      <c r="CH29" s="324"/>
      <c r="CI29" s="324"/>
      <c r="CJ29" s="324"/>
      <c r="CK29" s="324"/>
      <c r="CL29" s="324"/>
      <c r="CM29" s="324"/>
      <c r="CN29" s="324"/>
      <c r="CO29" s="324"/>
      <c r="CP29" s="324"/>
      <c r="CQ29" s="324"/>
      <c r="CR29" s="324"/>
      <c r="CS29" s="324"/>
      <c r="CT29" s="324"/>
      <c r="CU29" s="324"/>
      <c r="CV29" s="324"/>
      <c r="CW29" s="324"/>
      <c r="CX29" s="324"/>
      <c r="CY29" s="324"/>
      <c r="CZ29" s="324"/>
      <c r="DA29" s="324"/>
      <c r="DB29" s="324"/>
      <c r="DC29" s="324"/>
      <c r="DD29" s="324"/>
      <c r="DE29" s="324"/>
      <c r="DF29" s="324"/>
      <c r="DG29" s="324"/>
      <c r="DH29" s="324"/>
      <c r="DI29" s="324"/>
      <c r="DJ29" s="324"/>
      <c r="DK29" s="324"/>
      <c r="DL29" s="324"/>
      <c r="DM29" s="324"/>
      <c r="DN29" s="324"/>
      <c r="DO29" s="324"/>
      <c r="DP29" s="324"/>
      <c r="DQ29" s="324"/>
      <c r="DR29" s="324"/>
      <c r="DS29" s="324"/>
      <c r="DT29" s="324"/>
      <c r="DU29" s="324"/>
      <c r="DV29" s="324"/>
      <c r="DW29" s="324"/>
      <c r="DX29" s="324"/>
      <c r="DY29" s="324"/>
      <c r="DZ29" s="324"/>
      <c r="EA29" s="324"/>
      <c r="EB29" s="324"/>
      <c r="EC29" s="324"/>
      <c r="ED29" s="324"/>
      <c r="EE29" s="324"/>
      <c r="EF29" s="324"/>
      <c r="EG29" s="324"/>
      <c r="EH29" s="324"/>
      <c r="EI29" s="324"/>
      <c r="EJ29" s="324"/>
      <c r="EK29" s="324"/>
      <c r="EL29" s="324"/>
      <c r="EM29" s="324"/>
      <c r="EN29" s="324"/>
      <c r="EO29" s="324"/>
      <c r="EP29" s="324"/>
      <c r="EQ29" s="324"/>
      <c r="ER29" s="324"/>
      <c r="ES29" s="324"/>
      <c r="ET29" s="324"/>
      <c r="EU29" s="324"/>
      <c r="EV29" s="324"/>
      <c r="EW29" s="324"/>
      <c r="EX29" s="324"/>
      <c r="EY29" s="324"/>
      <c r="EZ29" s="324"/>
      <c r="FA29" s="324"/>
      <c r="FB29" s="324"/>
      <c r="FC29" s="324"/>
      <c r="FD29" s="324"/>
      <c r="FE29" s="324"/>
      <c r="FF29" s="324"/>
      <c r="FG29" s="324"/>
      <c r="FH29" s="324"/>
      <c r="FI29" s="324"/>
      <c r="FJ29" s="324"/>
      <c r="FK29" s="324"/>
      <c r="FL29" s="324"/>
      <c r="FM29" s="324"/>
      <c r="FN29" s="324"/>
      <c r="FO29" s="324"/>
      <c r="FP29" s="324"/>
      <c r="FQ29" s="324"/>
      <c r="FR29" s="324"/>
      <c r="FS29" s="324"/>
      <c r="FT29" s="324"/>
      <c r="FU29" s="324"/>
      <c r="FV29" s="324"/>
      <c r="FW29" s="324"/>
      <c r="FX29" s="324"/>
      <c r="FY29" s="324"/>
      <c r="FZ29" s="324"/>
      <c r="GA29" s="324"/>
      <c r="GB29" s="324"/>
      <c r="GC29" s="324"/>
      <c r="GD29" s="324"/>
      <c r="GE29" s="324"/>
      <c r="GF29" s="324"/>
      <c r="GG29" s="324"/>
      <c r="GH29" s="324"/>
      <c r="GI29" s="324"/>
      <c r="GJ29" s="324"/>
      <c r="GK29" s="324"/>
      <c r="GL29" s="324"/>
      <c r="GM29" s="324"/>
      <c r="GN29" s="324"/>
      <c r="GO29" s="324"/>
      <c r="GP29" s="324"/>
      <c r="GQ29" s="324"/>
      <c r="GR29" s="324"/>
      <c r="GS29" s="324"/>
      <c r="GT29" s="324"/>
      <c r="GU29" s="324"/>
      <c r="GV29" s="324"/>
      <c r="GW29" s="324"/>
      <c r="GX29" s="324"/>
      <c r="GY29" s="324"/>
      <c r="GZ29" s="324"/>
      <c r="HA29" s="324"/>
      <c r="HB29" s="324"/>
      <c r="HC29" s="324"/>
      <c r="HD29" s="324"/>
      <c r="HE29" s="324"/>
      <c r="HF29" s="324"/>
      <c r="HG29" s="324"/>
      <c r="HH29" s="324"/>
      <c r="HI29" s="324"/>
      <c r="HJ29" s="324"/>
      <c r="HK29" s="324"/>
      <c r="HL29" s="324"/>
      <c r="HM29" s="324"/>
      <c r="HN29" s="324"/>
      <c r="HO29" s="324"/>
      <c r="HP29" s="324"/>
      <c r="HQ29" s="324"/>
      <c r="HR29" s="324"/>
      <c r="HS29" s="324"/>
      <c r="HT29" s="324"/>
      <c r="HU29" s="324"/>
      <c r="HV29" s="324"/>
      <c r="HW29" s="324"/>
      <c r="HX29" s="324"/>
      <c r="HY29" s="324"/>
      <c r="HZ29" s="324"/>
      <c r="IA29" s="324"/>
      <c r="IB29" s="324"/>
      <c r="IC29" s="324"/>
      <c r="ID29" s="324"/>
      <c r="IE29" s="324"/>
      <c r="IF29" s="324"/>
      <c r="IG29" s="324"/>
      <c r="IH29" s="324"/>
      <c r="II29" s="324"/>
      <c r="IJ29" s="324"/>
      <c r="IK29" s="324"/>
      <c r="IL29" s="324"/>
      <c r="IM29" s="324"/>
    </row>
    <row r="30" spans="1:247" x14ac:dyDescent="0.35">
      <c r="A30" s="356">
        <v>1752</v>
      </c>
      <c r="B30" s="357" t="s">
        <v>39</v>
      </c>
      <c r="C30" s="172" t="s">
        <v>37</v>
      </c>
      <c r="D30" s="358" t="s">
        <v>2051</v>
      </c>
      <c r="E30" s="336"/>
      <c r="F30" s="331">
        <f t="shared" si="0"/>
        <v>1.0209999999999999</v>
      </c>
      <c r="G30" s="337">
        <f t="shared" si="6"/>
        <v>1.0269999999999999</v>
      </c>
      <c r="H30" s="336"/>
      <c r="I30" s="338"/>
      <c r="J30" s="338"/>
      <c r="K30" s="338"/>
      <c r="L30" s="338"/>
      <c r="M30" s="338"/>
      <c r="N30" s="337"/>
      <c r="O30" s="339"/>
      <c r="P30" s="336"/>
      <c r="Q30" s="337"/>
      <c r="R30" s="340">
        <f t="shared" si="1"/>
        <v>1.0485669999999998</v>
      </c>
      <c r="S30" s="324"/>
      <c r="T30" s="324"/>
      <c r="U30" s="324"/>
      <c r="V30" s="324"/>
      <c r="W30" s="324"/>
      <c r="X30" s="324"/>
      <c r="Y30" s="324"/>
      <c r="Z30" s="324"/>
      <c r="AA30" s="324"/>
      <c r="AB30" s="324"/>
      <c r="AC30" s="324"/>
      <c r="AD30" s="324"/>
      <c r="AE30" s="324"/>
      <c r="AF30" s="324"/>
      <c r="AG30" s="324"/>
      <c r="AH30" s="324"/>
      <c r="AI30" s="324"/>
      <c r="AJ30" s="324"/>
      <c r="AK30" s="324"/>
      <c r="AL30" s="324"/>
      <c r="AM30" s="324"/>
      <c r="AN30" s="324"/>
      <c r="AO30" s="324"/>
      <c r="AP30" s="324"/>
      <c r="AQ30" s="324"/>
      <c r="AR30" s="324"/>
      <c r="AS30" s="324"/>
      <c r="AT30" s="324"/>
      <c r="AU30" s="324"/>
      <c r="AV30" s="324"/>
      <c r="AW30" s="324"/>
      <c r="AX30" s="324"/>
      <c r="AY30" s="324"/>
      <c r="AZ30" s="324"/>
      <c r="BA30" s="324"/>
      <c r="BB30" s="324"/>
      <c r="BC30" s="324"/>
      <c r="BD30" s="324"/>
      <c r="BE30" s="324"/>
      <c r="BF30" s="324"/>
      <c r="BG30" s="324"/>
      <c r="BH30" s="324"/>
      <c r="BI30" s="324"/>
      <c r="BJ30" s="324"/>
      <c r="BK30" s="324"/>
      <c r="BL30" s="324"/>
      <c r="BM30" s="324"/>
      <c r="BN30" s="324"/>
      <c r="BO30" s="324"/>
      <c r="BP30" s="324"/>
      <c r="BQ30" s="324"/>
      <c r="BR30" s="324"/>
      <c r="BS30" s="324"/>
      <c r="BT30" s="324"/>
      <c r="BU30" s="324"/>
      <c r="BV30" s="324"/>
      <c r="BW30" s="324"/>
      <c r="BX30" s="324"/>
      <c r="BY30" s="324"/>
      <c r="BZ30" s="324"/>
      <c r="CA30" s="324"/>
      <c r="CB30" s="324"/>
      <c r="CC30" s="324"/>
      <c r="CD30" s="324"/>
      <c r="CE30" s="324"/>
      <c r="CF30" s="324"/>
      <c r="CG30" s="324"/>
      <c r="CH30" s="324"/>
      <c r="CI30" s="324"/>
      <c r="CJ30" s="324"/>
      <c r="CK30" s="324"/>
      <c r="CL30" s="324"/>
      <c r="CM30" s="324"/>
      <c r="CN30" s="324"/>
      <c r="CO30" s="324"/>
      <c r="CP30" s="324"/>
      <c r="CQ30" s="324"/>
      <c r="CR30" s="324"/>
      <c r="CS30" s="324"/>
      <c r="CT30" s="324"/>
      <c r="CU30" s="324"/>
      <c r="CV30" s="324"/>
      <c r="CW30" s="324"/>
      <c r="CX30" s="324"/>
      <c r="CY30" s="324"/>
      <c r="CZ30" s="324"/>
      <c r="DA30" s="324"/>
      <c r="DB30" s="324"/>
      <c r="DC30" s="324"/>
      <c r="DD30" s="324"/>
      <c r="DE30" s="324"/>
      <c r="DF30" s="324"/>
      <c r="DG30" s="324"/>
      <c r="DH30" s="324"/>
      <c r="DI30" s="324"/>
      <c r="DJ30" s="324"/>
      <c r="DK30" s="324"/>
      <c r="DL30" s="324"/>
      <c r="DM30" s="324"/>
      <c r="DN30" s="324"/>
      <c r="DO30" s="324"/>
      <c r="DP30" s="324"/>
      <c r="DQ30" s="324"/>
      <c r="DR30" s="324"/>
      <c r="DS30" s="324"/>
      <c r="DT30" s="324"/>
      <c r="DU30" s="324"/>
      <c r="DV30" s="324"/>
      <c r="DW30" s="324"/>
      <c r="DX30" s="324"/>
      <c r="DY30" s="324"/>
      <c r="DZ30" s="324"/>
      <c r="EA30" s="324"/>
      <c r="EB30" s="324"/>
      <c r="EC30" s="324"/>
      <c r="ED30" s="324"/>
      <c r="EE30" s="324"/>
      <c r="EF30" s="324"/>
      <c r="EG30" s="324"/>
      <c r="EH30" s="324"/>
      <c r="EI30" s="324"/>
      <c r="EJ30" s="324"/>
      <c r="EK30" s="324"/>
      <c r="EL30" s="324"/>
      <c r="EM30" s="324"/>
      <c r="EN30" s="324"/>
      <c r="EO30" s="324"/>
      <c r="EP30" s="324"/>
      <c r="EQ30" s="324"/>
      <c r="ER30" s="324"/>
      <c r="ES30" s="324"/>
      <c r="ET30" s="324"/>
      <c r="EU30" s="324"/>
      <c r="EV30" s="324"/>
      <c r="EW30" s="324"/>
      <c r="EX30" s="324"/>
      <c r="EY30" s="324"/>
      <c r="EZ30" s="324"/>
      <c r="FA30" s="324"/>
      <c r="FB30" s="324"/>
      <c r="FC30" s="324"/>
      <c r="FD30" s="324"/>
      <c r="FE30" s="324"/>
      <c r="FF30" s="324"/>
      <c r="FG30" s="324"/>
      <c r="FH30" s="324"/>
      <c r="FI30" s="324"/>
      <c r="FJ30" s="324"/>
      <c r="FK30" s="324"/>
      <c r="FL30" s="324"/>
      <c r="FM30" s="324"/>
      <c r="FN30" s="324"/>
      <c r="FO30" s="324"/>
      <c r="FP30" s="324"/>
      <c r="FQ30" s="324"/>
      <c r="FR30" s="324"/>
      <c r="FS30" s="324"/>
      <c r="FT30" s="324"/>
      <c r="FU30" s="324"/>
      <c r="FV30" s="324"/>
      <c r="FW30" s="324"/>
      <c r="FX30" s="324"/>
      <c r="FY30" s="324"/>
      <c r="FZ30" s="324"/>
      <c r="GA30" s="324"/>
      <c r="GB30" s="324"/>
      <c r="GC30" s="324"/>
      <c r="GD30" s="324"/>
      <c r="GE30" s="324"/>
      <c r="GF30" s="324"/>
      <c r="GG30" s="324"/>
      <c r="GH30" s="324"/>
      <c r="GI30" s="324"/>
      <c r="GJ30" s="324"/>
      <c r="GK30" s="324"/>
      <c r="GL30" s="324"/>
      <c r="GM30" s="324"/>
      <c r="GN30" s="324"/>
      <c r="GO30" s="324"/>
      <c r="GP30" s="324"/>
      <c r="GQ30" s="324"/>
      <c r="GR30" s="324"/>
      <c r="GS30" s="324"/>
      <c r="GT30" s="324"/>
      <c r="GU30" s="324"/>
      <c r="GV30" s="324"/>
      <c r="GW30" s="324"/>
      <c r="GX30" s="324"/>
      <c r="GY30" s="324"/>
      <c r="GZ30" s="324"/>
      <c r="HA30" s="324"/>
      <c r="HB30" s="324"/>
      <c r="HC30" s="324"/>
      <c r="HD30" s="324"/>
      <c r="HE30" s="324"/>
      <c r="HF30" s="324"/>
      <c r="HG30" s="324"/>
      <c r="HH30" s="324"/>
      <c r="HI30" s="324"/>
      <c r="HJ30" s="324"/>
      <c r="HK30" s="324"/>
      <c r="HL30" s="324"/>
      <c r="HM30" s="324"/>
      <c r="HN30" s="324"/>
      <c r="HO30" s="324"/>
      <c r="HP30" s="324"/>
      <c r="HQ30" s="324"/>
      <c r="HR30" s="324"/>
      <c r="HS30" s="324"/>
      <c r="HT30" s="324"/>
      <c r="HU30" s="324"/>
      <c r="HV30" s="324"/>
      <c r="HW30" s="324"/>
      <c r="HX30" s="324"/>
      <c r="HY30" s="324"/>
      <c r="HZ30" s="324"/>
      <c r="IA30" s="324"/>
      <c r="IB30" s="324"/>
      <c r="IC30" s="324"/>
      <c r="ID30" s="324"/>
      <c r="IE30" s="324"/>
      <c r="IF30" s="324"/>
      <c r="IG30" s="324"/>
      <c r="IH30" s="324"/>
      <c r="II30" s="324"/>
      <c r="IJ30" s="324"/>
      <c r="IK30" s="324"/>
      <c r="IL30" s="324"/>
      <c r="IM30" s="324"/>
    </row>
    <row r="31" spans="1:247" x14ac:dyDescent="0.35">
      <c r="A31" s="356">
        <v>1753</v>
      </c>
      <c r="B31" s="357" t="s">
        <v>40</v>
      </c>
      <c r="C31" s="172" t="s">
        <v>37</v>
      </c>
      <c r="D31" s="358" t="s">
        <v>2051</v>
      </c>
      <c r="E31" s="336"/>
      <c r="F31" s="331">
        <f t="shared" si="0"/>
        <v>1.0209999999999999</v>
      </c>
      <c r="G31" s="337">
        <f t="shared" si="6"/>
        <v>1.0269999999999999</v>
      </c>
      <c r="H31" s="336"/>
      <c r="I31" s="338"/>
      <c r="J31" s="338"/>
      <c r="K31" s="338"/>
      <c r="L31" s="338"/>
      <c r="M31" s="338"/>
      <c r="N31" s="337"/>
      <c r="O31" s="339"/>
      <c r="P31" s="336"/>
      <c r="Q31" s="337"/>
      <c r="R31" s="340">
        <f t="shared" si="1"/>
        <v>1.0485669999999998</v>
      </c>
      <c r="S31" s="324"/>
      <c r="T31" s="324"/>
      <c r="U31" s="324"/>
      <c r="V31" s="324"/>
      <c r="W31" s="324"/>
      <c r="X31" s="324"/>
      <c r="Y31" s="324"/>
      <c r="Z31" s="324"/>
      <c r="AA31" s="324"/>
      <c r="AB31" s="324"/>
      <c r="AC31" s="324"/>
      <c r="AD31" s="324"/>
      <c r="AE31" s="324"/>
      <c r="AF31" s="324"/>
      <c r="AG31" s="324"/>
      <c r="AH31" s="324"/>
      <c r="AI31" s="324"/>
      <c r="AJ31" s="324"/>
      <c r="AK31" s="324"/>
      <c r="AL31" s="324"/>
      <c r="AM31" s="324"/>
      <c r="AN31" s="324"/>
      <c r="AO31" s="324"/>
      <c r="AP31" s="324"/>
      <c r="AQ31" s="324"/>
      <c r="AR31" s="324"/>
      <c r="AS31" s="324"/>
      <c r="AT31" s="324"/>
      <c r="AU31" s="324"/>
      <c r="AV31" s="324"/>
      <c r="AW31" s="324"/>
      <c r="AX31" s="324"/>
      <c r="AY31" s="324"/>
      <c r="AZ31" s="324"/>
      <c r="BA31" s="324"/>
      <c r="BB31" s="324"/>
      <c r="BC31" s="324"/>
      <c r="BD31" s="324"/>
      <c r="BE31" s="324"/>
      <c r="BF31" s="324"/>
      <c r="BG31" s="324"/>
      <c r="BH31" s="324"/>
      <c r="BI31" s="324"/>
      <c r="BJ31" s="324"/>
      <c r="BK31" s="324"/>
      <c r="BL31" s="324"/>
      <c r="BM31" s="324"/>
      <c r="BN31" s="324"/>
      <c r="BO31" s="324"/>
      <c r="BP31" s="324"/>
      <c r="BQ31" s="324"/>
      <c r="BR31" s="324"/>
      <c r="BS31" s="324"/>
      <c r="BT31" s="324"/>
      <c r="BU31" s="324"/>
      <c r="BV31" s="324"/>
      <c r="BW31" s="324"/>
      <c r="BX31" s="324"/>
      <c r="BY31" s="324"/>
      <c r="BZ31" s="324"/>
      <c r="CA31" s="324"/>
      <c r="CB31" s="324"/>
      <c r="CC31" s="324"/>
      <c r="CD31" s="324"/>
      <c r="CE31" s="324"/>
      <c r="CF31" s="324"/>
      <c r="CG31" s="324"/>
      <c r="CH31" s="324"/>
      <c r="CI31" s="324"/>
      <c r="CJ31" s="324"/>
      <c r="CK31" s="324"/>
      <c r="CL31" s="324"/>
      <c r="CM31" s="324"/>
      <c r="CN31" s="324"/>
      <c r="CO31" s="324"/>
      <c r="CP31" s="324"/>
      <c r="CQ31" s="324"/>
      <c r="CR31" s="324"/>
      <c r="CS31" s="324"/>
      <c r="CT31" s="324"/>
      <c r="CU31" s="324"/>
      <c r="CV31" s="324"/>
      <c r="CW31" s="324"/>
      <c r="CX31" s="324"/>
      <c r="CY31" s="324"/>
      <c r="CZ31" s="324"/>
      <c r="DA31" s="324"/>
      <c r="DB31" s="324"/>
      <c r="DC31" s="324"/>
      <c r="DD31" s="324"/>
      <c r="DE31" s="324"/>
      <c r="DF31" s="324"/>
      <c r="DG31" s="324"/>
      <c r="DH31" s="324"/>
      <c r="DI31" s="324"/>
      <c r="DJ31" s="324"/>
      <c r="DK31" s="324"/>
      <c r="DL31" s="324"/>
      <c r="DM31" s="324"/>
      <c r="DN31" s="324"/>
      <c r="DO31" s="324"/>
      <c r="DP31" s="324"/>
      <c r="DQ31" s="324"/>
      <c r="DR31" s="324"/>
      <c r="DS31" s="324"/>
      <c r="DT31" s="324"/>
      <c r="DU31" s="324"/>
      <c r="DV31" s="324"/>
      <c r="DW31" s="324"/>
      <c r="DX31" s="324"/>
      <c r="DY31" s="324"/>
      <c r="DZ31" s="324"/>
      <c r="EA31" s="324"/>
      <c r="EB31" s="324"/>
      <c r="EC31" s="324"/>
      <c r="ED31" s="324"/>
      <c r="EE31" s="324"/>
      <c r="EF31" s="324"/>
      <c r="EG31" s="324"/>
      <c r="EH31" s="324"/>
      <c r="EI31" s="324"/>
      <c r="EJ31" s="324"/>
      <c r="EK31" s="324"/>
      <c r="EL31" s="324"/>
      <c r="EM31" s="324"/>
      <c r="EN31" s="324"/>
      <c r="EO31" s="324"/>
      <c r="EP31" s="324"/>
      <c r="EQ31" s="324"/>
      <c r="ER31" s="324"/>
      <c r="ES31" s="324"/>
      <c r="ET31" s="324"/>
      <c r="EU31" s="324"/>
      <c r="EV31" s="324"/>
      <c r="EW31" s="324"/>
      <c r="EX31" s="324"/>
      <c r="EY31" s="324"/>
      <c r="EZ31" s="324"/>
      <c r="FA31" s="324"/>
      <c r="FB31" s="324"/>
      <c r="FC31" s="324"/>
      <c r="FD31" s="324"/>
      <c r="FE31" s="324"/>
      <c r="FF31" s="324"/>
      <c r="FG31" s="324"/>
      <c r="FH31" s="324"/>
      <c r="FI31" s="324"/>
      <c r="FJ31" s="324"/>
      <c r="FK31" s="324"/>
      <c r="FL31" s="324"/>
      <c r="FM31" s="324"/>
      <c r="FN31" s="324"/>
      <c r="FO31" s="324"/>
      <c r="FP31" s="324"/>
      <c r="FQ31" s="324"/>
      <c r="FR31" s="324"/>
      <c r="FS31" s="324"/>
      <c r="FT31" s="324"/>
      <c r="FU31" s="324"/>
      <c r="FV31" s="324"/>
      <c r="FW31" s="324"/>
      <c r="FX31" s="324"/>
      <c r="FY31" s="324"/>
      <c r="FZ31" s="324"/>
      <c r="GA31" s="324"/>
      <c r="GB31" s="324"/>
      <c r="GC31" s="324"/>
      <c r="GD31" s="324"/>
      <c r="GE31" s="324"/>
      <c r="GF31" s="324"/>
      <c r="GG31" s="324"/>
      <c r="GH31" s="324"/>
      <c r="GI31" s="324"/>
      <c r="GJ31" s="324"/>
      <c r="GK31" s="324"/>
      <c r="GL31" s="324"/>
      <c r="GM31" s="324"/>
      <c r="GN31" s="324"/>
      <c r="GO31" s="324"/>
      <c r="GP31" s="324"/>
      <c r="GQ31" s="324"/>
      <c r="GR31" s="324"/>
      <c r="GS31" s="324"/>
      <c r="GT31" s="324"/>
      <c r="GU31" s="324"/>
      <c r="GV31" s="324"/>
      <c r="GW31" s="324"/>
      <c r="GX31" s="324"/>
      <c r="GY31" s="324"/>
      <c r="GZ31" s="324"/>
      <c r="HA31" s="324"/>
      <c r="HB31" s="324"/>
      <c r="HC31" s="324"/>
      <c r="HD31" s="324"/>
      <c r="HE31" s="324"/>
      <c r="HF31" s="324"/>
      <c r="HG31" s="324"/>
      <c r="HH31" s="324"/>
      <c r="HI31" s="324"/>
      <c r="HJ31" s="324"/>
      <c r="HK31" s="324"/>
      <c r="HL31" s="324"/>
      <c r="HM31" s="324"/>
      <c r="HN31" s="324"/>
      <c r="HO31" s="324"/>
      <c r="HP31" s="324"/>
      <c r="HQ31" s="324"/>
      <c r="HR31" s="324"/>
      <c r="HS31" s="324"/>
      <c r="HT31" s="324"/>
      <c r="HU31" s="324"/>
      <c r="HV31" s="324"/>
      <c r="HW31" s="324"/>
      <c r="HX31" s="324"/>
      <c r="HY31" s="324"/>
      <c r="HZ31" s="324"/>
      <c r="IA31" s="324"/>
      <c r="IB31" s="324"/>
      <c r="IC31" s="324"/>
      <c r="ID31" s="324"/>
      <c r="IE31" s="324"/>
      <c r="IF31" s="324"/>
      <c r="IG31" s="324"/>
      <c r="IH31" s="324"/>
      <c r="II31" s="324"/>
      <c r="IJ31" s="324"/>
      <c r="IK31" s="324"/>
      <c r="IL31" s="324"/>
      <c r="IM31" s="324"/>
    </row>
    <row r="32" spans="1:247" x14ac:dyDescent="0.35">
      <c r="A32" s="356">
        <v>1754</v>
      </c>
      <c r="B32" s="357" t="s">
        <v>41</v>
      </c>
      <c r="C32" s="172" t="s">
        <v>37</v>
      </c>
      <c r="D32" s="358" t="s">
        <v>2051</v>
      </c>
      <c r="E32" s="336"/>
      <c r="F32" s="331">
        <f t="shared" si="0"/>
        <v>1.0209999999999999</v>
      </c>
      <c r="G32" s="337">
        <f t="shared" si="6"/>
        <v>1.0269999999999999</v>
      </c>
      <c r="H32" s="336"/>
      <c r="I32" s="338"/>
      <c r="J32" s="338"/>
      <c r="K32" s="338"/>
      <c r="L32" s="338"/>
      <c r="M32" s="338"/>
      <c r="N32" s="337"/>
      <c r="O32" s="339"/>
      <c r="P32" s="336"/>
      <c r="Q32" s="337"/>
      <c r="R32" s="340">
        <f t="shared" si="1"/>
        <v>1.0485669999999998</v>
      </c>
      <c r="S32" s="324"/>
      <c r="T32" s="324"/>
      <c r="U32" s="324"/>
      <c r="V32" s="324"/>
      <c r="W32" s="324"/>
      <c r="X32" s="324"/>
      <c r="Y32" s="324"/>
      <c r="Z32" s="324"/>
      <c r="AA32" s="324"/>
      <c r="AB32" s="324"/>
      <c r="AC32" s="324"/>
      <c r="AD32" s="324"/>
      <c r="AE32" s="324"/>
      <c r="AF32" s="324"/>
      <c r="AG32" s="324"/>
      <c r="AH32" s="324"/>
      <c r="AI32" s="324"/>
      <c r="AJ32" s="324"/>
      <c r="AK32" s="324"/>
      <c r="AL32" s="324"/>
      <c r="AM32" s="324"/>
      <c r="AN32" s="324"/>
      <c r="AO32" s="324"/>
      <c r="AP32" s="324"/>
      <c r="AQ32" s="324"/>
      <c r="AR32" s="324"/>
      <c r="AS32" s="324"/>
      <c r="AT32" s="324"/>
      <c r="AU32" s="324"/>
      <c r="AV32" s="324"/>
      <c r="AW32" s="324"/>
      <c r="AX32" s="324"/>
      <c r="AY32" s="324"/>
      <c r="AZ32" s="324"/>
      <c r="BA32" s="324"/>
      <c r="BB32" s="324"/>
      <c r="BC32" s="324"/>
      <c r="BD32" s="324"/>
      <c r="BE32" s="324"/>
      <c r="BF32" s="324"/>
      <c r="BG32" s="324"/>
      <c r="BH32" s="324"/>
      <c r="BI32" s="324"/>
      <c r="BJ32" s="324"/>
      <c r="BK32" s="324"/>
      <c r="BL32" s="324"/>
      <c r="BM32" s="324"/>
      <c r="BN32" s="324"/>
      <c r="BO32" s="324"/>
      <c r="BP32" s="324"/>
      <c r="BQ32" s="324"/>
      <c r="BR32" s="324"/>
      <c r="BS32" s="324"/>
      <c r="BT32" s="324"/>
      <c r="BU32" s="324"/>
      <c r="BV32" s="324"/>
      <c r="BW32" s="324"/>
      <c r="BX32" s="324"/>
      <c r="BY32" s="324"/>
      <c r="BZ32" s="324"/>
      <c r="CA32" s="324"/>
      <c r="CB32" s="324"/>
      <c r="CC32" s="324"/>
      <c r="CD32" s="324"/>
      <c r="CE32" s="324"/>
      <c r="CF32" s="324"/>
      <c r="CG32" s="324"/>
      <c r="CH32" s="324"/>
      <c r="CI32" s="324"/>
      <c r="CJ32" s="324"/>
      <c r="CK32" s="324"/>
      <c r="CL32" s="324"/>
      <c r="CM32" s="324"/>
      <c r="CN32" s="324"/>
      <c r="CO32" s="324"/>
      <c r="CP32" s="324"/>
      <c r="CQ32" s="324"/>
      <c r="CR32" s="324"/>
      <c r="CS32" s="324"/>
      <c r="CT32" s="324"/>
      <c r="CU32" s="324"/>
      <c r="CV32" s="324"/>
      <c r="CW32" s="324"/>
      <c r="CX32" s="324"/>
      <c r="CY32" s="324"/>
      <c r="CZ32" s="324"/>
      <c r="DA32" s="324"/>
      <c r="DB32" s="324"/>
      <c r="DC32" s="324"/>
      <c r="DD32" s="324"/>
      <c r="DE32" s="324"/>
      <c r="DF32" s="324"/>
      <c r="DG32" s="324"/>
      <c r="DH32" s="324"/>
      <c r="DI32" s="324"/>
      <c r="DJ32" s="324"/>
      <c r="DK32" s="324"/>
      <c r="DL32" s="324"/>
      <c r="DM32" s="324"/>
      <c r="DN32" s="324"/>
      <c r="DO32" s="324"/>
      <c r="DP32" s="324"/>
      <c r="DQ32" s="324"/>
      <c r="DR32" s="324"/>
      <c r="DS32" s="324"/>
      <c r="DT32" s="324"/>
      <c r="DU32" s="324"/>
      <c r="DV32" s="324"/>
      <c r="DW32" s="324"/>
      <c r="DX32" s="324"/>
      <c r="DY32" s="324"/>
      <c r="DZ32" s="324"/>
      <c r="EA32" s="324"/>
      <c r="EB32" s="324"/>
      <c r="EC32" s="324"/>
      <c r="ED32" s="324"/>
      <c r="EE32" s="324"/>
      <c r="EF32" s="324"/>
      <c r="EG32" s="324"/>
      <c r="EH32" s="324"/>
      <c r="EI32" s="324"/>
      <c r="EJ32" s="324"/>
      <c r="EK32" s="324"/>
      <c r="EL32" s="324"/>
      <c r="EM32" s="324"/>
      <c r="EN32" s="324"/>
      <c r="EO32" s="324"/>
      <c r="EP32" s="324"/>
      <c r="EQ32" s="324"/>
      <c r="ER32" s="324"/>
      <c r="ES32" s="324"/>
      <c r="ET32" s="324"/>
      <c r="EU32" s="324"/>
      <c r="EV32" s="324"/>
      <c r="EW32" s="324"/>
      <c r="EX32" s="324"/>
      <c r="EY32" s="324"/>
      <c r="EZ32" s="324"/>
      <c r="FA32" s="324"/>
      <c r="FB32" s="324"/>
      <c r="FC32" s="324"/>
      <c r="FD32" s="324"/>
      <c r="FE32" s="324"/>
      <c r="FF32" s="324"/>
      <c r="FG32" s="324"/>
      <c r="FH32" s="324"/>
      <c r="FI32" s="324"/>
      <c r="FJ32" s="324"/>
      <c r="FK32" s="324"/>
      <c r="FL32" s="324"/>
      <c r="FM32" s="324"/>
      <c r="FN32" s="324"/>
      <c r="FO32" s="324"/>
      <c r="FP32" s="324"/>
      <c r="FQ32" s="324"/>
      <c r="FR32" s="324"/>
      <c r="FS32" s="324"/>
      <c r="FT32" s="324"/>
      <c r="FU32" s="324"/>
      <c r="FV32" s="324"/>
      <c r="FW32" s="324"/>
      <c r="FX32" s="324"/>
      <c r="FY32" s="324"/>
      <c r="FZ32" s="324"/>
      <c r="GA32" s="324"/>
      <c r="GB32" s="324"/>
      <c r="GC32" s="324"/>
      <c r="GD32" s="324"/>
      <c r="GE32" s="324"/>
      <c r="GF32" s="324"/>
      <c r="GG32" s="324"/>
      <c r="GH32" s="324"/>
      <c r="GI32" s="324"/>
      <c r="GJ32" s="324"/>
      <c r="GK32" s="324"/>
      <c r="GL32" s="324"/>
      <c r="GM32" s="324"/>
      <c r="GN32" s="324"/>
      <c r="GO32" s="324"/>
      <c r="GP32" s="324"/>
      <c r="GQ32" s="324"/>
      <c r="GR32" s="324"/>
      <c r="GS32" s="324"/>
      <c r="GT32" s="324"/>
      <c r="GU32" s="324"/>
      <c r="GV32" s="324"/>
      <c r="GW32" s="324"/>
      <c r="GX32" s="324"/>
      <c r="GY32" s="324"/>
      <c r="GZ32" s="324"/>
      <c r="HA32" s="324"/>
      <c r="HB32" s="324"/>
      <c r="HC32" s="324"/>
      <c r="HD32" s="324"/>
      <c r="HE32" s="324"/>
      <c r="HF32" s="324"/>
      <c r="HG32" s="324"/>
      <c r="HH32" s="324"/>
      <c r="HI32" s="324"/>
      <c r="HJ32" s="324"/>
      <c r="HK32" s="324"/>
      <c r="HL32" s="324"/>
      <c r="HM32" s="324"/>
      <c r="HN32" s="324"/>
      <c r="HO32" s="324"/>
      <c r="HP32" s="324"/>
      <c r="HQ32" s="324"/>
      <c r="HR32" s="324"/>
      <c r="HS32" s="324"/>
      <c r="HT32" s="324"/>
      <c r="HU32" s="324"/>
      <c r="HV32" s="324"/>
      <c r="HW32" s="324"/>
      <c r="HX32" s="324"/>
      <c r="HY32" s="324"/>
      <c r="HZ32" s="324"/>
      <c r="IA32" s="324"/>
      <c r="IB32" s="324"/>
      <c r="IC32" s="324"/>
      <c r="ID32" s="324"/>
      <c r="IE32" s="324"/>
      <c r="IF32" s="324"/>
      <c r="IG32" s="324"/>
      <c r="IH32" s="324"/>
      <c r="II32" s="324"/>
      <c r="IJ32" s="324"/>
      <c r="IK32" s="324"/>
      <c r="IL32" s="324"/>
      <c r="IM32" s="324"/>
    </row>
    <row r="33" spans="1:247" x14ac:dyDescent="0.35">
      <c r="A33" s="356">
        <v>1755</v>
      </c>
      <c r="B33" s="357" t="s">
        <v>42</v>
      </c>
      <c r="C33" s="172" t="s">
        <v>37</v>
      </c>
      <c r="D33" s="358" t="s">
        <v>2051</v>
      </c>
      <c r="E33" s="336"/>
      <c r="F33" s="331">
        <f t="shared" si="0"/>
        <v>1.0209999999999999</v>
      </c>
      <c r="G33" s="337">
        <f t="shared" si="6"/>
        <v>1.0269999999999999</v>
      </c>
      <c r="H33" s="336"/>
      <c r="I33" s="338"/>
      <c r="J33" s="338"/>
      <c r="K33" s="338"/>
      <c r="L33" s="338"/>
      <c r="M33" s="338"/>
      <c r="N33" s="337"/>
      <c r="O33" s="339"/>
      <c r="P33" s="336"/>
      <c r="Q33" s="337"/>
      <c r="R33" s="340">
        <f t="shared" si="1"/>
        <v>1.0485669999999998</v>
      </c>
      <c r="S33" s="324"/>
      <c r="T33" s="324"/>
      <c r="U33" s="324"/>
      <c r="V33" s="324"/>
      <c r="W33" s="324"/>
      <c r="X33" s="324"/>
      <c r="Y33" s="324"/>
      <c r="Z33" s="324"/>
      <c r="AA33" s="324"/>
      <c r="AB33" s="324"/>
      <c r="AC33" s="324"/>
      <c r="AD33" s="324"/>
      <c r="AE33" s="324"/>
      <c r="AF33" s="324"/>
      <c r="AG33" s="324"/>
      <c r="AH33" s="324"/>
      <c r="AI33" s="324"/>
      <c r="AJ33" s="324"/>
      <c r="AK33" s="324"/>
      <c r="AL33" s="324"/>
      <c r="AM33" s="324"/>
      <c r="AN33" s="324"/>
      <c r="AO33" s="324"/>
      <c r="AP33" s="324"/>
      <c r="AQ33" s="324"/>
      <c r="AR33" s="324"/>
      <c r="AS33" s="324"/>
      <c r="AT33" s="324"/>
      <c r="AU33" s="324"/>
      <c r="AV33" s="324"/>
      <c r="AW33" s="324"/>
      <c r="AX33" s="324"/>
      <c r="AY33" s="324"/>
      <c r="AZ33" s="324"/>
      <c r="BA33" s="324"/>
      <c r="BB33" s="324"/>
      <c r="BC33" s="324"/>
      <c r="BD33" s="324"/>
      <c r="BE33" s="324"/>
      <c r="BF33" s="324"/>
      <c r="BG33" s="324"/>
      <c r="BH33" s="324"/>
      <c r="BI33" s="324"/>
      <c r="BJ33" s="324"/>
      <c r="BK33" s="324"/>
      <c r="BL33" s="324"/>
      <c r="BM33" s="324"/>
      <c r="BN33" s="324"/>
      <c r="BO33" s="324"/>
      <c r="BP33" s="324"/>
      <c r="BQ33" s="324"/>
      <c r="BR33" s="324"/>
      <c r="BS33" s="324"/>
      <c r="BT33" s="324"/>
      <c r="BU33" s="324"/>
      <c r="BV33" s="324"/>
      <c r="BW33" s="324"/>
      <c r="BX33" s="324"/>
      <c r="BY33" s="324"/>
      <c r="BZ33" s="324"/>
      <c r="CA33" s="324"/>
      <c r="CB33" s="324"/>
      <c r="CC33" s="324"/>
      <c r="CD33" s="324"/>
      <c r="CE33" s="324"/>
      <c r="CF33" s="324"/>
      <c r="CG33" s="324"/>
      <c r="CH33" s="324"/>
      <c r="CI33" s="324"/>
      <c r="CJ33" s="324"/>
      <c r="CK33" s="324"/>
      <c r="CL33" s="324"/>
      <c r="CM33" s="324"/>
      <c r="CN33" s="324"/>
      <c r="CO33" s="324"/>
      <c r="CP33" s="324"/>
      <c r="CQ33" s="324"/>
      <c r="CR33" s="324"/>
      <c r="CS33" s="324"/>
      <c r="CT33" s="324"/>
      <c r="CU33" s="324"/>
      <c r="CV33" s="324"/>
      <c r="CW33" s="324"/>
      <c r="CX33" s="324"/>
      <c r="CY33" s="324"/>
      <c r="CZ33" s="324"/>
      <c r="DA33" s="324"/>
      <c r="DB33" s="324"/>
      <c r="DC33" s="324"/>
      <c r="DD33" s="324"/>
      <c r="DE33" s="324"/>
      <c r="DF33" s="324"/>
      <c r="DG33" s="324"/>
      <c r="DH33" s="324"/>
      <c r="DI33" s="324"/>
      <c r="DJ33" s="324"/>
      <c r="DK33" s="324"/>
      <c r="DL33" s="324"/>
      <c r="DM33" s="324"/>
      <c r="DN33" s="324"/>
      <c r="DO33" s="324"/>
      <c r="DP33" s="324"/>
      <c r="DQ33" s="324"/>
      <c r="DR33" s="324"/>
      <c r="DS33" s="324"/>
      <c r="DT33" s="324"/>
      <c r="DU33" s="324"/>
      <c r="DV33" s="324"/>
      <c r="DW33" s="324"/>
      <c r="DX33" s="324"/>
      <c r="DY33" s="324"/>
      <c r="DZ33" s="324"/>
      <c r="EA33" s="324"/>
      <c r="EB33" s="324"/>
      <c r="EC33" s="324"/>
      <c r="ED33" s="324"/>
      <c r="EE33" s="324"/>
      <c r="EF33" s="324"/>
      <c r="EG33" s="324"/>
      <c r="EH33" s="324"/>
      <c r="EI33" s="324"/>
      <c r="EJ33" s="324"/>
      <c r="EK33" s="324"/>
      <c r="EL33" s="324"/>
      <c r="EM33" s="324"/>
      <c r="EN33" s="324"/>
      <c r="EO33" s="324"/>
      <c r="EP33" s="324"/>
      <c r="EQ33" s="324"/>
      <c r="ER33" s="324"/>
      <c r="ES33" s="324"/>
      <c r="ET33" s="324"/>
      <c r="EU33" s="324"/>
      <c r="EV33" s="324"/>
      <c r="EW33" s="324"/>
      <c r="EX33" s="324"/>
      <c r="EY33" s="324"/>
      <c r="EZ33" s="324"/>
      <c r="FA33" s="324"/>
      <c r="FB33" s="324"/>
      <c r="FC33" s="324"/>
      <c r="FD33" s="324"/>
      <c r="FE33" s="324"/>
      <c r="FF33" s="324"/>
      <c r="FG33" s="324"/>
      <c r="FH33" s="324"/>
      <c r="FI33" s="324"/>
      <c r="FJ33" s="324"/>
      <c r="FK33" s="324"/>
      <c r="FL33" s="324"/>
      <c r="FM33" s="324"/>
      <c r="FN33" s="324"/>
      <c r="FO33" s="324"/>
      <c r="FP33" s="324"/>
      <c r="FQ33" s="324"/>
      <c r="FR33" s="324"/>
      <c r="FS33" s="324"/>
      <c r="FT33" s="324"/>
      <c r="FU33" s="324"/>
      <c r="FV33" s="324"/>
      <c r="FW33" s="324"/>
      <c r="FX33" s="324"/>
      <c r="FY33" s="324"/>
      <c r="FZ33" s="324"/>
      <c r="GA33" s="324"/>
      <c r="GB33" s="324"/>
      <c r="GC33" s="324"/>
      <c r="GD33" s="324"/>
      <c r="GE33" s="324"/>
      <c r="GF33" s="324"/>
      <c r="GG33" s="324"/>
      <c r="GH33" s="324"/>
      <c r="GI33" s="324"/>
      <c r="GJ33" s="324"/>
      <c r="GK33" s="324"/>
      <c r="GL33" s="324"/>
      <c r="GM33" s="324"/>
      <c r="GN33" s="324"/>
      <c r="GO33" s="324"/>
      <c r="GP33" s="324"/>
      <c r="GQ33" s="324"/>
      <c r="GR33" s="324"/>
      <c r="GS33" s="324"/>
      <c r="GT33" s="324"/>
      <c r="GU33" s="324"/>
      <c r="GV33" s="324"/>
      <c r="GW33" s="324"/>
      <c r="GX33" s="324"/>
      <c r="GY33" s="324"/>
      <c r="GZ33" s="324"/>
      <c r="HA33" s="324"/>
      <c r="HB33" s="324"/>
      <c r="HC33" s="324"/>
      <c r="HD33" s="324"/>
      <c r="HE33" s="324"/>
      <c r="HF33" s="324"/>
      <c r="HG33" s="324"/>
      <c r="HH33" s="324"/>
      <c r="HI33" s="324"/>
      <c r="HJ33" s="324"/>
      <c r="HK33" s="324"/>
      <c r="HL33" s="324"/>
      <c r="HM33" s="324"/>
      <c r="HN33" s="324"/>
      <c r="HO33" s="324"/>
      <c r="HP33" s="324"/>
      <c r="HQ33" s="324"/>
      <c r="HR33" s="324"/>
      <c r="HS33" s="324"/>
      <c r="HT33" s="324"/>
      <c r="HU33" s="324"/>
      <c r="HV33" s="324"/>
      <c r="HW33" s="324"/>
      <c r="HX33" s="324"/>
      <c r="HY33" s="324"/>
      <c r="HZ33" s="324"/>
      <c r="IA33" s="324"/>
      <c r="IB33" s="324"/>
      <c r="IC33" s="324"/>
      <c r="ID33" s="324"/>
      <c r="IE33" s="324"/>
      <c r="IF33" s="324"/>
      <c r="IG33" s="324"/>
      <c r="IH33" s="324"/>
      <c r="II33" s="324"/>
      <c r="IJ33" s="324"/>
      <c r="IK33" s="324"/>
      <c r="IL33" s="324"/>
      <c r="IM33" s="324"/>
    </row>
    <row r="34" spans="1:247" x14ac:dyDescent="0.35">
      <c r="A34" s="356">
        <v>1756</v>
      </c>
      <c r="B34" s="357" t="s">
        <v>43</v>
      </c>
      <c r="C34" s="172" t="s">
        <v>37</v>
      </c>
      <c r="D34" s="358" t="s">
        <v>2051</v>
      </c>
      <c r="E34" s="336"/>
      <c r="F34" s="331">
        <f t="shared" si="0"/>
        <v>1.0209999999999999</v>
      </c>
      <c r="G34" s="337">
        <f t="shared" si="6"/>
        <v>1.0269999999999999</v>
      </c>
      <c r="H34" s="336"/>
      <c r="I34" s="338"/>
      <c r="J34" s="338"/>
      <c r="K34" s="338"/>
      <c r="L34" s="338"/>
      <c r="M34" s="338"/>
      <c r="N34" s="337"/>
      <c r="O34" s="339"/>
      <c r="P34" s="336"/>
      <c r="Q34" s="337"/>
      <c r="R34" s="340">
        <f t="shared" si="1"/>
        <v>1.0485669999999998</v>
      </c>
      <c r="S34" s="324"/>
      <c r="T34" s="324"/>
      <c r="U34" s="324"/>
      <c r="V34" s="324"/>
      <c r="W34" s="324"/>
      <c r="X34" s="324"/>
      <c r="Y34" s="324"/>
      <c r="Z34" s="324"/>
      <c r="AA34" s="324"/>
      <c r="AB34" s="324"/>
      <c r="AC34" s="324"/>
      <c r="AD34" s="324"/>
      <c r="AE34" s="324"/>
      <c r="AF34" s="324"/>
      <c r="AG34" s="324"/>
      <c r="AH34" s="324"/>
      <c r="AI34" s="324"/>
      <c r="AJ34" s="324"/>
      <c r="AK34" s="324"/>
      <c r="AL34" s="324"/>
      <c r="AM34" s="324"/>
      <c r="AN34" s="324"/>
      <c r="AO34" s="324"/>
      <c r="AP34" s="324"/>
      <c r="AQ34" s="324"/>
      <c r="AR34" s="324"/>
      <c r="AS34" s="324"/>
      <c r="AT34" s="324"/>
      <c r="AU34" s="324"/>
      <c r="AV34" s="324"/>
      <c r="AW34" s="324"/>
      <c r="AX34" s="324"/>
      <c r="AY34" s="324"/>
      <c r="AZ34" s="324"/>
      <c r="BA34" s="324"/>
      <c r="BB34" s="324"/>
      <c r="BC34" s="324"/>
      <c r="BD34" s="324"/>
      <c r="BE34" s="324"/>
      <c r="BF34" s="324"/>
      <c r="BG34" s="324"/>
      <c r="BH34" s="324"/>
      <c r="BI34" s="324"/>
      <c r="BJ34" s="324"/>
      <c r="BK34" s="324"/>
      <c r="BL34" s="324"/>
      <c r="BM34" s="324"/>
      <c r="BN34" s="324"/>
      <c r="BO34" s="324"/>
      <c r="BP34" s="324"/>
      <c r="BQ34" s="324"/>
      <c r="BR34" s="324"/>
      <c r="BS34" s="324"/>
      <c r="BT34" s="324"/>
      <c r="BU34" s="324"/>
      <c r="BV34" s="324"/>
      <c r="BW34" s="324"/>
      <c r="BX34" s="324"/>
      <c r="BY34" s="324"/>
      <c r="BZ34" s="324"/>
      <c r="CA34" s="324"/>
      <c r="CB34" s="324"/>
      <c r="CC34" s="324"/>
      <c r="CD34" s="324"/>
      <c r="CE34" s="324"/>
      <c r="CF34" s="324"/>
      <c r="CG34" s="324"/>
      <c r="CH34" s="324"/>
      <c r="CI34" s="324"/>
      <c r="CJ34" s="324"/>
      <c r="CK34" s="324"/>
      <c r="CL34" s="324"/>
      <c r="CM34" s="324"/>
      <c r="CN34" s="324"/>
      <c r="CO34" s="324"/>
      <c r="CP34" s="324"/>
      <c r="CQ34" s="324"/>
      <c r="CR34" s="324"/>
      <c r="CS34" s="324"/>
      <c r="CT34" s="324"/>
      <c r="CU34" s="324"/>
      <c r="CV34" s="324"/>
      <c r="CW34" s="324"/>
      <c r="CX34" s="324"/>
      <c r="CY34" s="324"/>
      <c r="CZ34" s="324"/>
      <c r="DA34" s="324"/>
      <c r="DB34" s="324"/>
      <c r="DC34" s="324"/>
      <c r="DD34" s="324"/>
      <c r="DE34" s="324"/>
      <c r="DF34" s="324"/>
      <c r="DG34" s="324"/>
      <c r="DH34" s="324"/>
      <c r="DI34" s="324"/>
      <c r="DJ34" s="324"/>
      <c r="DK34" s="324"/>
      <c r="DL34" s="324"/>
      <c r="DM34" s="324"/>
      <c r="DN34" s="324"/>
      <c r="DO34" s="324"/>
      <c r="DP34" s="324"/>
      <c r="DQ34" s="324"/>
      <c r="DR34" s="324"/>
      <c r="DS34" s="324"/>
      <c r="DT34" s="324"/>
      <c r="DU34" s="324"/>
      <c r="DV34" s="324"/>
      <c r="DW34" s="324"/>
      <c r="DX34" s="324"/>
      <c r="DY34" s="324"/>
      <c r="DZ34" s="324"/>
      <c r="EA34" s="324"/>
      <c r="EB34" s="324"/>
      <c r="EC34" s="324"/>
      <c r="ED34" s="324"/>
      <c r="EE34" s="324"/>
      <c r="EF34" s="324"/>
      <c r="EG34" s="324"/>
      <c r="EH34" s="324"/>
      <c r="EI34" s="324"/>
      <c r="EJ34" s="324"/>
      <c r="EK34" s="324"/>
      <c r="EL34" s="324"/>
      <c r="EM34" s="324"/>
      <c r="EN34" s="324"/>
      <c r="EO34" s="324"/>
      <c r="EP34" s="324"/>
      <c r="EQ34" s="324"/>
      <c r="ER34" s="324"/>
      <c r="ES34" s="324"/>
      <c r="ET34" s="324"/>
      <c r="EU34" s="324"/>
      <c r="EV34" s="324"/>
      <c r="EW34" s="324"/>
      <c r="EX34" s="324"/>
      <c r="EY34" s="324"/>
      <c r="EZ34" s="324"/>
      <c r="FA34" s="324"/>
      <c r="FB34" s="324"/>
      <c r="FC34" s="324"/>
      <c r="FD34" s="324"/>
      <c r="FE34" s="324"/>
      <c r="FF34" s="324"/>
      <c r="FG34" s="324"/>
      <c r="FH34" s="324"/>
      <c r="FI34" s="324"/>
      <c r="FJ34" s="324"/>
      <c r="FK34" s="324"/>
      <c r="FL34" s="324"/>
      <c r="FM34" s="324"/>
      <c r="FN34" s="324"/>
      <c r="FO34" s="324"/>
      <c r="FP34" s="324"/>
      <c r="FQ34" s="324"/>
      <c r="FR34" s="324"/>
      <c r="FS34" s="324"/>
      <c r="FT34" s="324"/>
      <c r="FU34" s="324"/>
      <c r="FV34" s="324"/>
      <c r="FW34" s="324"/>
      <c r="FX34" s="324"/>
      <c r="FY34" s="324"/>
      <c r="FZ34" s="324"/>
      <c r="GA34" s="324"/>
      <c r="GB34" s="324"/>
      <c r="GC34" s="324"/>
      <c r="GD34" s="324"/>
      <c r="GE34" s="324"/>
      <c r="GF34" s="324"/>
      <c r="GG34" s="324"/>
      <c r="GH34" s="324"/>
      <c r="GI34" s="324"/>
      <c r="GJ34" s="324"/>
      <c r="GK34" s="324"/>
      <c r="GL34" s="324"/>
      <c r="GM34" s="324"/>
      <c r="GN34" s="324"/>
      <c r="GO34" s="324"/>
      <c r="GP34" s="324"/>
      <c r="GQ34" s="324"/>
      <c r="GR34" s="324"/>
      <c r="GS34" s="324"/>
      <c r="GT34" s="324"/>
      <c r="GU34" s="324"/>
      <c r="GV34" s="324"/>
      <c r="GW34" s="324"/>
      <c r="GX34" s="324"/>
      <c r="GY34" s="324"/>
      <c r="GZ34" s="324"/>
      <c r="HA34" s="324"/>
      <c r="HB34" s="324"/>
      <c r="HC34" s="324"/>
      <c r="HD34" s="324"/>
      <c r="HE34" s="324"/>
      <c r="HF34" s="324"/>
      <c r="HG34" s="324"/>
      <c r="HH34" s="324"/>
      <c r="HI34" s="324"/>
      <c r="HJ34" s="324"/>
      <c r="HK34" s="324"/>
      <c r="HL34" s="324"/>
      <c r="HM34" s="324"/>
      <c r="HN34" s="324"/>
      <c r="HO34" s="324"/>
      <c r="HP34" s="324"/>
      <c r="HQ34" s="324"/>
      <c r="HR34" s="324"/>
      <c r="HS34" s="324"/>
      <c r="HT34" s="324"/>
      <c r="HU34" s="324"/>
      <c r="HV34" s="324"/>
      <c r="HW34" s="324"/>
      <c r="HX34" s="324"/>
      <c r="HY34" s="324"/>
      <c r="HZ34" s="324"/>
      <c r="IA34" s="324"/>
      <c r="IB34" s="324"/>
      <c r="IC34" s="324"/>
      <c r="ID34" s="324"/>
      <c r="IE34" s="324"/>
      <c r="IF34" s="324"/>
      <c r="IG34" s="324"/>
      <c r="IH34" s="324"/>
      <c r="II34" s="324"/>
      <c r="IJ34" s="324"/>
      <c r="IK34" s="324"/>
      <c r="IL34" s="324"/>
      <c r="IM34" s="324"/>
    </row>
    <row r="35" spans="1:247" x14ac:dyDescent="0.35">
      <c r="A35" s="356">
        <v>1757</v>
      </c>
      <c r="B35" s="357" t="s">
        <v>44</v>
      </c>
      <c r="C35" s="172" t="s">
        <v>37</v>
      </c>
      <c r="D35" s="358" t="s">
        <v>2051</v>
      </c>
      <c r="E35" s="336"/>
      <c r="F35" s="331">
        <f t="shared" si="0"/>
        <v>1.0209999999999999</v>
      </c>
      <c r="G35" s="337">
        <f t="shared" si="6"/>
        <v>1.0269999999999999</v>
      </c>
      <c r="H35" s="336"/>
      <c r="I35" s="338"/>
      <c r="J35" s="338"/>
      <c r="K35" s="338"/>
      <c r="L35" s="338"/>
      <c r="M35" s="338"/>
      <c r="N35" s="337"/>
      <c r="O35" s="339"/>
      <c r="P35" s="336"/>
      <c r="Q35" s="337"/>
      <c r="R35" s="340">
        <f t="shared" si="1"/>
        <v>1.0485669999999998</v>
      </c>
      <c r="S35" s="324"/>
      <c r="T35" s="324"/>
      <c r="U35" s="324"/>
      <c r="V35" s="324"/>
      <c r="W35" s="324"/>
      <c r="X35" s="324"/>
      <c r="Y35" s="324"/>
      <c r="Z35" s="324"/>
      <c r="AA35" s="324"/>
      <c r="AB35" s="324"/>
      <c r="AC35" s="324"/>
      <c r="AD35" s="324"/>
      <c r="AE35" s="324"/>
      <c r="AF35" s="324"/>
      <c r="AG35" s="324"/>
      <c r="AH35" s="324"/>
      <c r="AI35" s="324"/>
      <c r="AJ35" s="324"/>
      <c r="AK35" s="324"/>
      <c r="AL35" s="324"/>
      <c r="AM35" s="324"/>
      <c r="AN35" s="324"/>
      <c r="AO35" s="324"/>
      <c r="AP35" s="324"/>
      <c r="AQ35" s="324"/>
      <c r="AR35" s="324"/>
      <c r="AS35" s="324"/>
      <c r="AT35" s="324"/>
      <c r="AU35" s="324"/>
      <c r="AV35" s="324"/>
      <c r="AW35" s="324"/>
      <c r="AX35" s="324"/>
      <c r="AY35" s="324"/>
      <c r="AZ35" s="324"/>
      <c r="BA35" s="324"/>
      <c r="BB35" s="324"/>
      <c r="BC35" s="324"/>
      <c r="BD35" s="324"/>
      <c r="BE35" s="324"/>
      <c r="BF35" s="324"/>
      <c r="BG35" s="324"/>
      <c r="BH35" s="324"/>
      <c r="BI35" s="324"/>
      <c r="BJ35" s="324"/>
      <c r="BK35" s="324"/>
      <c r="BL35" s="324"/>
      <c r="BM35" s="324"/>
      <c r="BN35" s="324"/>
      <c r="BO35" s="324"/>
      <c r="BP35" s="324"/>
      <c r="BQ35" s="324"/>
      <c r="BR35" s="324"/>
      <c r="BS35" s="324"/>
      <c r="BT35" s="324"/>
      <c r="BU35" s="324"/>
      <c r="BV35" s="324"/>
      <c r="BW35" s="324"/>
      <c r="BX35" s="324"/>
      <c r="BY35" s="324"/>
      <c r="BZ35" s="324"/>
      <c r="CA35" s="324"/>
      <c r="CB35" s="324"/>
      <c r="CC35" s="324"/>
      <c r="CD35" s="324"/>
      <c r="CE35" s="324"/>
      <c r="CF35" s="324"/>
      <c r="CG35" s="324"/>
      <c r="CH35" s="324"/>
      <c r="CI35" s="324"/>
      <c r="CJ35" s="324"/>
      <c r="CK35" s="324"/>
      <c r="CL35" s="324"/>
      <c r="CM35" s="324"/>
      <c r="CN35" s="324"/>
      <c r="CO35" s="324"/>
      <c r="CP35" s="324"/>
      <c r="CQ35" s="324"/>
      <c r="CR35" s="324"/>
      <c r="CS35" s="324"/>
      <c r="CT35" s="324"/>
      <c r="CU35" s="324"/>
      <c r="CV35" s="324"/>
      <c r="CW35" s="324"/>
      <c r="CX35" s="324"/>
      <c r="CY35" s="324"/>
      <c r="CZ35" s="324"/>
      <c r="DA35" s="324"/>
      <c r="DB35" s="324"/>
      <c r="DC35" s="324"/>
      <c r="DD35" s="324"/>
      <c r="DE35" s="324"/>
      <c r="DF35" s="324"/>
      <c r="DG35" s="324"/>
      <c r="DH35" s="324"/>
      <c r="DI35" s="324"/>
      <c r="DJ35" s="324"/>
      <c r="DK35" s="324"/>
      <c r="DL35" s="324"/>
      <c r="DM35" s="324"/>
      <c r="DN35" s="324"/>
      <c r="DO35" s="324"/>
      <c r="DP35" s="324"/>
      <c r="DQ35" s="324"/>
      <c r="DR35" s="324"/>
      <c r="DS35" s="324"/>
      <c r="DT35" s="324"/>
      <c r="DU35" s="324"/>
      <c r="DV35" s="324"/>
      <c r="DW35" s="324"/>
      <c r="DX35" s="324"/>
      <c r="DY35" s="324"/>
      <c r="DZ35" s="324"/>
      <c r="EA35" s="324"/>
      <c r="EB35" s="324"/>
      <c r="EC35" s="324"/>
      <c r="ED35" s="324"/>
      <c r="EE35" s="324"/>
      <c r="EF35" s="324"/>
      <c r="EG35" s="324"/>
      <c r="EH35" s="324"/>
      <c r="EI35" s="324"/>
      <c r="EJ35" s="324"/>
      <c r="EK35" s="324"/>
      <c r="EL35" s="324"/>
      <c r="EM35" s="324"/>
      <c r="EN35" s="324"/>
      <c r="EO35" s="324"/>
      <c r="EP35" s="324"/>
      <c r="EQ35" s="324"/>
      <c r="ER35" s="324"/>
      <c r="ES35" s="324"/>
      <c r="ET35" s="324"/>
      <c r="EU35" s="324"/>
      <c r="EV35" s="324"/>
      <c r="EW35" s="324"/>
      <c r="EX35" s="324"/>
      <c r="EY35" s="324"/>
      <c r="EZ35" s="324"/>
      <c r="FA35" s="324"/>
      <c r="FB35" s="324"/>
      <c r="FC35" s="324"/>
      <c r="FD35" s="324"/>
      <c r="FE35" s="324"/>
      <c r="FF35" s="324"/>
      <c r="FG35" s="324"/>
      <c r="FH35" s="324"/>
      <c r="FI35" s="324"/>
      <c r="FJ35" s="324"/>
      <c r="FK35" s="324"/>
      <c r="FL35" s="324"/>
      <c r="FM35" s="324"/>
      <c r="FN35" s="324"/>
      <c r="FO35" s="324"/>
      <c r="FP35" s="324"/>
      <c r="FQ35" s="324"/>
      <c r="FR35" s="324"/>
      <c r="FS35" s="324"/>
      <c r="FT35" s="324"/>
      <c r="FU35" s="324"/>
      <c r="FV35" s="324"/>
      <c r="FW35" s="324"/>
      <c r="FX35" s="324"/>
      <c r="FY35" s="324"/>
      <c r="FZ35" s="324"/>
      <c r="GA35" s="324"/>
      <c r="GB35" s="324"/>
      <c r="GC35" s="324"/>
      <c r="GD35" s="324"/>
      <c r="GE35" s="324"/>
      <c r="GF35" s="324"/>
      <c r="GG35" s="324"/>
      <c r="GH35" s="324"/>
      <c r="GI35" s="324"/>
      <c r="GJ35" s="324"/>
      <c r="GK35" s="324"/>
      <c r="GL35" s="324"/>
      <c r="GM35" s="324"/>
      <c r="GN35" s="324"/>
      <c r="GO35" s="324"/>
      <c r="GP35" s="324"/>
      <c r="GQ35" s="324"/>
      <c r="GR35" s="324"/>
      <c r="GS35" s="324"/>
      <c r="GT35" s="324"/>
      <c r="GU35" s="324"/>
      <c r="GV35" s="324"/>
      <c r="GW35" s="324"/>
      <c r="GX35" s="324"/>
      <c r="GY35" s="324"/>
      <c r="GZ35" s="324"/>
      <c r="HA35" s="324"/>
      <c r="HB35" s="324"/>
      <c r="HC35" s="324"/>
      <c r="HD35" s="324"/>
      <c r="HE35" s="324"/>
      <c r="HF35" s="324"/>
      <c r="HG35" s="324"/>
      <c r="HH35" s="324"/>
      <c r="HI35" s="324"/>
      <c r="HJ35" s="324"/>
      <c r="HK35" s="324"/>
      <c r="HL35" s="324"/>
      <c r="HM35" s="324"/>
      <c r="HN35" s="324"/>
      <c r="HO35" s="324"/>
      <c r="HP35" s="324"/>
      <c r="HQ35" s="324"/>
      <c r="HR35" s="324"/>
      <c r="HS35" s="324"/>
      <c r="HT35" s="324"/>
      <c r="HU35" s="324"/>
      <c r="HV35" s="324"/>
      <c r="HW35" s="324"/>
      <c r="HX35" s="324"/>
      <c r="HY35" s="324"/>
      <c r="HZ35" s="324"/>
      <c r="IA35" s="324"/>
      <c r="IB35" s="324"/>
      <c r="IC35" s="324"/>
      <c r="ID35" s="324"/>
      <c r="IE35" s="324"/>
      <c r="IF35" s="324"/>
      <c r="IG35" s="324"/>
      <c r="IH35" s="324"/>
      <c r="II35" s="324"/>
      <c r="IJ35" s="324"/>
      <c r="IK35" s="324"/>
      <c r="IL35" s="324"/>
      <c r="IM35" s="324"/>
    </row>
    <row r="36" spans="1:247" x14ac:dyDescent="0.35">
      <c r="A36" s="356">
        <v>1758</v>
      </c>
      <c r="B36" s="357" t="s">
        <v>45</v>
      </c>
      <c r="C36" s="172" t="s">
        <v>37</v>
      </c>
      <c r="D36" s="358" t="s">
        <v>2051</v>
      </c>
      <c r="E36" s="336"/>
      <c r="F36" s="331">
        <f t="shared" si="0"/>
        <v>1.0209999999999999</v>
      </c>
      <c r="G36" s="337">
        <f t="shared" si="6"/>
        <v>1.0269999999999999</v>
      </c>
      <c r="H36" s="336"/>
      <c r="I36" s="338"/>
      <c r="J36" s="338"/>
      <c r="K36" s="338"/>
      <c r="L36" s="338"/>
      <c r="M36" s="338"/>
      <c r="N36" s="337"/>
      <c r="O36" s="339"/>
      <c r="P36" s="336"/>
      <c r="Q36" s="337"/>
      <c r="R36" s="340">
        <f t="shared" si="1"/>
        <v>1.0485669999999998</v>
      </c>
      <c r="S36" s="324"/>
      <c r="T36" s="324"/>
      <c r="U36" s="324"/>
      <c r="V36" s="324"/>
      <c r="W36" s="324"/>
      <c r="X36" s="324"/>
      <c r="Y36" s="324"/>
      <c r="Z36" s="324"/>
      <c r="AA36" s="324"/>
      <c r="AB36" s="324"/>
      <c r="AC36" s="324"/>
      <c r="AD36" s="324"/>
      <c r="AE36" s="324"/>
      <c r="AF36" s="324"/>
      <c r="AG36" s="324"/>
      <c r="AH36" s="324"/>
      <c r="AI36" s="324"/>
      <c r="AJ36" s="324"/>
      <c r="AK36" s="324"/>
      <c r="AL36" s="324"/>
      <c r="AM36" s="324"/>
      <c r="AN36" s="324"/>
      <c r="AO36" s="324"/>
      <c r="AP36" s="324"/>
      <c r="AQ36" s="324"/>
      <c r="AR36" s="324"/>
      <c r="AS36" s="324"/>
      <c r="AT36" s="324"/>
      <c r="AU36" s="324"/>
      <c r="AV36" s="324"/>
      <c r="AW36" s="324"/>
      <c r="AX36" s="324"/>
      <c r="AY36" s="324"/>
      <c r="AZ36" s="324"/>
      <c r="BA36" s="324"/>
      <c r="BB36" s="324"/>
      <c r="BC36" s="324"/>
      <c r="BD36" s="324"/>
      <c r="BE36" s="324"/>
      <c r="BF36" s="324"/>
      <c r="BG36" s="324"/>
      <c r="BH36" s="324"/>
      <c r="BI36" s="324"/>
      <c r="BJ36" s="324"/>
      <c r="BK36" s="324"/>
      <c r="BL36" s="324"/>
      <c r="BM36" s="324"/>
      <c r="BN36" s="324"/>
      <c r="BO36" s="324"/>
      <c r="BP36" s="324"/>
      <c r="BQ36" s="324"/>
      <c r="BR36" s="324"/>
      <c r="BS36" s="324"/>
      <c r="BT36" s="324"/>
      <c r="BU36" s="324"/>
      <c r="BV36" s="324"/>
      <c r="BW36" s="324"/>
      <c r="BX36" s="324"/>
      <c r="BY36" s="324"/>
      <c r="BZ36" s="324"/>
      <c r="CA36" s="324"/>
      <c r="CB36" s="324"/>
      <c r="CC36" s="324"/>
      <c r="CD36" s="324"/>
      <c r="CE36" s="324"/>
      <c r="CF36" s="324"/>
      <c r="CG36" s="324"/>
      <c r="CH36" s="324"/>
      <c r="CI36" s="324"/>
      <c r="CJ36" s="324"/>
      <c r="CK36" s="324"/>
      <c r="CL36" s="324"/>
      <c r="CM36" s="324"/>
      <c r="CN36" s="324"/>
      <c r="CO36" s="324"/>
      <c r="CP36" s="324"/>
      <c r="CQ36" s="324"/>
      <c r="CR36" s="324"/>
      <c r="CS36" s="324"/>
      <c r="CT36" s="324"/>
      <c r="CU36" s="324"/>
      <c r="CV36" s="324"/>
      <c r="CW36" s="324"/>
      <c r="CX36" s="324"/>
      <c r="CY36" s="324"/>
      <c r="CZ36" s="324"/>
      <c r="DA36" s="324"/>
      <c r="DB36" s="324"/>
      <c r="DC36" s="324"/>
      <c r="DD36" s="324"/>
      <c r="DE36" s="324"/>
      <c r="DF36" s="324"/>
      <c r="DG36" s="324"/>
      <c r="DH36" s="324"/>
      <c r="DI36" s="324"/>
      <c r="DJ36" s="324"/>
      <c r="DK36" s="324"/>
      <c r="DL36" s="324"/>
      <c r="DM36" s="324"/>
      <c r="DN36" s="324"/>
      <c r="DO36" s="324"/>
      <c r="DP36" s="324"/>
      <c r="DQ36" s="324"/>
      <c r="DR36" s="324"/>
      <c r="DS36" s="324"/>
      <c r="DT36" s="324"/>
      <c r="DU36" s="324"/>
      <c r="DV36" s="324"/>
      <c r="DW36" s="324"/>
      <c r="DX36" s="324"/>
      <c r="DY36" s="324"/>
      <c r="DZ36" s="324"/>
      <c r="EA36" s="324"/>
      <c r="EB36" s="324"/>
      <c r="EC36" s="324"/>
      <c r="ED36" s="324"/>
      <c r="EE36" s="324"/>
      <c r="EF36" s="324"/>
      <c r="EG36" s="324"/>
      <c r="EH36" s="324"/>
      <c r="EI36" s="324"/>
      <c r="EJ36" s="324"/>
      <c r="EK36" s="324"/>
      <c r="EL36" s="324"/>
      <c r="EM36" s="324"/>
      <c r="EN36" s="324"/>
      <c r="EO36" s="324"/>
      <c r="EP36" s="324"/>
      <c r="EQ36" s="324"/>
      <c r="ER36" s="324"/>
      <c r="ES36" s="324"/>
      <c r="ET36" s="324"/>
      <c r="EU36" s="324"/>
      <c r="EV36" s="324"/>
      <c r="EW36" s="324"/>
      <c r="EX36" s="324"/>
      <c r="EY36" s="324"/>
      <c r="EZ36" s="324"/>
      <c r="FA36" s="324"/>
      <c r="FB36" s="324"/>
      <c r="FC36" s="324"/>
      <c r="FD36" s="324"/>
      <c r="FE36" s="324"/>
      <c r="FF36" s="324"/>
      <c r="FG36" s="324"/>
      <c r="FH36" s="324"/>
      <c r="FI36" s="324"/>
      <c r="FJ36" s="324"/>
      <c r="FK36" s="324"/>
      <c r="FL36" s="324"/>
      <c r="FM36" s="324"/>
      <c r="FN36" s="324"/>
      <c r="FO36" s="324"/>
      <c r="FP36" s="324"/>
      <c r="FQ36" s="324"/>
      <c r="FR36" s="324"/>
      <c r="FS36" s="324"/>
      <c r="FT36" s="324"/>
      <c r="FU36" s="324"/>
      <c r="FV36" s="324"/>
      <c r="FW36" s="324"/>
      <c r="FX36" s="324"/>
      <c r="FY36" s="324"/>
      <c r="FZ36" s="324"/>
      <c r="GA36" s="324"/>
      <c r="GB36" s="324"/>
      <c r="GC36" s="324"/>
      <c r="GD36" s="324"/>
      <c r="GE36" s="324"/>
      <c r="GF36" s="324"/>
      <c r="GG36" s="324"/>
      <c r="GH36" s="324"/>
      <c r="GI36" s="324"/>
      <c r="GJ36" s="324"/>
      <c r="GK36" s="324"/>
      <c r="GL36" s="324"/>
      <c r="GM36" s="324"/>
      <c r="GN36" s="324"/>
      <c r="GO36" s="324"/>
      <c r="GP36" s="324"/>
      <c r="GQ36" s="324"/>
      <c r="GR36" s="324"/>
      <c r="GS36" s="324"/>
      <c r="GT36" s="324"/>
      <c r="GU36" s="324"/>
      <c r="GV36" s="324"/>
      <c r="GW36" s="324"/>
      <c r="GX36" s="324"/>
      <c r="GY36" s="324"/>
      <c r="GZ36" s="324"/>
      <c r="HA36" s="324"/>
      <c r="HB36" s="324"/>
      <c r="HC36" s="324"/>
      <c r="HD36" s="324"/>
      <c r="HE36" s="324"/>
      <c r="HF36" s="324"/>
      <c r="HG36" s="324"/>
      <c r="HH36" s="324"/>
      <c r="HI36" s="324"/>
      <c r="HJ36" s="324"/>
      <c r="HK36" s="324"/>
      <c r="HL36" s="324"/>
      <c r="HM36" s="324"/>
      <c r="HN36" s="324"/>
      <c r="HO36" s="324"/>
      <c r="HP36" s="324"/>
      <c r="HQ36" s="324"/>
      <c r="HR36" s="324"/>
      <c r="HS36" s="324"/>
      <c r="HT36" s="324"/>
      <c r="HU36" s="324"/>
      <c r="HV36" s="324"/>
      <c r="HW36" s="324"/>
      <c r="HX36" s="324"/>
      <c r="HY36" s="324"/>
      <c r="HZ36" s="324"/>
      <c r="IA36" s="324"/>
      <c r="IB36" s="324"/>
      <c r="IC36" s="324"/>
      <c r="ID36" s="324"/>
      <c r="IE36" s="324"/>
      <c r="IF36" s="324"/>
      <c r="IG36" s="324"/>
      <c r="IH36" s="324"/>
      <c r="II36" s="324"/>
      <c r="IJ36" s="324"/>
      <c r="IK36" s="324"/>
      <c r="IL36" s="324"/>
      <c r="IM36" s="324"/>
    </row>
    <row r="37" spans="1:247" x14ac:dyDescent="0.35">
      <c r="A37" s="356">
        <v>1760</v>
      </c>
      <c r="B37" s="357" t="s">
        <v>46</v>
      </c>
      <c r="C37" s="172" t="s">
        <v>37</v>
      </c>
      <c r="D37" s="358" t="s">
        <v>2051</v>
      </c>
      <c r="E37" s="336"/>
      <c r="F37" s="331">
        <f t="shared" si="0"/>
        <v>1.0209999999999999</v>
      </c>
      <c r="G37" s="337">
        <f t="shared" si="6"/>
        <v>1.0269999999999999</v>
      </c>
      <c r="H37" s="336"/>
      <c r="I37" s="338"/>
      <c r="J37" s="338"/>
      <c r="K37" s="338"/>
      <c r="L37" s="338"/>
      <c r="M37" s="338"/>
      <c r="N37" s="337"/>
      <c r="O37" s="339"/>
      <c r="P37" s="336"/>
      <c r="Q37" s="337"/>
      <c r="R37" s="340">
        <f t="shared" si="1"/>
        <v>1.0485669999999998</v>
      </c>
      <c r="S37" s="324"/>
      <c r="T37" s="324"/>
      <c r="U37" s="324"/>
      <c r="V37" s="324"/>
      <c r="W37" s="324"/>
      <c r="X37" s="324"/>
      <c r="Y37" s="324"/>
      <c r="Z37" s="324"/>
      <c r="AA37" s="324"/>
      <c r="AB37" s="324"/>
      <c r="AC37" s="324"/>
      <c r="AD37" s="324"/>
      <c r="AE37" s="324"/>
      <c r="AF37" s="324"/>
      <c r="AG37" s="324"/>
      <c r="AH37" s="324"/>
      <c r="AI37" s="324"/>
      <c r="AJ37" s="324"/>
      <c r="AK37" s="324"/>
      <c r="AL37" s="324"/>
      <c r="AM37" s="324"/>
      <c r="AN37" s="324"/>
      <c r="AO37" s="324"/>
      <c r="AP37" s="324"/>
      <c r="AQ37" s="324"/>
      <c r="AR37" s="324"/>
      <c r="AS37" s="324"/>
      <c r="AT37" s="324"/>
      <c r="AU37" s="324"/>
      <c r="AV37" s="324"/>
      <c r="AW37" s="324"/>
      <c r="AX37" s="324"/>
      <c r="AY37" s="324"/>
      <c r="AZ37" s="324"/>
      <c r="BA37" s="324"/>
      <c r="BB37" s="324"/>
      <c r="BC37" s="324"/>
      <c r="BD37" s="324"/>
      <c r="BE37" s="324"/>
      <c r="BF37" s="324"/>
      <c r="BG37" s="324"/>
      <c r="BH37" s="324"/>
      <c r="BI37" s="324"/>
      <c r="BJ37" s="324"/>
      <c r="BK37" s="324"/>
      <c r="BL37" s="324"/>
      <c r="BM37" s="324"/>
      <c r="BN37" s="324"/>
      <c r="BO37" s="324"/>
      <c r="BP37" s="324"/>
      <c r="BQ37" s="324"/>
      <c r="BR37" s="324"/>
      <c r="BS37" s="324"/>
      <c r="BT37" s="324"/>
      <c r="BU37" s="324"/>
      <c r="BV37" s="324"/>
      <c r="BW37" s="324"/>
      <c r="BX37" s="324"/>
      <c r="BY37" s="324"/>
      <c r="BZ37" s="324"/>
      <c r="CA37" s="324"/>
      <c r="CB37" s="324"/>
      <c r="CC37" s="324"/>
      <c r="CD37" s="324"/>
      <c r="CE37" s="324"/>
      <c r="CF37" s="324"/>
      <c r="CG37" s="324"/>
      <c r="CH37" s="324"/>
      <c r="CI37" s="324"/>
      <c r="CJ37" s="324"/>
      <c r="CK37" s="324"/>
      <c r="CL37" s="324"/>
      <c r="CM37" s="324"/>
      <c r="CN37" s="324"/>
      <c r="CO37" s="324"/>
      <c r="CP37" s="324"/>
      <c r="CQ37" s="324"/>
      <c r="CR37" s="324"/>
      <c r="CS37" s="324"/>
      <c r="CT37" s="324"/>
      <c r="CU37" s="324"/>
      <c r="CV37" s="324"/>
      <c r="CW37" s="324"/>
      <c r="CX37" s="324"/>
      <c r="CY37" s="324"/>
      <c r="CZ37" s="324"/>
      <c r="DA37" s="324"/>
      <c r="DB37" s="324"/>
      <c r="DC37" s="324"/>
      <c r="DD37" s="324"/>
      <c r="DE37" s="324"/>
      <c r="DF37" s="324"/>
      <c r="DG37" s="324"/>
      <c r="DH37" s="324"/>
      <c r="DI37" s="324"/>
      <c r="DJ37" s="324"/>
      <c r="DK37" s="324"/>
      <c r="DL37" s="324"/>
      <c r="DM37" s="324"/>
      <c r="DN37" s="324"/>
      <c r="DO37" s="324"/>
      <c r="DP37" s="324"/>
      <c r="DQ37" s="324"/>
      <c r="DR37" s="324"/>
      <c r="DS37" s="324"/>
      <c r="DT37" s="324"/>
      <c r="DU37" s="324"/>
      <c r="DV37" s="324"/>
      <c r="DW37" s="324"/>
      <c r="DX37" s="324"/>
      <c r="DY37" s="324"/>
      <c r="DZ37" s="324"/>
      <c r="EA37" s="324"/>
      <c r="EB37" s="324"/>
      <c r="EC37" s="324"/>
      <c r="ED37" s="324"/>
      <c r="EE37" s="324"/>
      <c r="EF37" s="324"/>
      <c r="EG37" s="324"/>
      <c r="EH37" s="324"/>
      <c r="EI37" s="324"/>
      <c r="EJ37" s="324"/>
      <c r="EK37" s="324"/>
      <c r="EL37" s="324"/>
      <c r="EM37" s="324"/>
      <c r="EN37" s="324"/>
      <c r="EO37" s="324"/>
      <c r="EP37" s="324"/>
      <c r="EQ37" s="324"/>
      <c r="ER37" s="324"/>
      <c r="ES37" s="324"/>
      <c r="ET37" s="324"/>
      <c r="EU37" s="324"/>
      <c r="EV37" s="324"/>
      <c r="EW37" s="324"/>
      <c r="EX37" s="324"/>
      <c r="EY37" s="324"/>
      <c r="EZ37" s="324"/>
      <c r="FA37" s="324"/>
      <c r="FB37" s="324"/>
      <c r="FC37" s="324"/>
      <c r="FD37" s="324"/>
      <c r="FE37" s="324"/>
      <c r="FF37" s="324"/>
      <c r="FG37" s="324"/>
      <c r="FH37" s="324"/>
      <c r="FI37" s="324"/>
      <c r="FJ37" s="324"/>
      <c r="FK37" s="324"/>
      <c r="FL37" s="324"/>
      <c r="FM37" s="324"/>
      <c r="FN37" s="324"/>
      <c r="FO37" s="324"/>
      <c r="FP37" s="324"/>
      <c r="FQ37" s="324"/>
      <c r="FR37" s="324"/>
      <c r="FS37" s="324"/>
      <c r="FT37" s="324"/>
      <c r="FU37" s="324"/>
      <c r="FV37" s="324"/>
      <c r="FW37" s="324"/>
      <c r="FX37" s="324"/>
      <c r="FY37" s="324"/>
      <c r="FZ37" s="324"/>
      <c r="GA37" s="324"/>
      <c r="GB37" s="324"/>
      <c r="GC37" s="324"/>
      <c r="GD37" s="324"/>
      <c r="GE37" s="324"/>
      <c r="GF37" s="324"/>
      <c r="GG37" s="324"/>
      <c r="GH37" s="324"/>
      <c r="GI37" s="324"/>
      <c r="GJ37" s="324"/>
      <c r="GK37" s="324"/>
      <c r="GL37" s="324"/>
      <c r="GM37" s="324"/>
      <c r="GN37" s="324"/>
      <c r="GO37" s="324"/>
      <c r="GP37" s="324"/>
      <c r="GQ37" s="324"/>
      <c r="GR37" s="324"/>
      <c r="GS37" s="324"/>
      <c r="GT37" s="324"/>
      <c r="GU37" s="324"/>
      <c r="GV37" s="324"/>
      <c r="GW37" s="324"/>
      <c r="GX37" s="324"/>
      <c r="GY37" s="324"/>
      <c r="GZ37" s="324"/>
      <c r="HA37" s="324"/>
      <c r="HB37" s="324"/>
      <c r="HC37" s="324"/>
      <c r="HD37" s="324"/>
      <c r="HE37" s="324"/>
      <c r="HF37" s="324"/>
      <c r="HG37" s="324"/>
      <c r="HH37" s="324"/>
      <c r="HI37" s="324"/>
      <c r="HJ37" s="324"/>
      <c r="HK37" s="324"/>
      <c r="HL37" s="324"/>
      <c r="HM37" s="324"/>
      <c r="HN37" s="324"/>
      <c r="HO37" s="324"/>
      <c r="HP37" s="324"/>
      <c r="HQ37" s="324"/>
      <c r="HR37" s="324"/>
      <c r="HS37" s="324"/>
      <c r="HT37" s="324"/>
      <c r="HU37" s="324"/>
      <c r="HV37" s="324"/>
      <c r="HW37" s="324"/>
      <c r="HX37" s="324"/>
      <c r="HY37" s="324"/>
      <c r="HZ37" s="324"/>
      <c r="IA37" s="324"/>
      <c r="IB37" s="324"/>
      <c r="IC37" s="324"/>
      <c r="ID37" s="324"/>
      <c r="IE37" s="324"/>
      <c r="IF37" s="324"/>
      <c r="IG37" s="324"/>
      <c r="IH37" s="324"/>
      <c r="II37" s="324"/>
      <c r="IJ37" s="324"/>
      <c r="IK37" s="324"/>
      <c r="IL37" s="324"/>
      <c r="IM37" s="324"/>
    </row>
    <row r="38" spans="1:247" x14ac:dyDescent="0.35">
      <c r="A38" s="356">
        <v>1761</v>
      </c>
      <c r="B38" s="357" t="s">
        <v>47</v>
      </c>
      <c r="C38" s="172" t="s">
        <v>37</v>
      </c>
      <c r="D38" s="358" t="s">
        <v>2051</v>
      </c>
      <c r="E38" s="336"/>
      <c r="F38" s="331">
        <f t="shared" si="0"/>
        <v>1.0209999999999999</v>
      </c>
      <c r="G38" s="337">
        <f t="shared" si="6"/>
        <v>1.0269999999999999</v>
      </c>
      <c r="H38" s="336"/>
      <c r="I38" s="338"/>
      <c r="J38" s="338"/>
      <c r="K38" s="338"/>
      <c r="L38" s="338"/>
      <c r="M38" s="338"/>
      <c r="N38" s="337"/>
      <c r="O38" s="339"/>
      <c r="P38" s="336"/>
      <c r="Q38" s="337"/>
      <c r="R38" s="340">
        <f t="shared" si="1"/>
        <v>1.0485669999999998</v>
      </c>
      <c r="S38" s="324"/>
      <c r="T38" s="324"/>
      <c r="U38" s="324"/>
      <c r="V38" s="324"/>
      <c r="W38" s="324"/>
      <c r="X38" s="324"/>
      <c r="Y38" s="324"/>
      <c r="Z38" s="324"/>
      <c r="AA38" s="324"/>
      <c r="AB38" s="324"/>
      <c r="AC38" s="324"/>
      <c r="AD38" s="324"/>
      <c r="AE38" s="324"/>
      <c r="AF38" s="324"/>
      <c r="AG38" s="324"/>
      <c r="AH38" s="324"/>
      <c r="AI38" s="324"/>
      <c r="AJ38" s="324"/>
      <c r="AK38" s="324"/>
      <c r="AL38" s="324"/>
      <c r="AM38" s="324"/>
      <c r="AN38" s="324"/>
      <c r="AO38" s="324"/>
      <c r="AP38" s="324"/>
      <c r="AQ38" s="324"/>
      <c r="AR38" s="324"/>
      <c r="AS38" s="324"/>
      <c r="AT38" s="324"/>
      <c r="AU38" s="324"/>
      <c r="AV38" s="324"/>
      <c r="AW38" s="324"/>
      <c r="AX38" s="324"/>
      <c r="AY38" s="324"/>
      <c r="AZ38" s="324"/>
      <c r="BA38" s="324"/>
      <c r="BB38" s="324"/>
      <c r="BC38" s="324"/>
      <c r="BD38" s="324"/>
      <c r="BE38" s="324"/>
      <c r="BF38" s="324"/>
      <c r="BG38" s="324"/>
      <c r="BH38" s="324"/>
      <c r="BI38" s="324"/>
      <c r="BJ38" s="324"/>
      <c r="BK38" s="324"/>
      <c r="BL38" s="324"/>
      <c r="BM38" s="324"/>
      <c r="BN38" s="324"/>
      <c r="BO38" s="324"/>
      <c r="BP38" s="324"/>
      <c r="BQ38" s="324"/>
      <c r="BR38" s="324"/>
      <c r="BS38" s="324"/>
      <c r="BT38" s="324"/>
      <c r="BU38" s="324"/>
      <c r="BV38" s="324"/>
      <c r="BW38" s="324"/>
      <c r="BX38" s="324"/>
      <c r="BY38" s="324"/>
      <c r="BZ38" s="324"/>
      <c r="CA38" s="324"/>
      <c r="CB38" s="324"/>
      <c r="CC38" s="324"/>
      <c r="CD38" s="324"/>
      <c r="CE38" s="324"/>
      <c r="CF38" s="324"/>
      <c r="CG38" s="324"/>
      <c r="CH38" s="324"/>
      <c r="CI38" s="324"/>
      <c r="CJ38" s="324"/>
      <c r="CK38" s="324"/>
      <c r="CL38" s="324"/>
      <c r="CM38" s="324"/>
      <c r="CN38" s="324"/>
      <c r="CO38" s="324"/>
      <c r="CP38" s="324"/>
      <c r="CQ38" s="324"/>
      <c r="CR38" s="324"/>
      <c r="CS38" s="324"/>
      <c r="CT38" s="324"/>
      <c r="CU38" s="324"/>
      <c r="CV38" s="324"/>
      <c r="CW38" s="324"/>
      <c r="CX38" s="324"/>
      <c r="CY38" s="324"/>
      <c r="CZ38" s="324"/>
      <c r="DA38" s="324"/>
      <c r="DB38" s="324"/>
      <c r="DC38" s="324"/>
      <c r="DD38" s="324"/>
      <c r="DE38" s="324"/>
      <c r="DF38" s="324"/>
      <c r="DG38" s="324"/>
      <c r="DH38" s="324"/>
      <c r="DI38" s="324"/>
      <c r="DJ38" s="324"/>
      <c r="DK38" s="324"/>
      <c r="DL38" s="324"/>
      <c r="DM38" s="324"/>
      <c r="DN38" s="324"/>
      <c r="DO38" s="324"/>
      <c r="DP38" s="324"/>
      <c r="DQ38" s="324"/>
      <c r="DR38" s="324"/>
      <c r="DS38" s="324"/>
      <c r="DT38" s="324"/>
      <c r="DU38" s="324"/>
      <c r="DV38" s="324"/>
      <c r="DW38" s="324"/>
      <c r="DX38" s="324"/>
      <c r="DY38" s="324"/>
      <c r="DZ38" s="324"/>
      <c r="EA38" s="324"/>
      <c r="EB38" s="324"/>
      <c r="EC38" s="324"/>
      <c r="ED38" s="324"/>
      <c r="EE38" s="324"/>
      <c r="EF38" s="324"/>
      <c r="EG38" s="324"/>
      <c r="EH38" s="324"/>
      <c r="EI38" s="324"/>
      <c r="EJ38" s="324"/>
      <c r="EK38" s="324"/>
      <c r="EL38" s="324"/>
      <c r="EM38" s="324"/>
      <c r="EN38" s="324"/>
      <c r="EO38" s="324"/>
      <c r="EP38" s="324"/>
      <c r="EQ38" s="324"/>
      <c r="ER38" s="324"/>
      <c r="ES38" s="324"/>
      <c r="ET38" s="324"/>
      <c r="EU38" s="324"/>
      <c r="EV38" s="324"/>
      <c r="EW38" s="324"/>
      <c r="EX38" s="324"/>
      <c r="EY38" s="324"/>
      <c r="EZ38" s="324"/>
      <c r="FA38" s="324"/>
      <c r="FB38" s="324"/>
      <c r="FC38" s="324"/>
      <c r="FD38" s="324"/>
      <c r="FE38" s="324"/>
      <c r="FF38" s="324"/>
      <c r="FG38" s="324"/>
      <c r="FH38" s="324"/>
      <c r="FI38" s="324"/>
      <c r="FJ38" s="324"/>
      <c r="FK38" s="324"/>
      <c r="FL38" s="324"/>
      <c r="FM38" s="324"/>
      <c r="FN38" s="324"/>
      <c r="FO38" s="324"/>
      <c r="FP38" s="324"/>
      <c r="FQ38" s="324"/>
      <c r="FR38" s="324"/>
      <c r="FS38" s="324"/>
      <c r="FT38" s="324"/>
      <c r="FU38" s="324"/>
      <c r="FV38" s="324"/>
      <c r="FW38" s="324"/>
      <c r="FX38" s="324"/>
      <c r="FY38" s="324"/>
      <c r="FZ38" s="324"/>
      <c r="GA38" s="324"/>
      <c r="GB38" s="324"/>
      <c r="GC38" s="324"/>
      <c r="GD38" s="324"/>
      <c r="GE38" s="324"/>
      <c r="GF38" s="324"/>
      <c r="GG38" s="324"/>
      <c r="GH38" s="324"/>
      <c r="GI38" s="324"/>
      <c r="GJ38" s="324"/>
      <c r="GK38" s="324"/>
      <c r="GL38" s="324"/>
      <c r="GM38" s="324"/>
      <c r="GN38" s="324"/>
      <c r="GO38" s="324"/>
      <c r="GP38" s="324"/>
      <c r="GQ38" s="324"/>
      <c r="GR38" s="324"/>
      <c r="GS38" s="324"/>
      <c r="GT38" s="324"/>
      <c r="GU38" s="324"/>
      <c r="GV38" s="324"/>
      <c r="GW38" s="324"/>
      <c r="GX38" s="324"/>
      <c r="GY38" s="324"/>
      <c r="GZ38" s="324"/>
      <c r="HA38" s="324"/>
      <c r="HB38" s="324"/>
      <c r="HC38" s="324"/>
      <c r="HD38" s="324"/>
      <c r="HE38" s="324"/>
      <c r="HF38" s="324"/>
      <c r="HG38" s="324"/>
      <c r="HH38" s="324"/>
      <c r="HI38" s="324"/>
      <c r="HJ38" s="324"/>
      <c r="HK38" s="324"/>
      <c r="HL38" s="324"/>
      <c r="HM38" s="324"/>
      <c r="HN38" s="324"/>
      <c r="HO38" s="324"/>
      <c r="HP38" s="324"/>
      <c r="HQ38" s="324"/>
      <c r="HR38" s="324"/>
      <c r="HS38" s="324"/>
      <c r="HT38" s="324"/>
      <c r="HU38" s="324"/>
      <c r="HV38" s="324"/>
      <c r="HW38" s="324"/>
      <c r="HX38" s="324"/>
      <c r="HY38" s="324"/>
      <c r="HZ38" s="324"/>
      <c r="IA38" s="324"/>
      <c r="IB38" s="324"/>
      <c r="IC38" s="324"/>
      <c r="ID38" s="324"/>
      <c r="IE38" s="324"/>
      <c r="IF38" s="324"/>
      <c r="IG38" s="324"/>
      <c r="IH38" s="324"/>
      <c r="II38" s="324"/>
      <c r="IJ38" s="324"/>
      <c r="IK38" s="324"/>
      <c r="IL38" s="324"/>
      <c r="IM38" s="324"/>
    </row>
    <row r="39" spans="1:247" x14ac:dyDescent="0.35">
      <c r="A39" s="356">
        <v>1762</v>
      </c>
      <c r="B39" s="357" t="s">
        <v>48</v>
      </c>
      <c r="C39" s="172" t="s">
        <v>49</v>
      </c>
      <c r="D39" s="358" t="s">
        <v>2051</v>
      </c>
      <c r="E39" s="336"/>
      <c r="F39" s="331">
        <f t="shared" si="0"/>
        <v>1.0209999999999999</v>
      </c>
      <c r="G39" s="337">
        <f t="shared" si="6"/>
        <v>1.0269999999999999</v>
      </c>
      <c r="H39" s="336"/>
      <c r="I39" s="338"/>
      <c r="J39" s="338"/>
      <c r="K39" s="338"/>
      <c r="L39" s="338"/>
      <c r="M39" s="338"/>
      <c r="N39" s="337"/>
      <c r="O39" s="339"/>
      <c r="P39" s="336"/>
      <c r="Q39" s="337"/>
      <c r="R39" s="340">
        <f t="shared" si="1"/>
        <v>1.0485669999999998</v>
      </c>
      <c r="S39" s="324"/>
      <c r="T39" s="324"/>
      <c r="U39" s="324"/>
      <c r="V39" s="324"/>
      <c r="W39" s="324"/>
      <c r="X39" s="324"/>
      <c r="Y39" s="324"/>
      <c r="Z39" s="324"/>
      <c r="AA39" s="324"/>
      <c r="AB39" s="324"/>
      <c r="AC39" s="324"/>
      <c r="AD39" s="324"/>
      <c r="AE39" s="324"/>
      <c r="AF39" s="324"/>
      <c r="AG39" s="324"/>
      <c r="AH39" s="324"/>
      <c r="AI39" s="324"/>
      <c r="AJ39" s="324"/>
      <c r="AK39" s="324"/>
      <c r="AL39" s="324"/>
      <c r="AM39" s="324"/>
      <c r="AN39" s="324"/>
      <c r="AO39" s="324"/>
      <c r="AP39" s="324"/>
      <c r="AQ39" s="324"/>
      <c r="AR39" s="324"/>
      <c r="AS39" s="324"/>
      <c r="AT39" s="324"/>
      <c r="AU39" s="324"/>
      <c r="AV39" s="324"/>
      <c r="AW39" s="324"/>
      <c r="AX39" s="324"/>
      <c r="AY39" s="324"/>
      <c r="AZ39" s="324"/>
      <c r="BA39" s="324"/>
      <c r="BB39" s="324"/>
      <c r="BC39" s="324"/>
      <c r="BD39" s="324"/>
      <c r="BE39" s="324"/>
      <c r="BF39" s="324"/>
      <c r="BG39" s="324"/>
      <c r="BH39" s="324"/>
      <c r="BI39" s="324"/>
      <c r="BJ39" s="324"/>
      <c r="BK39" s="324"/>
      <c r="BL39" s="324"/>
      <c r="BM39" s="324"/>
      <c r="BN39" s="324"/>
      <c r="BO39" s="324"/>
      <c r="BP39" s="324"/>
      <c r="BQ39" s="324"/>
      <c r="BR39" s="324"/>
      <c r="BS39" s="324"/>
      <c r="BT39" s="324"/>
      <c r="BU39" s="324"/>
      <c r="BV39" s="324"/>
      <c r="BW39" s="324"/>
      <c r="BX39" s="324"/>
      <c r="BY39" s="324"/>
      <c r="BZ39" s="324"/>
      <c r="CA39" s="324"/>
      <c r="CB39" s="324"/>
      <c r="CC39" s="324"/>
      <c r="CD39" s="324"/>
      <c r="CE39" s="324"/>
      <c r="CF39" s="324"/>
      <c r="CG39" s="324"/>
      <c r="CH39" s="324"/>
      <c r="CI39" s="324"/>
      <c r="CJ39" s="324"/>
      <c r="CK39" s="324"/>
      <c r="CL39" s="324"/>
      <c r="CM39" s="324"/>
      <c r="CN39" s="324"/>
      <c r="CO39" s="324"/>
      <c r="CP39" s="324"/>
      <c r="CQ39" s="324"/>
      <c r="CR39" s="324"/>
      <c r="CS39" s="324"/>
      <c r="CT39" s="324"/>
      <c r="CU39" s="324"/>
      <c r="CV39" s="324"/>
      <c r="CW39" s="324"/>
      <c r="CX39" s="324"/>
      <c r="CY39" s="324"/>
      <c r="CZ39" s="324"/>
      <c r="DA39" s="324"/>
      <c r="DB39" s="324"/>
      <c r="DC39" s="324"/>
      <c r="DD39" s="324"/>
      <c r="DE39" s="324"/>
      <c r="DF39" s="324"/>
      <c r="DG39" s="324"/>
      <c r="DH39" s="324"/>
      <c r="DI39" s="324"/>
      <c r="DJ39" s="324"/>
      <c r="DK39" s="324"/>
      <c r="DL39" s="324"/>
      <c r="DM39" s="324"/>
      <c r="DN39" s="324"/>
      <c r="DO39" s="324"/>
      <c r="DP39" s="324"/>
      <c r="DQ39" s="324"/>
      <c r="DR39" s="324"/>
      <c r="DS39" s="324"/>
      <c r="DT39" s="324"/>
      <c r="DU39" s="324"/>
      <c r="DV39" s="324"/>
      <c r="DW39" s="324"/>
      <c r="DX39" s="324"/>
      <c r="DY39" s="324"/>
      <c r="DZ39" s="324"/>
      <c r="EA39" s="324"/>
      <c r="EB39" s="324"/>
      <c r="EC39" s="324"/>
      <c r="ED39" s="324"/>
      <c r="EE39" s="324"/>
      <c r="EF39" s="324"/>
      <c r="EG39" s="324"/>
      <c r="EH39" s="324"/>
      <c r="EI39" s="324"/>
      <c r="EJ39" s="324"/>
      <c r="EK39" s="324"/>
      <c r="EL39" s="324"/>
      <c r="EM39" s="324"/>
      <c r="EN39" s="324"/>
      <c r="EO39" s="324"/>
      <c r="EP39" s="324"/>
      <c r="EQ39" s="324"/>
      <c r="ER39" s="324"/>
      <c r="ES39" s="324"/>
      <c r="ET39" s="324"/>
      <c r="EU39" s="324"/>
      <c r="EV39" s="324"/>
      <c r="EW39" s="324"/>
      <c r="EX39" s="324"/>
      <c r="EY39" s="324"/>
      <c r="EZ39" s="324"/>
      <c r="FA39" s="324"/>
      <c r="FB39" s="324"/>
      <c r="FC39" s="324"/>
      <c r="FD39" s="324"/>
      <c r="FE39" s="324"/>
      <c r="FF39" s="324"/>
      <c r="FG39" s="324"/>
      <c r="FH39" s="324"/>
      <c r="FI39" s="324"/>
      <c r="FJ39" s="324"/>
      <c r="FK39" s="324"/>
      <c r="FL39" s="324"/>
      <c r="FM39" s="324"/>
      <c r="FN39" s="324"/>
      <c r="FO39" s="324"/>
      <c r="FP39" s="324"/>
      <c r="FQ39" s="324"/>
      <c r="FR39" s="324"/>
      <c r="FS39" s="324"/>
      <c r="FT39" s="324"/>
      <c r="FU39" s="324"/>
      <c r="FV39" s="324"/>
      <c r="FW39" s="324"/>
      <c r="FX39" s="324"/>
      <c r="FY39" s="324"/>
      <c r="FZ39" s="324"/>
      <c r="GA39" s="324"/>
      <c r="GB39" s="324"/>
      <c r="GC39" s="324"/>
      <c r="GD39" s="324"/>
      <c r="GE39" s="324"/>
      <c r="GF39" s="324"/>
      <c r="GG39" s="324"/>
      <c r="GH39" s="324"/>
      <c r="GI39" s="324"/>
      <c r="GJ39" s="324"/>
      <c r="GK39" s="324"/>
      <c r="GL39" s="324"/>
      <c r="GM39" s="324"/>
      <c r="GN39" s="324"/>
      <c r="GO39" s="324"/>
      <c r="GP39" s="324"/>
      <c r="GQ39" s="324"/>
      <c r="GR39" s="324"/>
      <c r="GS39" s="324"/>
      <c r="GT39" s="324"/>
      <c r="GU39" s="324"/>
      <c r="GV39" s="324"/>
      <c r="GW39" s="324"/>
      <c r="GX39" s="324"/>
      <c r="GY39" s="324"/>
      <c r="GZ39" s="324"/>
      <c r="HA39" s="324"/>
      <c r="HB39" s="324"/>
      <c r="HC39" s="324"/>
      <c r="HD39" s="324"/>
      <c r="HE39" s="324"/>
      <c r="HF39" s="324"/>
      <c r="HG39" s="324"/>
      <c r="HH39" s="324"/>
      <c r="HI39" s="324"/>
      <c r="HJ39" s="324"/>
      <c r="HK39" s="324"/>
      <c r="HL39" s="324"/>
      <c r="HM39" s="324"/>
      <c r="HN39" s="324"/>
      <c r="HO39" s="324"/>
      <c r="HP39" s="324"/>
      <c r="HQ39" s="324"/>
      <c r="HR39" s="324"/>
      <c r="HS39" s="324"/>
      <c r="HT39" s="324"/>
      <c r="HU39" s="324"/>
      <c r="HV39" s="324"/>
      <c r="HW39" s="324"/>
      <c r="HX39" s="324"/>
      <c r="HY39" s="324"/>
      <c r="HZ39" s="324"/>
      <c r="IA39" s="324"/>
      <c r="IB39" s="324"/>
      <c r="IC39" s="324"/>
      <c r="ID39" s="324"/>
      <c r="IE39" s="324"/>
      <c r="IF39" s="324"/>
      <c r="IG39" s="324"/>
      <c r="IH39" s="324"/>
      <c r="II39" s="324"/>
      <c r="IJ39" s="324"/>
      <c r="IK39" s="324"/>
      <c r="IL39" s="324"/>
      <c r="IM39" s="324"/>
    </row>
    <row r="40" spans="1:247" x14ac:dyDescent="0.35">
      <c r="A40" s="356">
        <v>1763</v>
      </c>
      <c r="B40" s="357" t="s">
        <v>50</v>
      </c>
      <c r="C40" s="172" t="s">
        <v>37</v>
      </c>
      <c r="D40" s="358" t="s">
        <v>2051</v>
      </c>
      <c r="E40" s="336"/>
      <c r="F40" s="331">
        <f t="shared" si="0"/>
        <v>1.0209999999999999</v>
      </c>
      <c r="G40" s="337">
        <f t="shared" si="6"/>
        <v>1.0269999999999999</v>
      </c>
      <c r="H40" s="336"/>
      <c r="I40" s="338"/>
      <c r="J40" s="338"/>
      <c r="K40" s="338"/>
      <c r="L40" s="338"/>
      <c r="M40" s="338"/>
      <c r="N40" s="337"/>
      <c r="O40" s="339"/>
      <c r="P40" s="336"/>
      <c r="Q40" s="337"/>
      <c r="R40" s="340">
        <f t="shared" si="1"/>
        <v>1.0485669999999998</v>
      </c>
      <c r="S40" s="324"/>
      <c r="T40" s="324"/>
      <c r="U40" s="324"/>
      <c r="V40" s="324"/>
      <c r="W40" s="324"/>
      <c r="X40" s="324"/>
      <c r="Y40" s="324"/>
      <c r="Z40" s="324"/>
      <c r="AA40" s="324"/>
      <c r="AB40" s="324"/>
      <c r="AC40" s="324"/>
      <c r="AD40" s="324"/>
      <c r="AE40" s="324"/>
      <c r="AF40" s="324"/>
      <c r="AG40" s="324"/>
      <c r="AH40" s="324"/>
      <c r="AI40" s="324"/>
      <c r="AJ40" s="324"/>
      <c r="AK40" s="324"/>
      <c r="AL40" s="324"/>
      <c r="AM40" s="324"/>
      <c r="AN40" s="324"/>
      <c r="AO40" s="324"/>
      <c r="AP40" s="324"/>
      <c r="AQ40" s="324"/>
      <c r="AR40" s="324"/>
      <c r="AS40" s="324"/>
      <c r="AT40" s="324"/>
      <c r="AU40" s="324"/>
      <c r="AV40" s="324"/>
      <c r="AW40" s="324"/>
      <c r="AX40" s="324"/>
      <c r="AY40" s="324"/>
      <c r="AZ40" s="324"/>
      <c r="BA40" s="324"/>
      <c r="BB40" s="324"/>
      <c r="BC40" s="324"/>
      <c r="BD40" s="324"/>
      <c r="BE40" s="324"/>
      <c r="BF40" s="324"/>
      <c r="BG40" s="324"/>
      <c r="BH40" s="324"/>
      <c r="BI40" s="324"/>
      <c r="BJ40" s="324"/>
      <c r="BK40" s="324"/>
      <c r="BL40" s="324"/>
      <c r="BM40" s="324"/>
      <c r="BN40" s="324"/>
      <c r="BO40" s="324"/>
      <c r="BP40" s="324"/>
      <c r="BQ40" s="324"/>
      <c r="BR40" s="324"/>
      <c r="BS40" s="324"/>
      <c r="BT40" s="324"/>
      <c r="BU40" s="324"/>
      <c r="BV40" s="324"/>
      <c r="BW40" s="324"/>
      <c r="BX40" s="324"/>
      <c r="BY40" s="324"/>
      <c r="BZ40" s="324"/>
      <c r="CA40" s="324"/>
      <c r="CB40" s="324"/>
      <c r="CC40" s="324"/>
      <c r="CD40" s="324"/>
      <c r="CE40" s="324"/>
      <c r="CF40" s="324"/>
      <c r="CG40" s="324"/>
      <c r="CH40" s="324"/>
      <c r="CI40" s="324"/>
      <c r="CJ40" s="324"/>
      <c r="CK40" s="324"/>
      <c r="CL40" s="324"/>
      <c r="CM40" s="324"/>
      <c r="CN40" s="324"/>
      <c r="CO40" s="324"/>
      <c r="CP40" s="324"/>
      <c r="CQ40" s="324"/>
      <c r="CR40" s="324"/>
      <c r="CS40" s="324"/>
      <c r="CT40" s="324"/>
      <c r="CU40" s="324"/>
      <c r="CV40" s="324"/>
      <c r="CW40" s="324"/>
      <c r="CX40" s="324"/>
      <c r="CY40" s="324"/>
      <c r="CZ40" s="324"/>
      <c r="DA40" s="324"/>
      <c r="DB40" s="324"/>
      <c r="DC40" s="324"/>
      <c r="DD40" s="324"/>
      <c r="DE40" s="324"/>
      <c r="DF40" s="324"/>
      <c r="DG40" s="324"/>
      <c r="DH40" s="324"/>
      <c r="DI40" s="324"/>
      <c r="DJ40" s="324"/>
      <c r="DK40" s="324"/>
      <c r="DL40" s="324"/>
      <c r="DM40" s="324"/>
      <c r="DN40" s="324"/>
      <c r="DO40" s="324"/>
      <c r="DP40" s="324"/>
      <c r="DQ40" s="324"/>
      <c r="DR40" s="324"/>
      <c r="DS40" s="324"/>
      <c r="DT40" s="324"/>
      <c r="DU40" s="324"/>
      <c r="DV40" s="324"/>
      <c r="DW40" s="324"/>
      <c r="DX40" s="324"/>
      <c r="DY40" s="324"/>
      <c r="DZ40" s="324"/>
      <c r="EA40" s="324"/>
      <c r="EB40" s="324"/>
      <c r="EC40" s="324"/>
      <c r="ED40" s="324"/>
      <c r="EE40" s="324"/>
      <c r="EF40" s="324"/>
      <c r="EG40" s="324"/>
      <c r="EH40" s="324"/>
      <c r="EI40" s="324"/>
      <c r="EJ40" s="324"/>
      <c r="EK40" s="324"/>
      <c r="EL40" s="324"/>
      <c r="EM40" s="324"/>
      <c r="EN40" s="324"/>
      <c r="EO40" s="324"/>
      <c r="EP40" s="324"/>
      <c r="EQ40" s="324"/>
      <c r="ER40" s="324"/>
      <c r="ES40" s="324"/>
      <c r="ET40" s="324"/>
      <c r="EU40" s="324"/>
      <c r="EV40" s="324"/>
      <c r="EW40" s="324"/>
      <c r="EX40" s="324"/>
      <c r="EY40" s="324"/>
      <c r="EZ40" s="324"/>
      <c r="FA40" s="324"/>
      <c r="FB40" s="324"/>
      <c r="FC40" s="324"/>
      <c r="FD40" s="324"/>
      <c r="FE40" s="324"/>
      <c r="FF40" s="324"/>
      <c r="FG40" s="324"/>
      <c r="FH40" s="324"/>
      <c r="FI40" s="324"/>
      <c r="FJ40" s="324"/>
      <c r="FK40" s="324"/>
      <c r="FL40" s="324"/>
      <c r="FM40" s="324"/>
      <c r="FN40" s="324"/>
      <c r="FO40" s="324"/>
      <c r="FP40" s="324"/>
      <c r="FQ40" s="324"/>
      <c r="FR40" s="324"/>
      <c r="FS40" s="324"/>
      <c r="FT40" s="324"/>
      <c r="FU40" s="324"/>
      <c r="FV40" s="324"/>
      <c r="FW40" s="324"/>
      <c r="FX40" s="324"/>
      <c r="FY40" s="324"/>
      <c r="FZ40" s="324"/>
      <c r="GA40" s="324"/>
      <c r="GB40" s="324"/>
      <c r="GC40" s="324"/>
      <c r="GD40" s="324"/>
      <c r="GE40" s="324"/>
      <c r="GF40" s="324"/>
      <c r="GG40" s="324"/>
      <c r="GH40" s="324"/>
      <c r="GI40" s="324"/>
      <c r="GJ40" s="324"/>
      <c r="GK40" s="324"/>
      <c r="GL40" s="324"/>
      <c r="GM40" s="324"/>
      <c r="GN40" s="324"/>
      <c r="GO40" s="324"/>
      <c r="GP40" s="324"/>
      <c r="GQ40" s="324"/>
      <c r="GR40" s="324"/>
      <c r="GS40" s="324"/>
      <c r="GT40" s="324"/>
      <c r="GU40" s="324"/>
      <c r="GV40" s="324"/>
      <c r="GW40" s="324"/>
      <c r="GX40" s="324"/>
      <c r="GY40" s="324"/>
      <c r="GZ40" s="324"/>
      <c r="HA40" s="324"/>
      <c r="HB40" s="324"/>
      <c r="HC40" s="324"/>
      <c r="HD40" s="324"/>
      <c r="HE40" s="324"/>
      <c r="HF40" s="324"/>
      <c r="HG40" s="324"/>
      <c r="HH40" s="324"/>
      <c r="HI40" s="324"/>
      <c r="HJ40" s="324"/>
      <c r="HK40" s="324"/>
      <c r="HL40" s="324"/>
      <c r="HM40" s="324"/>
      <c r="HN40" s="324"/>
      <c r="HO40" s="324"/>
      <c r="HP40" s="324"/>
      <c r="HQ40" s="324"/>
      <c r="HR40" s="324"/>
      <c r="HS40" s="324"/>
      <c r="HT40" s="324"/>
      <c r="HU40" s="324"/>
      <c r="HV40" s="324"/>
      <c r="HW40" s="324"/>
      <c r="HX40" s="324"/>
      <c r="HY40" s="324"/>
      <c r="HZ40" s="324"/>
      <c r="IA40" s="324"/>
      <c r="IB40" s="324"/>
      <c r="IC40" s="324"/>
      <c r="ID40" s="324"/>
      <c r="IE40" s="324"/>
      <c r="IF40" s="324"/>
      <c r="IG40" s="324"/>
      <c r="IH40" s="324"/>
      <c r="II40" s="324"/>
      <c r="IJ40" s="324"/>
      <c r="IK40" s="324"/>
      <c r="IL40" s="324"/>
      <c r="IM40" s="324"/>
    </row>
    <row r="41" spans="1:247" x14ac:dyDescent="0.35">
      <c r="A41" s="356">
        <v>1764</v>
      </c>
      <c r="B41" s="357" t="s">
        <v>51</v>
      </c>
      <c r="C41" s="172" t="s">
        <v>49</v>
      </c>
      <c r="D41" s="358" t="s">
        <v>2051</v>
      </c>
      <c r="E41" s="336"/>
      <c r="F41" s="331">
        <f t="shared" si="0"/>
        <v>1.0209999999999999</v>
      </c>
      <c r="G41" s="337">
        <f t="shared" si="6"/>
        <v>1.0269999999999999</v>
      </c>
      <c r="H41" s="336"/>
      <c r="I41" s="338"/>
      <c r="J41" s="338"/>
      <c r="K41" s="338"/>
      <c r="L41" s="338"/>
      <c r="M41" s="338"/>
      <c r="N41" s="337"/>
      <c r="O41" s="339"/>
      <c r="P41" s="336"/>
      <c r="Q41" s="337"/>
      <c r="R41" s="340">
        <f t="shared" si="1"/>
        <v>1.0485669999999998</v>
      </c>
      <c r="S41" s="324"/>
      <c r="T41" s="324"/>
      <c r="U41" s="324"/>
      <c r="V41" s="324"/>
      <c r="W41" s="324"/>
      <c r="X41" s="324"/>
      <c r="Y41" s="324"/>
      <c r="Z41" s="324"/>
      <c r="AA41" s="324"/>
      <c r="AB41" s="324"/>
      <c r="AC41" s="324"/>
      <c r="AD41" s="324"/>
      <c r="AE41" s="324"/>
      <c r="AF41" s="324"/>
      <c r="AG41" s="324"/>
      <c r="AH41" s="324"/>
      <c r="AI41" s="324"/>
      <c r="AJ41" s="324"/>
      <c r="AK41" s="324"/>
      <c r="AL41" s="324"/>
      <c r="AM41" s="324"/>
      <c r="AN41" s="324"/>
      <c r="AO41" s="324"/>
      <c r="AP41" s="324"/>
      <c r="AQ41" s="324"/>
      <c r="AR41" s="324"/>
      <c r="AS41" s="324"/>
      <c r="AT41" s="324"/>
      <c r="AU41" s="324"/>
      <c r="AV41" s="324"/>
      <c r="AW41" s="324"/>
      <c r="AX41" s="324"/>
      <c r="AY41" s="324"/>
      <c r="AZ41" s="324"/>
      <c r="BA41" s="324"/>
      <c r="BB41" s="324"/>
      <c r="BC41" s="324"/>
      <c r="BD41" s="324"/>
      <c r="BE41" s="324"/>
      <c r="BF41" s="324"/>
      <c r="BG41" s="324"/>
      <c r="BH41" s="324"/>
      <c r="BI41" s="324"/>
      <c r="BJ41" s="324"/>
      <c r="BK41" s="324"/>
      <c r="BL41" s="324"/>
      <c r="BM41" s="324"/>
      <c r="BN41" s="324"/>
      <c r="BO41" s="324"/>
      <c r="BP41" s="324"/>
      <c r="BQ41" s="324"/>
      <c r="BR41" s="324"/>
      <c r="BS41" s="324"/>
      <c r="BT41" s="324"/>
      <c r="BU41" s="324"/>
      <c r="BV41" s="324"/>
      <c r="BW41" s="324"/>
      <c r="BX41" s="324"/>
      <c r="BY41" s="324"/>
      <c r="BZ41" s="324"/>
      <c r="CA41" s="324"/>
      <c r="CB41" s="324"/>
      <c r="CC41" s="324"/>
      <c r="CD41" s="324"/>
      <c r="CE41" s="324"/>
      <c r="CF41" s="324"/>
      <c r="CG41" s="324"/>
      <c r="CH41" s="324"/>
      <c r="CI41" s="324"/>
      <c r="CJ41" s="324"/>
      <c r="CK41" s="324"/>
      <c r="CL41" s="324"/>
      <c r="CM41" s="324"/>
      <c r="CN41" s="324"/>
      <c r="CO41" s="324"/>
      <c r="CP41" s="324"/>
      <c r="CQ41" s="324"/>
      <c r="CR41" s="324"/>
      <c r="CS41" s="324"/>
      <c r="CT41" s="324"/>
      <c r="CU41" s="324"/>
      <c r="CV41" s="324"/>
      <c r="CW41" s="324"/>
      <c r="CX41" s="324"/>
      <c r="CY41" s="324"/>
      <c r="CZ41" s="324"/>
      <c r="DA41" s="324"/>
      <c r="DB41" s="324"/>
      <c r="DC41" s="324"/>
      <c r="DD41" s="324"/>
      <c r="DE41" s="324"/>
      <c r="DF41" s="324"/>
      <c r="DG41" s="324"/>
      <c r="DH41" s="324"/>
      <c r="DI41" s="324"/>
      <c r="DJ41" s="324"/>
      <c r="DK41" s="324"/>
      <c r="DL41" s="324"/>
      <c r="DM41" s="324"/>
      <c r="DN41" s="324"/>
      <c r="DO41" s="324"/>
      <c r="DP41" s="324"/>
      <c r="DQ41" s="324"/>
      <c r="DR41" s="324"/>
      <c r="DS41" s="324"/>
      <c r="DT41" s="324"/>
      <c r="DU41" s="324"/>
      <c r="DV41" s="324"/>
      <c r="DW41" s="324"/>
      <c r="DX41" s="324"/>
      <c r="DY41" s="324"/>
      <c r="DZ41" s="324"/>
      <c r="EA41" s="324"/>
      <c r="EB41" s="324"/>
      <c r="EC41" s="324"/>
      <c r="ED41" s="324"/>
      <c r="EE41" s="324"/>
      <c r="EF41" s="324"/>
      <c r="EG41" s="324"/>
      <c r="EH41" s="324"/>
      <c r="EI41" s="324"/>
      <c r="EJ41" s="324"/>
      <c r="EK41" s="324"/>
      <c r="EL41" s="324"/>
      <c r="EM41" s="324"/>
      <c r="EN41" s="324"/>
      <c r="EO41" s="324"/>
      <c r="EP41" s="324"/>
      <c r="EQ41" s="324"/>
      <c r="ER41" s="324"/>
      <c r="ES41" s="324"/>
      <c r="ET41" s="324"/>
      <c r="EU41" s="324"/>
      <c r="EV41" s="324"/>
      <c r="EW41" s="324"/>
      <c r="EX41" s="324"/>
      <c r="EY41" s="324"/>
      <c r="EZ41" s="324"/>
      <c r="FA41" s="324"/>
      <c r="FB41" s="324"/>
      <c r="FC41" s="324"/>
      <c r="FD41" s="324"/>
      <c r="FE41" s="324"/>
      <c r="FF41" s="324"/>
      <c r="FG41" s="324"/>
      <c r="FH41" s="324"/>
      <c r="FI41" s="324"/>
      <c r="FJ41" s="324"/>
      <c r="FK41" s="324"/>
      <c r="FL41" s="324"/>
      <c r="FM41" s="324"/>
      <c r="FN41" s="324"/>
      <c r="FO41" s="324"/>
      <c r="FP41" s="324"/>
      <c r="FQ41" s="324"/>
      <c r="FR41" s="324"/>
      <c r="FS41" s="324"/>
      <c r="FT41" s="324"/>
      <c r="FU41" s="324"/>
      <c r="FV41" s="324"/>
      <c r="FW41" s="324"/>
      <c r="FX41" s="324"/>
      <c r="FY41" s="324"/>
      <c r="FZ41" s="324"/>
      <c r="GA41" s="324"/>
      <c r="GB41" s="324"/>
      <c r="GC41" s="324"/>
      <c r="GD41" s="324"/>
      <c r="GE41" s="324"/>
      <c r="GF41" s="324"/>
      <c r="GG41" s="324"/>
      <c r="GH41" s="324"/>
      <c r="GI41" s="324"/>
      <c r="GJ41" s="324"/>
      <c r="GK41" s="324"/>
      <c r="GL41" s="324"/>
      <c r="GM41" s="324"/>
      <c r="GN41" s="324"/>
      <c r="GO41" s="324"/>
      <c r="GP41" s="324"/>
      <c r="GQ41" s="324"/>
      <c r="GR41" s="324"/>
      <c r="GS41" s="324"/>
      <c r="GT41" s="324"/>
      <c r="GU41" s="324"/>
      <c r="GV41" s="324"/>
      <c r="GW41" s="324"/>
      <c r="GX41" s="324"/>
      <c r="GY41" s="324"/>
      <c r="GZ41" s="324"/>
      <c r="HA41" s="324"/>
      <c r="HB41" s="324"/>
      <c r="HC41" s="324"/>
      <c r="HD41" s="324"/>
      <c r="HE41" s="324"/>
      <c r="HF41" s="324"/>
      <c r="HG41" s="324"/>
      <c r="HH41" s="324"/>
      <c r="HI41" s="324"/>
      <c r="HJ41" s="324"/>
      <c r="HK41" s="324"/>
      <c r="HL41" s="324"/>
      <c r="HM41" s="324"/>
      <c r="HN41" s="324"/>
      <c r="HO41" s="324"/>
      <c r="HP41" s="324"/>
      <c r="HQ41" s="324"/>
      <c r="HR41" s="324"/>
      <c r="HS41" s="324"/>
      <c r="HT41" s="324"/>
      <c r="HU41" s="324"/>
      <c r="HV41" s="324"/>
      <c r="HW41" s="324"/>
      <c r="HX41" s="324"/>
      <c r="HY41" s="324"/>
      <c r="HZ41" s="324"/>
      <c r="IA41" s="324"/>
      <c r="IB41" s="324"/>
      <c r="IC41" s="324"/>
      <c r="ID41" s="324"/>
      <c r="IE41" s="324"/>
      <c r="IF41" s="324"/>
      <c r="IG41" s="324"/>
      <c r="IH41" s="324"/>
      <c r="II41" s="324"/>
      <c r="IJ41" s="324"/>
      <c r="IK41" s="324"/>
      <c r="IL41" s="324"/>
      <c r="IM41" s="324"/>
    </row>
    <row r="42" spans="1:247" x14ac:dyDescent="0.35">
      <c r="A42" s="356">
        <v>1765</v>
      </c>
      <c r="B42" s="357" t="s">
        <v>52</v>
      </c>
      <c r="C42" s="172" t="s">
        <v>10</v>
      </c>
      <c r="D42" s="358" t="s">
        <v>2051</v>
      </c>
      <c r="E42" s="336"/>
      <c r="F42" s="331">
        <f t="shared" si="0"/>
        <v>1.0209999999999999</v>
      </c>
      <c r="G42" s="337">
        <f t="shared" si="6"/>
        <v>1.0269999999999999</v>
      </c>
      <c r="H42" s="336"/>
      <c r="I42" s="338"/>
      <c r="J42" s="338"/>
      <c r="K42" s="338"/>
      <c r="L42" s="338"/>
      <c r="M42" s="338"/>
      <c r="N42" s="337"/>
      <c r="O42" s="339"/>
      <c r="P42" s="336"/>
      <c r="Q42" s="337"/>
      <c r="R42" s="340">
        <f t="shared" si="1"/>
        <v>1.0485669999999998</v>
      </c>
      <c r="S42" s="324"/>
      <c r="T42" s="324"/>
      <c r="U42" s="324"/>
      <c r="V42" s="324"/>
      <c r="W42" s="324"/>
      <c r="X42" s="324"/>
      <c r="Y42" s="324"/>
      <c r="Z42" s="324"/>
      <c r="AA42" s="324"/>
      <c r="AB42" s="324"/>
      <c r="AC42" s="324"/>
      <c r="AD42" s="324"/>
      <c r="AE42" s="324"/>
      <c r="AF42" s="324"/>
      <c r="AG42" s="324"/>
      <c r="AH42" s="324"/>
      <c r="AI42" s="324"/>
      <c r="AJ42" s="324"/>
      <c r="AK42" s="324"/>
      <c r="AL42" s="324"/>
      <c r="AM42" s="324"/>
      <c r="AN42" s="324"/>
      <c r="AO42" s="324"/>
      <c r="AP42" s="324"/>
      <c r="AQ42" s="324"/>
      <c r="AR42" s="324"/>
      <c r="AS42" s="324"/>
      <c r="AT42" s="324"/>
      <c r="AU42" s="324"/>
      <c r="AV42" s="324"/>
      <c r="AW42" s="324"/>
      <c r="AX42" s="324"/>
      <c r="AY42" s="324"/>
      <c r="AZ42" s="324"/>
      <c r="BA42" s="324"/>
      <c r="BB42" s="324"/>
      <c r="BC42" s="324"/>
      <c r="BD42" s="324"/>
      <c r="BE42" s="324"/>
      <c r="BF42" s="324"/>
      <c r="BG42" s="324"/>
      <c r="BH42" s="324"/>
      <c r="BI42" s="324"/>
      <c r="BJ42" s="324"/>
      <c r="BK42" s="324"/>
      <c r="BL42" s="324"/>
      <c r="BM42" s="324"/>
      <c r="BN42" s="324"/>
      <c r="BO42" s="324"/>
      <c r="BP42" s="324"/>
      <c r="BQ42" s="324"/>
      <c r="BR42" s="324"/>
      <c r="BS42" s="324"/>
      <c r="BT42" s="324"/>
      <c r="BU42" s="324"/>
      <c r="BV42" s="324"/>
      <c r="BW42" s="324"/>
      <c r="BX42" s="324"/>
      <c r="BY42" s="324"/>
      <c r="BZ42" s="324"/>
      <c r="CA42" s="324"/>
      <c r="CB42" s="324"/>
      <c r="CC42" s="324"/>
      <c r="CD42" s="324"/>
      <c r="CE42" s="324"/>
      <c r="CF42" s="324"/>
      <c r="CG42" s="324"/>
      <c r="CH42" s="324"/>
      <c r="CI42" s="324"/>
      <c r="CJ42" s="324"/>
      <c r="CK42" s="324"/>
      <c r="CL42" s="324"/>
      <c r="CM42" s="324"/>
      <c r="CN42" s="324"/>
      <c r="CO42" s="324"/>
      <c r="CP42" s="324"/>
      <c r="CQ42" s="324"/>
      <c r="CR42" s="324"/>
      <c r="CS42" s="324"/>
      <c r="CT42" s="324"/>
      <c r="CU42" s="324"/>
      <c r="CV42" s="324"/>
      <c r="CW42" s="324"/>
      <c r="CX42" s="324"/>
      <c r="CY42" s="324"/>
      <c r="CZ42" s="324"/>
      <c r="DA42" s="324"/>
      <c r="DB42" s="324"/>
      <c r="DC42" s="324"/>
      <c r="DD42" s="324"/>
      <c r="DE42" s="324"/>
      <c r="DF42" s="324"/>
      <c r="DG42" s="324"/>
      <c r="DH42" s="324"/>
      <c r="DI42" s="324"/>
      <c r="DJ42" s="324"/>
      <c r="DK42" s="324"/>
      <c r="DL42" s="324"/>
      <c r="DM42" s="324"/>
      <c r="DN42" s="324"/>
      <c r="DO42" s="324"/>
      <c r="DP42" s="324"/>
      <c r="DQ42" s="324"/>
      <c r="DR42" s="324"/>
      <c r="DS42" s="324"/>
      <c r="DT42" s="324"/>
      <c r="DU42" s="324"/>
      <c r="DV42" s="324"/>
      <c r="DW42" s="324"/>
      <c r="DX42" s="324"/>
      <c r="DY42" s="324"/>
      <c r="DZ42" s="324"/>
      <c r="EA42" s="324"/>
      <c r="EB42" s="324"/>
      <c r="EC42" s="324"/>
      <c r="ED42" s="324"/>
      <c r="EE42" s="324"/>
      <c r="EF42" s="324"/>
      <c r="EG42" s="324"/>
      <c r="EH42" s="324"/>
      <c r="EI42" s="324"/>
      <c r="EJ42" s="324"/>
      <c r="EK42" s="324"/>
      <c r="EL42" s="324"/>
      <c r="EM42" s="324"/>
      <c r="EN42" s="324"/>
      <c r="EO42" s="324"/>
      <c r="EP42" s="324"/>
      <c r="EQ42" s="324"/>
      <c r="ER42" s="324"/>
      <c r="ES42" s="324"/>
      <c r="ET42" s="324"/>
      <c r="EU42" s="324"/>
      <c r="EV42" s="324"/>
      <c r="EW42" s="324"/>
      <c r="EX42" s="324"/>
      <c r="EY42" s="324"/>
      <c r="EZ42" s="324"/>
      <c r="FA42" s="324"/>
      <c r="FB42" s="324"/>
      <c r="FC42" s="324"/>
      <c r="FD42" s="324"/>
      <c r="FE42" s="324"/>
      <c r="FF42" s="324"/>
      <c r="FG42" s="324"/>
      <c r="FH42" s="324"/>
      <c r="FI42" s="324"/>
      <c r="FJ42" s="324"/>
      <c r="FK42" s="324"/>
      <c r="FL42" s="324"/>
      <c r="FM42" s="324"/>
      <c r="FN42" s="324"/>
      <c r="FO42" s="324"/>
      <c r="FP42" s="324"/>
      <c r="FQ42" s="324"/>
      <c r="FR42" s="324"/>
      <c r="FS42" s="324"/>
      <c r="FT42" s="324"/>
      <c r="FU42" s="324"/>
      <c r="FV42" s="324"/>
      <c r="FW42" s="324"/>
      <c r="FX42" s="324"/>
      <c r="FY42" s="324"/>
      <c r="FZ42" s="324"/>
      <c r="GA42" s="324"/>
      <c r="GB42" s="324"/>
      <c r="GC42" s="324"/>
      <c r="GD42" s="324"/>
      <c r="GE42" s="324"/>
      <c r="GF42" s="324"/>
      <c r="GG42" s="324"/>
      <c r="GH42" s="324"/>
      <c r="GI42" s="324"/>
      <c r="GJ42" s="324"/>
      <c r="GK42" s="324"/>
      <c r="GL42" s="324"/>
      <c r="GM42" s="324"/>
      <c r="GN42" s="324"/>
      <c r="GO42" s="324"/>
      <c r="GP42" s="324"/>
      <c r="GQ42" s="324"/>
      <c r="GR42" s="324"/>
      <c r="GS42" s="324"/>
      <c r="GT42" s="324"/>
      <c r="GU42" s="324"/>
      <c r="GV42" s="324"/>
      <c r="GW42" s="324"/>
      <c r="GX42" s="324"/>
      <c r="GY42" s="324"/>
      <c r="GZ42" s="324"/>
      <c r="HA42" s="324"/>
      <c r="HB42" s="324"/>
      <c r="HC42" s="324"/>
      <c r="HD42" s="324"/>
      <c r="HE42" s="324"/>
      <c r="HF42" s="324"/>
      <c r="HG42" s="324"/>
      <c r="HH42" s="324"/>
      <c r="HI42" s="324"/>
      <c r="HJ42" s="324"/>
      <c r="HK42" s="324"/>
      <c r="HL42" s="324"/>
      <c r="HM42" s="324"/>
      <c r="HN42" s="324"/>
      <c r="HO42" s="324"/>
      <c r="HP42" s="324"/>
      <c r="HQ42" s="324"/>
      <c r="HR42" s="324"/>
      <c r="HS42" s="324"/>
      <c r="HT42" s="324"/>
      <c r="HU42" s="324"/>
      <c r="HV42" s="324"/>
      <c r="HW42" s="324"/>
      <c r="HX42" s="324"/>
      <c r="HY42" s="324"/>
      <c r="HZ42" s="324"/>
      <c r="IA42" s="324"/>
      <c r="IB42" s="324"/>
      <c r="IC42" s="324"/>
      <c r="ID42" s="324"/>
      <c r="IE42" s="324"/>
      <c r="IF42" s="324"/>
      <c r="IG42" s="324"/>
      <c r="IH42" s="324"/>
      <c r="II42" s="324"/>
      <c r="IJ42" s="324"/>
      <c r="IK42" s="324"/>
      <c r="IL42" s="324"/>
      <c r="IM42" s="324"/>
    </row>
    <row r="43" spans="1:247" x14ac:dyDescent="0.35">
      <c r="A43" s="356">
        <v>1766</v>
      </c>
      <c r="B43" s="357" t="s">
        <v>53</v>
      </c>
      <c r="C43" s="172" t="s">
        <v>10</v>
      </c>
      <c r="D43" s="358" t="s">
        <v>2051</v>
      </c>
      <c r="E43" s="336"/>
      <c r="F43" s="331">
        <f t="shared" si="0"/>
        <v>1.0209999999999999</v>
      </c>
      <c r="G43" s="337">
        <f t="shared" si="6"/>
        <v>1.0269999999999999</v>
      </c>
      <c r="H43" s="336"/>
      <c r="I43" s="338"/>
      <c r="J43" s="338"/>
      <c r="K43" s="338"/>
      <c r="L43" s="338"/>
      <c r="M43" s="338"/>
      <c r="N43" s="337"/>
      <c r="O43" s="339"/>
      <c r="P43" s="336"/>
      <c r="Q43" s="337"/>
      <c r="R43" s="340">
        <f t="shared" si="1"/>
        <v>1.0485669999999998</v>
      </c>
      <c r="S43" s="324"/>
      <c r="T43" s="324"/>
      <c r="U43" s="324"/>
      <c r="V43" s="324"/>
      <c r="W43" s="324"/>
      <c r="X43" s="324"/>
      <c r="Y43" s="324"/>
      <c r="Z43" s="324"/>
      <c r="AA43" s="324"/>
      <c r="AB43" s="324"/>
      <c r="AC43" s="324"/>
      <c r="AD43" s="324"/>
      <c r="AE43" s="324"/>
      <c r="AF43" s="324"/>
      <c r="AG43" s="324"/>
      <c r="AH43" s="324"/>
      <c r="AI43" s="324"/>
      <c r="AJ43" s="324"/>
      <c r="AK43" s="324"/>
      <c r="AL43" s="324"/>
      <c r="AM43" s="324"/>
      <c r="AN43" s="324"/>
      <c r="AO43" s="324"/>
      <c r="AP43" s="324"/>
      <c r="AQ43" s="324"/>
      <c r="AR43" s="324"/>
      <c r="AS43" s="324"/>
      <c r="AT43" s="324"/>
      <c r="AU43" s="324"/>
      <c r="AV43" s="324"/>
      <c r="AW43" s="324"/>
      <c r="AX43" s="324"/>
      <c r="AY43" s="324"/>
      <c r="AZ43" s="324"/>
      <c r="BA43" s="324"/>
      <c r="BB43" s="324"/>
      <c r="BC43" s="324"/>
      <c r="BD43" s="324"/>
      <c r="BE43" s="324"/>
      <c r="BF43" s="324"/>
      <c r="BG43" s="324"/>
      <c r="BH43" s="324"/>
      <c r="BI43" s="324"/>
      <c r="BJ43" s="324"/>
      <c r="BK43" s="324"/>
      <c r="BL43" s="324"/>
      <c r="BM43" s="324"/>
      <c r="BN43" s="324"/>
      <c r="BO43" s="324"/>
      <c r="BP43" s="324"/>
      <c r="BQ43" s="324"/>
      <c r="BR43" s="324"/>
      <c r="BS43" s="324"/>
      <c r="BT43" s="324"/>
      <c r="BU43" s="324"/>
      <c r="BV43" s="324"/>
      <c r="BW43" s="324"/>
      <c r="BX43" s="324"/>
      <c r="BY43" s="324"/>
      <c r="BZ43" s="324"/>
      <c r="CA43" s="324"/>
      <c r="CB43" s="324"/>
      <c r="CC43" s="324"/>
      <c r="CD43" s="324"/>
      <c r="CE43" s="324"/>
      <c r="CF43" s="324"/>
      <c r="CG43" s="324"/>
      <c r="CH43" s="324"/>
      <c r="CI43" s="324"/>
      <c r="CJ43" s="324"/>
      <c r="CK43" s="324"/>
      <c r="CL43" s="324"/>
      <c r="CM43" s="324"/>
      <c r="CN43" s="324"/>
      <c r="CO43" s="324"/>
      <c r="CP43" s="324"/>
      <c r="CQ43" s="324"/>
      <c r="CR43" s="324"/>
      <c r="CS43" s="324"/>
      <c r="CT43" s="324"/>
      <c r="CU43" s="324"/>
      <c r="CV43" s="324"/>
      <c r="CW43" s="324"/>
      <c r="CX43" s="324"/>
      <c r="CY43" s="324"/>
      <c r="CZ43" s="324"/>
      <c r="DA43" s="324"/>
      <c r="DB43" s="324"/>
      <c r="DC43" s="324"/>
      <c r="DD43" s="324"/>
      <c r="DE43" s="324"/>
      <c r="DF43" s="324"/>
      <c r="DG43" s="324"/>
      <c r="DH43" s="324"/>
      <c r="DI43" s="324"/>
      <c r="DJ43" s="324"/>
      <c r="DK43" s="324"/>
      <c r="DL43" s="324"/>
      <c r="DM43" s="324"/>
      <c r="DN43" s="324"/>
      <c r="DO43" s="324"/>
      <c r="DP43" s="324"/>
      <c r="DQ43" s="324"/>
      <c r="DR43" s="324"/>
      <c r="DS43" s="324"/>
      <c r="DT43" s="324"/>
      <c r="DU43" s="324"/>
      <c r="DV43" s="324"/>
      <c r="DW43" s="324"/>
      <c r="DX43" s="324"/>
      <c r="DY43" s="324"/>
      <c r="DZ43" s="324"/>
      <c r="EA43" s="324"/>
      <c r="EB43" s="324"/>
      <c r="EC43" s="324"/>
      <c r="ED43" s="324"/>
      <c r="EE43" s="324"/>
      <c r="EF43" s="324"/>
      <c r="EG43" s="324"/>
      <c r="EH43" s="324"/>
      <c r="EI43" s="324"/>
      <c r="EJ43" s="324"/>
      <c r="EK43" s="324"/>
      <c r="EL43" s="324"/>
      <c r="EM43" s="324"/>
      <c r="EN43" s="324"/>
      <c r="EO43" s="324"/>
      <c r="EP43" s="324"/>
      <c r="EQ43" s="324"/>
      <c r="ER43" s="324"/>
      <c r="ES43" s="324"/>
      <c r="ET43" s="324"/>
      <c r="EU43" s="324"/>
      <c r="EV43" s="324"/>
      <c r="EW43" s="324"/>
      <c r="EX43" s="324"/>
      <c r="EY43" s="324"/>
      <c r="EZ43" s="324"/>
      <c r="FA43" s="324"/>
      <c r="FB43" s="324"/>
      <c r="FC43" s="324"/>
      <c r="FD43" s="324"/>
      <c r="FE43" s="324"/>
      <c r="FF43" s="324"/>
      <c r="FG43" s="324"/>
      <c r="FH43" s="324"/>
      <c r="FI43" s="324"/>
      <c r="FJ43" s="324"/>
      <c r="FK43" s="324"/>
      <c r="FL43" s="324"/>
      <c r="FM43" s="324"/>
      <c r="FN43" s="324"/>
      <c r="FO43" s="324"/>
      <c r="FP43" s="324"/>
      <c r="FQ43" s="324"/>
      <c r="FR43" s="324"/>
      <c r="FS43" s="324"/>
      <c r="FT43" s="324"/>
      <c r="FU43" s="324"/>
      <c r="FV43" s="324"/>
      <c r="FW43" s="324"/>
      <c r="FX43" s="324"/>
      <c r="FY43" s="324"/>
      <c r="FZ43" s="324"/>
      <c r="GA43" s="324"/>
      <c r="GB43" s="324"/>
      <c r="GC43" s="324"/>
      <c r="GD43" s="324"/>
      <c r="GE43" s="324"/>
      <c r="GF43" s="324"/>
      <c r="GG43" s="324"/>
      <c r="GH43" s="324"/>
      <c r="GI43" s="324"/>
      <c r="GJ43" s="324"/>
      <c r="GK43" s="324"/>
      <c r="GL43" s="324"/>
      <c r="GM43" s="324"/>
      <c r="GN43" s="324"/>
      <c r="GO43" s="324"/>
      <c r="GP43" s="324"/>
      <c r="GQ43" s="324"/>
      <c r="GR43" s="324"/>
      <c r="GS43" s="324"/>
      <c r="GT43" s="324"/>
      <c r="GU43" s="324"/>
      <c r="GV43" s="324"/>
      <c r="GW43" s="324"/>
      <c r="GX43" s="324"/>
      <c r="GY43" s="324"/>
      <c r="GZ43" s="324"/>
      <c r="HA43" s="324"/>
      <c r="HB43" s="324"/>
      <c r="HC43" s="324"/>
      <c r="HD43" s="324"/>
      <c r="HE43" s="324"/>
      <c r="HF43" s="324"/>
      <c r="HG43" s="324"/>
      <c r="HH43" s="324"/>
      <c r="HI43" s="324"/>
      <c r="HJ43" s="324"/>
      <c r="HK43" s="324"/>
      <c r="HL43" s="324"/>
      <c r="HM43" s="324"/>
      <c r="HN43" s="324"/>
      <c r="HO43" s="324"/>
      <c r="HP43" s="324"/>
      <c r="HQ43" s="324"/>
      <c r="HR43" s="324"/>
      <c r="HS43" s="324"/>
      <c r="HT43" s="324"/>
      <c r="HU43" s="324"/>
      <c r="HV43" s="324"/>
      <c r="HW43" s="324"/>
      <c r="HX43" s="324"/>
      <c r="HY43" s="324"/>
      <c r="HZ43" s="324"/>
      <c r="IA43" s="324"/>
      <c r="IB43" s="324"/>
      <c r="IC43" s="324"/>
      <c r="ID43" s="324"/>
      <c r="IE43" s="324"/>
      <c r="IF43" s="324"/>
      <c r="IG43" s="324"/>
      <c r="IH43" s="324"/>
      <c r="II43" s="324"/>
      <c r="IJ43" s="324"/>
      <c r="IK43" s="324"/>
      <c r="IL43" s="324"/>
      <c r="IM43" s="324"/>
    </row>
    <row r="44" spans="1:247" x14ac:dyDescent="0.35">
      <c r="A44" s="356">
        <v>1767</v>
      </c>
      <c r="B44" s="357" t="s">
        <v>54</v>
      </c>
      <c r="C44" s="172" t="s">
        <v>10</v>
      </c>
      <c r="D44" s="358" t="s">
        <v>2051</v>
      </c>
      <c r="E44" s="336"/>
      <c r="F44" s="331">
        <f t="shared" si="0"/>
        <v>1.0209999999999999</v>
      </c>
      <c r="G44" s="337">
        <f t="shared" si="6"/>
        <v>1.0269999999999999</v>
      </c>
      <c r="H44" s="336"/>
      <c r="I44" s="338"/>
      <c r="J44" s="338"/>
      <c r="K44" s="338"/>
      <c r="L44" s="338"/>
      <c r="M44" s="338"/>
      <c r="N44" s="337"/>
      <c r="O44" s="339"/>
      <c r="P44" s="336"/>
      <c r="Q44" s="337"/>
      <c r="R44" s="340">
        <f t="shared" si="1"/>
        <v>1.0485669999999998</v>
      </c>
      <c r="S44" s="324"/>
      <c r="T44" s="324"/>
      <c r="U44" s="324"/>
      <c r="V44" s="324"/>
      <c r="W44" s="324"/>
      <c r="X44" s="324"/>
      <c r="Y44" s="324"/>
      <c r="Z44" s="324"/>
      <c r="AA44" s="324"/>
      <c r="AB44" s="324"/>
      <c r="AC44" s="324"/>
      <c r="AD44" s="324"/>
      <c r="AE44" s="324"/>
      <c r="AF44" s="324"/>
      <c r="AG44" s="324"/>
      <c r="AH44" s="324"/>
      <c r="AI44" s="324"/>
      <c r="AJ44" s="324"/>
      <c r="AK44" s="324"/>
      <c r="AL44" s="324"/>
      <c r="AM44" s="324"/>
      <c r="AN44" s="324"/>
      <c r="AO44" s="324"/>
      <c r="AP44" s="324"/>
      <c r="AQ44" s="324"/>
      <c r="AR44" s="324"/>
      <c r="AS44" s="324"/>
      <c r="AT44" s="324"/>
      <c r="AU44" s="324"/>
      <c r="AV44" s="324"/>
      <c r="AW44" s="324"/>
      <c r="AX44" s="324"/>
      <c r="AY44" s="324"/>
      <c r="AZ44" s="324"/>
      <c r="BA44" s="324"/>
      <c r="BB44" s="324"/>
      <c r="BC44" s="324"/>
      <c r="BD44" s="324"/>
      <c r="BE44" s="324"/>
      <c r="BF44" s="324"/>
      <c r="BG44" s="324"/>
      <c r="BH44" s="324"/>
      <c r="BI44" s="324"/>
      <c r="BJ44" s="324"/>
      <c r="BK44" s="324"/>
      <c r="BL44" s="324"/>
      <c r="BM44" s="324"/>
      <c r="BN44" s="324"/>
      <c r="BO44" s="324"/>
      <c r="BP44" s="324"/>
      <c r="BQ44" s="324"/>
      <c r="BR44" s="324"/>
      <c r="BS44" s="324"/>
      <c r="BT44" s="324"/>
      <c r="BU44" s="324"/>
      <c r="BV44" s="324"/>
      <c r="BW44" s="324"/>
      <c r="BX44" s="324"/>
      <c r="BY44" s="324"/>
      <c r="BZ44" s="324"/>
      <c r="CA44" s="324"/>
      <c r="CB44" s="324"/>
      <c r="CC44" s="324"/>
      <c r="CD44" s="324"/>
      <c r="CE44" s="324"/>
      <c r="CF44" s="324"/>
      <c r="CG44" s="324"/>
      <c r="CH44" s="324"/>
      <c r="CI44" s="324"/>
      <c r="CJ44" s="324"/>
      <c r="CK44" s="324"/>
      <c r="CL44" s="324"/>
      <c r="CM44" s="324"/>
      <c r="CN44" s="324"/>
      <c r="CO44" s="324"/>
      <c r="CP44" s="324"/>
      <c r="CQ44" s="324"/>
      <c r="CR44" s="324"/>
      <c r="CS44" s="324"/>
      <c r="CT44" s="324"/>
      <c r="CU44" s="324"/>
      <c r="CV44" s="324"/>
      <c r="CW44" s="324"/>
      <c r="CX44" s="324"/>
      <c r="CY44" s="324"/>
      <c r="CZ44" s="324"/>
      <c r="DA44" s="324"/>
      <c r="DB44" s="324"/>
      <c r="DC44" s="324"/>
      <c r="DD44" s="324"/>
      <c r="DE44" s="324"/>
      <c r="DF44" s="324"/>
      <c r="DG44" s="324"/>
      <c r="DH44" s="324"/>
      <c r="DI44" s="324"/>
      <c r="DJ44" s="324"/>
      <c r="DK44" s="324"/>
      <c r="DL44" s="324"/>
      <c r="DM44" s="324"/>
      <c r="DN44" s="324"/>
      <c r="DO44" s="324"/>
      <c r="DP44" s="324"/>
      <c r="DQ44" s="324"/>
      <c r="DR44" s="324"/>
      <c r="DS44" s="324"/>
      <c r="DT44" s="324"/>
      <c r="DU44" s="324"/>
      <c r="DV44" s="324"/>
      <c r="DW44" s="324"/>
      <c r="DX44" s="324"/>
      <c r="DY44" s="324"/>
      <c r="DZ44" s="324"/>
      <c r="EA44" s="324"/>
      <c r="EB44" s="324"/>
      <c r="EC44" s="324"/>
      <c r="ED44" s="324"/>
      <c r="EE44" s="324"/>
      <c r="EF44" s="324"/>
      <c r="EG44" s="324"/>
      <c r="EH44" s="324"/>
      <c r="EI44" s="324"/>
      <c r="EJ44" s="324"/>
      <c r="EK44" s="324"/>
      <c r="EL44" s="324"/>
      <c r="EM44" s="324"/>
      <c r="EN44" s="324"/>
      <c r="EO44" s="324"/>
      <c r="EP44" s="324"/>
      <c r="EQ44" s="324"/>
      <c r="ER44" s="324"/>
      <c r="ES44" s="324"/>
      <c r="ET44" s="324"/>
      <c r="EU44" s="324"/>
      <c r="EV44" s="324"/>
      <c r="EW44" s="324"/>
      <c r="EX44" s="324"/>
      <c r="EY44" s="324"/>
      <c r="EZ44" s="324"/>
      <c r="FA44" s="324"/>
      <c r="FB44" s="324"/>
      <c r="FC44" s="324"/>
      <c r="FD44" s="324"/>
      <c r="FE44" s="324"/>
      <c r="FF44" s="324"/>
      <c r="FG44" s="324"/>
      <c r="FH44" s="324"/>
      <c r="FI44" s="324"/>
      <c r="FJ44" s="324"/>
      <c r="FK44" s="324"/>
      <c r="FL44" s="324"/>
      <c r="FM44" s="324"/>
      <c r="FN44" s="324"/>
      <c r="FO44" s="324"/>
      <c r="FP44" s="324"/>
      <c r="FQ44" s="324"/>
      <c r="FR44" s="324"/>
      <c r="FS44" s="324"/>
      <c r="FT44" s="324"/>
      <c r="FU44" s="324"/>
      <c r="FV44" s="324"/>
      <c r="FW44" s="324"/>
      <c r="FX44" s="324"/>
      <c r="FY44" s="324"/>
      <c r="FZ44" s="324"/>
      <c r="GA44" s="324"/>
      <c r="GB44" s="324"/>
      <c r="GC44" s="324"/>
      <c r="GD44" s="324"/>
      <c r="GE44" s="324"/>
      <c r="GF44" s="324"/>
      <c r="GG44" s="324"/>
      <c r="GH44" s="324"/>
      <c r="GI44" s="324"/>
      <c r="GJ44" s="324"/>
      <c r="GK44" s="324"/>
      <c r="GL44" s="324"/>
      <c r="GM44" s="324"/>
      <c r="GN44" s="324"/>
      <c r="GO44" s="324"/>
      <c r="GP44" s="324"/>
      <c r="GQ44" s="324"/>
      <c r="GR44" s="324"/>
      <c r="GS44" s="324"/>
      <c r="GT44" s="324"/>
      <c r="GU44" s="324"/>
      <c r="GV44" s="324"/>
      <c r="GW44" s="324"/>
      <c r="GX44" s="324"/>
      <c r="GY44" s="324"/>
      <c r="GZ44" s="324"/>
      <c r="HA44" s="324"/>
      <c r="HB44" s="324"/>
      <c r="HC44" s="324"/>
      <c r="HD44" s="324"/>
      <c r="HE44" s="324"/>
      <c r="HF44" s="324"/>
      <c r="HG44" s="324"/>
      <c r="HH44" s="324"/>
      <c r="HI44" s="324"/>
      <c r="HJ44" s="324"/>
      <c r="HK44" s="324"/>
      <c r="HL44" s="324"/>
      <c r="HM44" s="324"/>
      <c r="HN44" s="324"/>
      <c r="HO44" s="324"/>
      <c r="HP44" s="324"/>
      <c r="HQ44" s="324"/>
      <c r="HR44" s="324"/>
      <c r="HS44" s="324"/>
      <c r="HT44" s="324"/>
      <c r="HU44" s="324"/>
      <c r="HV44" s="324"/>
      <c r="HW44" s="324"/>
      <c r="HX44" s="324"/>
      <c r="HY44" s="324"/>
      <c r="HZ44" s="324"/>
      <c r="IA44" s="324"/>
      <c r="IB44" s="324"/>
      <c r="IC44" s="324"/>
      <c r="ID44" s="324"/>
      <c r="IE44" s="324"/>
      <c r="IF44" s="324"/>
      <c r="IG44" s="324"/>
      <c r="IH44" s="324"/>
      <c r="II44" s="324"/>
      <c r="IJ44" s="324"/>
      <c r="IK44" s="324"/>
      <c r="IL44" s="324"/>
      <c r="IM44" s="324"/>
    </row>
    <row r="45" spans="1:247" x14ac:dyDescent="0.35">
      <c r="A45" s="356">
        <v>1768</v>
      </c>
      <c r="B45" s="357" t="s">
        <v>55</v>
      </c>
      <c r="C45" s="172" t="s">
        <v>10</v>
      </c>
      <c r="D45" s="358" t="s">
        <v>2051</v>
      </c>
      <c r="E45" s="336"/>
      <c r="F45" s="331">
        <f t="shared" si="0"/>
        <v>1.0209999999999999</v>
      </c>
      <c r="G45" s="337">
        <f t="shared" si="6"/>
        <v>1.0269999999999999</v>
      </c>
      <c r="H45" s="336"/>
      <c r="I45" s="338"/>
      <c r="J45" s="338"/>
      <c r="K45" s="338"/>
      <c r="L45" s="338"/>
      <c r="M45" s="338"/>
      <c r="N45" s="337"/>
      <c r="O45" s="339"/>
      <c r="P45" s="336"/>
      <c r="Q45" s="337"/>
      <c r="R45" s="340">
        <f t="shared" si="1"/>
        <v>1.0485669999999998</v>
      </c>
      <c r="S45" s="324"/>
      <c r="T45" s="324"/>
      <c r="U45" s="324"/>
      <c r="V45" s="324"/>
      <c r="W45" s="324"/>
      <c r="X45" s="324"/>
      <c r="Y45" s="324"/>
      <c r="Z45" s="324"/>
      <c r="AA45" s="324"/>
      <c r="AB45" s="324"/>
      <c r="AC45" s="324"/>
      <c r="AD45" s="324"/>
      <c r="AE45" s="324"/>
      <c r="AF45" s="324"/>
      <c r="AG45" s="324"/>
      <c r="AH45" s="324"/>
      <c r="AI45" s="324"/>
      <c r="AJ45" s="324"/>
      <c r="AK45" s="324"/>
      <c r="AL45" s="324"/>
      <c r="AM45" s="324"/>
      <c r="AN45" s="324"/>
      <c r="AO45" s="324"/>
      <c r="AP45" s="324"/>
      <c r="AQ45" s="324"/>
      <c r="AR45" s="324"/>
      <c r="AS45" s="324"/>
      <c r="AT45" s="324"/>
      <c r="AU45" s="324"/>
      <c r="AV45" s="324"/>
      <c r="AW45" s="324"/>
      <c r="AX45" s="324"/>
      <c r="AY45" s="324"/>
      <c r="AZ45" s="324"/>
      <c r="BA45" s="324"/>
      <c r="BB45" s="324"/>
      <c r="BC45" s="324"/>
      <c r="BD45" s="324"/>
      <c r="BE45" s="324"/>
      <c r="BF45" s="324"/>
      <c r="BG45" s="324"/>
      <c r="BH45" s="324"/>
      <c r="BI45" s="324"/>
      <c r="BJ45" s="324"/>
      <c r="BK45" s="324"/>
      <c r="BL45" s="324"/>
      <c r="BM45" s="324"/>
      <c r="BN45" s="324"/>
      <c r="BO45" s="324"/>
      <c r="BP45" s="324"/>
      <c r="BQ45" s="324"/>
      <c r="BR45" s="324"/>
      <c r="BS45" s="324"/>
      <c r="BT45" s="324"/>
      <c r="BU45" s="324"/>
      <c r="BV45" s="324"/>
      <c r="BW45" s="324"/>
      <c r="BX45" s="324"/>
      <c r="BY45" s="324"/>
      <c r="BZ45" s="324"/>
      <c r="CA45" s="324"/>
      <c r="CB45" s="324"/>
      <c r="CC45" s="324"/>
      <c r="CD45" s="324"/>
      <c r="CE45" s="324"/>
      <c r="CF45" s="324"/>
      <c r="CG45" s="324"/>
      <c r="CH45" s="324"/>
      <c r="CI45" s="324"/>
      <c r="CJ45" s="324"/>
      <c r="CK45" s="324"/>
      <c r="CL45" s="324"/>
      <c r="CM45" s="324"/>
      <c r="CN45" s="324"/>
      <c r="CO45" s="324"/>
      <c r="CP45" s="324"/>
      <c r="CQ45" s="324"/>
      <c r="CR45" s="324"/>
      <c r="CS45" s="324"/>
      <c r="CT45" s="324"/>
      <c r="CU45" s="324"/>
      <c r="CV45" s="324"/>
      <c r="CW45" s="324"/>
      <c r="CX45" s="324"/>
      <c r="CY45" s="324"/>
      <c r="CZ45" s="324"/>
      <c r="DA45" s="324"/>
      <c r="DB45" s="324"/>
      <c r="DC45" s="324"/>
      <c r="DD45" s="324"/>
      <c r="DE45" s="324"/>
      <c r="DF45" s="324"/>
      <c r="DG45" s="324"/>
      <c r="DH45" s="324"/>
      <c r="DI45" s="324"/>
      <c r="DJ45" s="324"/>
      <c r="DK45" s="324"/>
      <c r="DL45" s="324"/>
      <c r="DM45" s="324"/>
      <c r="DN45" s="324"/>
      <c r="DO45" s="324"/>
      <c r="DP45" s="324"/>
      <c r="DQ45" s="324"/>
      <c r="DR45" s="324"/>
      <c r="DS45" s="324"/>
      <c r="DT45" s="324"/>
      <c r="DU45" s="324"/>
      <c r="DV45" s="324"/>
      <c r="DW45" s="324"/>
      <c r="DX45" s="324"/>
      <c r="DY45" s="324"/>
      <c r="DZ45" s="324"/>
      <c r="EA45" s="324"/>
      <c r="EB45" s="324"/>
      <c r="EC45" s="324"/>
      <c r="ED45" s="324"/>
      <c r="EE45" s="324"/>
      <c r="EF45" s="324"/>
      <c r="EG45" s="324"/>
      <c r="EH45" s="324"/>
      <c r="EI45" s="324"/>
      <c r="EJ45" s="324"/>
      <c r="EK45" s="324"/>
      <c r="EL45" s="324"/>
      <c r="EM45" s="324"/>
      <c r="EN45" s="324"/>
      <c r="EO45" s="324"/>
      <c r="EP45" s="324"/>
      <c r="EQ45" s="324"/>
      <c r="ER45" s="324"/>
      <c r="ES45" s="324"/>
      <c r="ET45" s="324"/>
      <c r="EU45" s="324"/>
      <c r="EV45" s="324"/>
      <c r="EW45" s="324"/>
      <c r="EX45" s="324"/>
      <c r="EY45" s="324"/>
      <c r="EZ45" s="324"/>
      <c r="FA45" s="324"/>
      <c r="FB45" s="324"/>
      <c r="FC45" s="324"/>
      <c r="FD45" s="324"/>
      <c r="FE45" s="324"/>
      <c r="FF45" s="324"/>
      <c r="FG45" s="324"/>
      <c r="FH45" s="324"/>
      <c r="FI45" s="324"/>
      <c r="FJ45" s="324"/>
      <c r="FK45" s="324"/>
      <c r="FL45" s="324"/>
      <c r="FM45" s="324"/>
      <c r="FN45" s="324"/>
      <c r="FO45" s="324"/>
      <c r="FP45" s="324"/>
      <c r="FQ45" s="324"/>
      <c r="FR45" s="324"/>
      <c r="FS45" s="324"/>
      <c r="FT45" s="324"/>
      <c r="FU45" s="324"/>
      <c r="FV45" s="324"/>
      <c r="FW45" s="324"/>
      <c r="FX45" s="324"/>
      <c r="FY45" s="324"/>
      <c r="FZ45" s="324"/>
      <c r="GA45" s="324"/>
      <c r="GB45" s="324"/>
      <c r="GC45" s="324"/>
      <c r="GD45" s="324"/>
      <c r="GE45" s="324"/>
      <c r="GF45" s="324"/>
      <c r="GG45" s="324"/>
      <c r="GH45" s="324"/>
      <c r="GI45" s="324"/>
      <c r="GJ45" s="324"/>
      <c r="GK45" s="324"/>
      <c r="GL45" s="324"/>
      <c r="GM45" s="324"/>
      <c r="GN45" s="324"/>
      <c r="GO45" s="324"/>
      <c r="GP45" s="324"/>
      <c r="GQ45" s="324"/>
      <c r="GR45" s="324"/>
      <c r="GS45" s="324"/>
      <c r="GT45" s="324"/>
      <c r="GU45" s="324"/>
      <c r="GV45" s="324"/>
      <c r="GW45" s="324"/>
      <c r="GX45" s="324"/>
      <c r="GY45" s="324"/>
      <c r="GZ45" s="324"/>
      <c r="HA45" s="324"/>
      <c r="HB45" s="324"/>
      <c r="HC45" s="324"/>
      <c r="HD45" s="324"/>
      <c r="HE45" s="324"/>
      <c r="HF45" s="324"/>
      <c r="HG45" s="324"/>
      <c r="HH45" s="324"/>
      <c r="HI45" s="324"/>
      <c r="HJ45" s="324"/>
      <c r="HK45" s="324"/>
      <c r="HL45" s="324"/>
      <c r="HM45" s="324"/>
      <c r="HN45" s="324"/>
      <c r="HO45" s="324"/>
      <c r="HP45" s="324"/>
      <c r="HQ45" s="324"/>
      <c r="HR45" s="324"/>
      <c r="HS45" s="324"/>
      <c r="HT45" s="324"/>
      <c r="HU45" s="324"/>
      <c r="HV45" s="324"/>
      <c r="HW45" s="324"/>
      <c r="HX45" s="324"/>
      <c r="HY45" s="324"/>
      <c r="HZ45" s="324"/>
      <c r="IA45" s="324"/>
      <c r="IB45" s="324"/>
      <c r="IC45" s="324"/>
      <c r="ID45" s="324"/>
      <c r="IE45" s="324"/>
      <c r="IF45" s="324"/>
      <c r="IG45" s="324"/>
      <c r="IH45" s="324"/>
      <c r="II45" s="324"/>
      <c r="IJ45" s="324"/>
      <c r="IK45" s="324"/>
      <c r="IL45" s="324"/>
      <c r="IM45" s="324"/>
    </row>
    <row r="46" spans="1:247" x14ac:dyDescent="0.35">
      <c r="A46" s="356">
        <v>1769</v>
      </c>
      <c r="B46" s="357" t="s">
        <v>56</v>
      </c>
      <c r="C46" s="172" t="s">
        <v>10</v>
      </c>
      <c r="D46" s="358" t="s">
        <v>2051</v>
      </c>
      <c r="E46" s="336"/>
      <c r="F46" s="331">
        <f t="shared" si="0"/>
        <v>1.0209999999999999</v>
      </c>
      <c r="G46" s="337">
        <f t="shared" si="6"/>
        <v>1.0269999999999999</v>
      </c>
      <c r="H46" s="336"/>
      <c r="I46" s="338"/>
      <c r="J46" s="338"/>
      <c r="K46" s="338"/>
      <c r="L46" s="338"/>
      <c r="M46" s="338"/>
      <c r="N46" s="337"/>
      <c r="O46" s="339"/>
      <c r="P46" s="336"/>
      <c r="Q46" s="337"/>
      <c r="R46" s="340">
        <f t="shared" si="1"/>
        <v>1.0485669999999998</v>
      </c>
      <c r="S46" s="324"/>
      <c r="T46" s="324"/>
      <c r="U46" s="324"/>
      <c r="V46" s="324"/>
      <c r="W46" s="324"/>
      <c r="X46" s="324"/>
      <c r="Y46" s="324"/>
      <c r="Z46" s="324"/>
      <c r="AA46" s="324"/>
      <c r="AB46" s="324"/>
      <c r="AC46" s="324"/>
      <c r="AD46" s="324"/>
      <c r="AE46" s="324"/>
      <c r="AF46" s="324"/>
      <c r="AG46" s="324"/>
      <c r="AH46" s="324"/>
      <c r="AI46" s="324"/>
      <c r="AJ46" s="324"/>
      <c r="AK46" s="324"/>
      <c r="AL46" s="324"/>
      <c r="AM46" s="324"/>
      <c r="AN46" s="324"/>
      <c r="AO46" s="324"/>
      <c r="AP46" s="324"/>
      <c r="AQ46" s="324"/>
      <c r="AR46" s="324"/>
      <c r="AS46" s="324"/>
      <c r="AT46" s="324"/>
      <c r="AU46" s="324"/>
      <c r="AV46" s="324"/>
      <c r="AW46" s="324"/>
      <c r="AX46" s="324"/>
      <c r="AY46" s="324"/>
      <c r="AZ46" s="324"/>
      <c r="BA46" s="324"/>
      <c r="BB46" s="324"/>
      <c r="BC46" s="324"/>
      <c r="BD46" s="324"/>
      <c r="BE46" s="324"/>
      <c r="BF46" s="324"/>
      <c r="BG46" s="324"/>
      <c r="BH46" s="324"/>
      <c r="BI46" s="324"/>
      <c r="BJ46" s="324"/>
      <c r="BK46" s="324"/>
      <c r="BL46" s="324"/>
      <c r="BM46" s="324"/>
      <c r="BN46" s="324"/>
      <c r="BO46" s="324"/>
      <c r="BP46" s="324"/>
      <c r="BQ46" s="324"/>
      <c r="BR46" s="324"/>
      <c r="BS46" s="324"/>
      <c r="BT46" s="324"/>
      <c r="BU46" s="324"/>
      <c r="BV46" s="324"/>
      <c r="BW46" s="324"/>
      <c r="BX46" s="324"/>
      <c r="BY46" s="324"/>
      <c r="BZ46" s="324"/>
      <c r="CA46" s="324"/>
      <c r="CB46" s="324"/>
      <c r="CC46" s="324"/>
      <c r="CD46" s="324"/>
      <c r="CE46" s="324"/>
      <c r="CF46" s="324"/>
      <c r="CG46" s="324"/>
      <c r="CH46" s="324"/>
      <c r="CI46" s="324"/>
      <c r="CJ46" s="324"/>
      <c r="CK46" s="324"/>
      <c r="CL46" s="324"/>
      <c r="CM46" s="324"/>
      <c r="CN46" s="324"/>
      <c r="CO46" s="324"/>
      <c r="CP46" s="324"/>
      <c r="CQ46" s="324"/>
      <c r="CR46" s="324"/>
      <c r="CS46" s="324"/>
      <c r="CT46" s="324"/>
      <c r="CU46" s="324"/>
      <c r="CV46" s="324"/>
      <c r="CW46" s="324"/>
      <c r="CX46" s="324"/>
      <c r="CY46" s="324"/>
      <c r="CZ46" s="324"/>
      <c r="DA46" s="324"/>
      <c r="DB46" s="324"/>
      <c r="DC46" s="324"/>
      <c r="DD46" s="324"/>
      <c r="DE46" s="324"/>
      <c r="DF46" s="324"/>
      <c r="DG46" s="324"/>
      <c r="DH46" s="324"/>
      <c r="DI46" s="324"/>
      <c r="DJ46" s="324"/>
      <c r="DK46" s="324"/>
      <c r="DL46" s="324"/>
      <c r="DM46" s="324"/>
      <c r="DN46" s="324"/>
      <c r="DO46" s="324"/>
      <c r="DP46" s="324"/>
      <c r="DQ46" s="324"/>
      <c r="DR46" s="324"/>
      <c r="DS46" s="324"/>
      <c r="DT46" s="324"/>
      <c r="DU46" s="324"/>
      <c r="DV46" s="324"/>
      <c r="DW46" s="324"/>
      <c r="DX46" s="324"/>
      <c r="DY46" s="324"/>
      <c r="DZ46" s="324"/>
      <c r="EA46" s="324"/>
      <c r="EB46" s="324"/>
      <c r="EC46" s="324"/>
      <c r="ED46" s="324"/>
      <c r="EE46" s="324"/>
      <c r="EF46" s="324"/>
      <c r="EG46" s="324"/>
      <c r="EH46" s="324"/>
      <c r="EI46" s="324"/>
      <c r="EJ46" s="324"/>
      <c r="EK46" s="324"/>
      <c r="EL46" s="324"/>
      <c r="EM46" s="324"/>
      <c r="EN46" s="324"/>
      <c r="EO46" s="324"/>
      <c r="EP46" s="324"/>
      <c r="EQ46" s="324"/>
      <c r="ER46" s="324"/>
      <c r="ES46" s="324"/>
      <c r="ET46" s="324"/>
      <c r="EU46" s="324"/>
      <c r="EV46" s="324"/>
      <c r="EW46" s="324"/>
      <c r="EX46" s="324"/>
      <c r="EY46" s="324"/>
      <c r="EZ46" s="324"/>
      <c r="FA46" s="324"/>
      <c r="FB46" s="324"/>
      <c r="FC46" s="324"/>
      <c r="FD46" s="324"/>
      <c r="FE46" s="324"/>
      <c r="FF46" s="324"/>
      <c r="FG46" s="324"/>
      <c r="FH46" s="324"/>
      <c r="FI46" s="324"/>
      <c r="FJ46" s="324"/>
      <c r="FK46" s="324"/>
      <c r="FL46" s="324"/>
      <c r="FM46" s="324"/>
      <c r="FN46" s="324"/>
      <c r="FO46" s="324"/>
      <c r="FP46" s="324"/>
      <c r="FQ46" s="324"/>
      <c r="FR46" s="324"/>
      <c r="FS46" s="324"/>
      <c r="FT46" s="324"/>
      <c r="FU46" s="324"/>
      <c r="FV46" s="324"/>
      <c r="FW46" s="324"/>
      <c r="FX46" s="324"/>
      <c r="FY46" s="324"/>
      <c r="FZ46" s="324"/>
      <c r="GA46" s="324"/>
      <c r="GB46" s="324"/>
      <c r="GC46" s="324"/>
      <c r="GD46" s="324"/>
      <c r="GE46" s="324"/>
      <c r="GF46" s="324"/>
      <c r="GG46" s="324"/>
      <c r="GH46" s="324"/>
      <c r="GI46" s="324"/>
      <c r="GJ46" s="324"/>
      <c r="GK46" s="324"/>
      <c r="GL46" s="324"/>
      <c r="GM46" s="324"/>
      <c r="GN46" s="324"/>
      <c r="GO46" s="324"/>
      <c r="GP46" s="324"/>
      <c r="GQ46" s="324"/>
      <c r="GR46" s="324"/>
      <c r="GS46" s="324"/>
      <c r="GT46" s="324"/>
      <c r="GU46" s="324"/>
      <c r="GV46" s="324"/>
      <c r="GW46" s="324"/>
      <c r="GX46" s="324"/>
      <c r="GY46" s="324"/>
      <c r="GZ46" s="324"/>
      <c r="HA46" s="324"/>
      <c r="HB46" s="324"/>
      <c r="HC46" s="324"/>
      <c r="HD46" s="324"/>
      <c r="HE46" s="324"/>
      <c r="HF46" s="324"/>
      <c r="HG46" s="324"/>
      <c r="HH46" s="324"/>
      <c r="HI46" s="324"/>
      <c r="HJ46" s="324"/>
      <c r="HK46" s="324"/>
      <c r="HL46" s="324"/>
      <c r="HM46" s="324"/>
      <c r="HN46" s="324"/>
      <c r="HO46" s="324"/>
      <c r="HP46" s="324"/>
      <c r="HQ46" s="324"/>
      <c r="HR46" s="324"/>
      <c r="HS46" s="324"/>
      <c r="HT46" s="324"/>
      <c r="HU46" s="324"/>
      <c r="HV46" s="324"/>
      <c r="HW46" s="324"/>
      <c r="HX46" s="324"/>
      <c r="HY46" s="324"/>
      <c r="HZ46" s="324"/>
      <c r="IA46" s="324"/>
      <c r="IB46" s="324"/>
      <c r="IC46" s="324"/>
      <c r="ID46" s="324"/>
      <c r="IE46" s="324"/>
      <c r="IF46" s="324"/>
      <c r="IG46" s="324"/>
      <c r="IH46" s="324"/>
      <c r="II46" s="324"/>
      <c r="IJ46" s="324"/>
      <c r="IK46" s="324"/>
      <c r="IL46" s="324"/>
      <c r="IM46" s="324"/>
    </row>
    <row r="47" spans="1:247" x14ac:dyDescent="0.35">
      <c r="A47" s="356">
        <v>1771</v>
      </c>
      <c r="B47" s="357" t="s">
        <v>57</v>
      </c>
      <c r="C47" s="172" t="s">
        <v>49</v>
      </c>
      <c r="D47" s="358" t="s">
        <v>2051</v>
      </c>
      <c r="E47" s="336"/>
      <c r="F47" s="331">
        <f t="shared" si="0"/>
        <v>1.0209999999999999</v>
      </c>
      <c r="G47" s="337">
        <f t="shared" si="6"/>
        <v>1.0269999999999999</v>
      </c>
      <c r="H47" s="336"/>
      <c r="I47" s="338"/>
      <c r="J47" s="338"/>
      <c r="K47" s="338"/>
      <c r="L47" s="338"/>
      <c r="M47" s="338"/>
      <c r="N47" s="337"/>
      <c r="O47" s="339"/>
      <c r="P47" s="336">
        <f>+$P$3</f>
        <v>1.032</v>
      </c>
      <c r="Q47" s="337"/>
      <c r="R47" s="340">
        <f t="shared" si="1"/>
        <v>1.0821211439999998</v>
      </c>
      <c r="S47" s="324"/>
      <c r="T47" s="324"/>
      <c r="U47" s="324"/>
      <c r="V47" s="324"/>
      <c r="W47" s="324"/>
      <c r="X47" s="324"/>
      <c r="Y47" s="324"/>
      <c r="Z47" s="324"/>
      <c r="AA47" s="324"/>
      <c r="AB47" s="324"/>
      <c r="AC47" s="324"/>
      <c r="AD47" s="324"/>
      <c r="AE47" s="324"/>
      <c r="AF47" s="324"/>
      <c r="AG47" s="324"/>
      <c r="AH47" s="324"/>
      <c r="AI47" s="324"/>
      <c r="AJ47" s="324"/>
      <c r="AK47" s="324"/>
      <c r="AL47" s="324"/>
      <c r="AM47" s="324"/>
      <c r="AN47" s="324"/>
      <c r="AO47" s="324"/>
      <c r="AP47" s="324"/>
      <c r="AQ47" s="324"/>
      <c r="AR47" s="324"/>
      <c r="AS47" s="324"/>
      <c r="AT47" s="324"/>
      <c r="AU47" s="324"/>
      <c r="AV47" s="324"/>
      <c r="AW47" s="324"/>
      <c r="AX47" s="324"/>
      <c r="AY47" s="324"/>
      <c r="AZ47" s="324"/>
      <c r="BA47" s="324"/>
      <c r="BB47" s="324"/>
      <c r="BC47" s="324"/>
      <c r="BD47" s="324"/>
      <c r="BE47" s="324"/>
      <c r="BF47" s="324"/>
      <c r="BG47" s="324"/>
      <c r="BH47" s="324"/>
      <c r="BI47" s="324"/>
      <c r="BJ47" s="324"/>
      <c r="BK47" s="324"/>
      <c r="BL47" s="324"/>
      <c r="BM47" s="324"/>
      <c r="BN47" s="324"/>
      <c r="BO47" s="324"/>
      <c r="BP47" s="324"/>
      <c r="BQ47" s="324"/>
      <c r="BR47" s="324"/>
      <c r="BS47" s="324"/>
      <c r="BT47" s="324"/>
      <c r="BU47" s="324"/>
      <c r="BV47" s="324"/>
      <c r="BW47" s="324"/>
      <c r="BX47" s="324"/>
      <c r="BY47" s="324"/>
      <c r="BZ47" s="324"/>
      <c r="CA47" s="324"/>
      <c r="CB47" s="324"/>
      <c r="CC47" s="324"/>
      <c r="CD47" s="324"/>
      <c r="CE47" s="324"/>
      <c r="CF47" s="324"/>
      <c r="CG47" s="324"/>
      <c r="CH47" s="324"/>
      <c r="CI47" s="324"/>
      <c r="CJ47" s="324"/>
      <c r="CK47" s="324"/>
      <c r="CL47" s="324"/>
      <c r="CM47" s="324"/>
      <c r="CN47" s="324"/>
      <c r="CO47" s="324"/>
      <c r="CP47" s="324"/>
      <c r="CQ47" s="324"/>
      <c r="CR47" s="324"/>
      <c r="CS47" s="324"/>
      <c r="CT47" s="324"/>
      <c r="CU47" s="324"/>
      <c r="CV47" s="324"/>
      <c r="CW47" s="324"/>
      <c r="CX47" s="324"/>
      <c r="CY47" s="324"/>
      <c r="CZ47" s="324"/>
      <c r="DA47" s="324"/>
      <c r="DB47" s="324"/>
      <c r="DC47" s="324"/>
      <c r="DD47" s="324"/>
      <c r="DE47" s="324"/>
      <c r="DF47" s="324"/>
      <c r="DG47" s="324"/>
      <c r="DH47" s="324"/>
      <c r="DI47" s="324"/>
      <c r="DJ47" s="324"/>
      <c r="DK47" s="324"/>
      <c r="DL47" s="324"/>
      <c r="DM47" s="324"/>
      <c r="DN47" s="324"/>
      <c r="DO47" s="324"/>
      <c r="DP47" s="324"/>
      <c r="DQ47" s="324"/>
      <c r="DR47" s="324"/>
      <c r="DS47" s="324"/>
      <c r="DT47" s="324"/>
      <c r="DU47" s="324"/>
      <c r="DV47" s="324"/>
      <c r="DW47" s="324"/>
      <c r="DX47" s="324"/>
      <c r="DY47" s="324"/>
      <c r="DZ47" s="324"/>
      <c r="EA47" s="324"/>
      <c r="EB47" s="324"/>
      <c r="EC47" s="324"/>
      <c r="ED47" s="324"/>
      <c r="EE47" s="324"/>
      <c r="EF47" s="324"/>
      <c r="EG47" s="324"/>
      <c r="EH47" s="324"/>
      <c r="EI47" s="324"/>
      <c r="EJ47" s="324"/>
      <c r="EK47" s="324"/>
      <c r="EL47" s="324"/>
      <c r="EM47" s="324"/>
      <c r="EN47" s="324"/>
      <c r="EO47" s="324"/>
      <c r="EP47" s="324"/>
      <c r="EQ47" s="324"/>
      <c r="ER47" s="324"/>
      <c r="ES47" s="324"/>
      <c r="ET47" s="324"/>
      <c r="EU47" s="324"/>
      <c r="EV47" s="324"/>
      <c r="EW47" s="324"/>
      <c r="EX47" s="324"/>
      <c r="EY47" s="324"/>
      <c r="EZ47" s="324"/>
      <c r="FA47" s="324"/>
      <c r="FB47" s="324"/>
      <c r="FC47" s="324"/>
      <c r="FD47" s="324"/>
      <c r="FE47" s="324"/>
      <c r="FF47" s="324"/>
      <c r="FG47" s="324"/>
      <c r="FH47" s="324"/>
      <c r="FI47" s="324"/>
      <c r="FJ47" s="324"/>
      <c r="FK47" s="324"/>
      <c r="FL47" s="324"/>
      <c r="FM47" s="324"/>
      <c r="FN47" s="324"/>
      <c r="FO47" s="324"/>
      <c r="FP47" s="324"/>
      <c r="FQ47" s="324"/>
      <c r="FR47" s="324"/>
      <c r="FS47" s="324"/>
      <c r="FT47" s="324"/>
      <c r="FU47" s="324"/>
      <c r="FV47" s="324"/>
      <c r="FW47" s="324"/>
      <c r="FX47" s="324"/>
      <c r="FY47" s="324"/>
      <c r="FZ47" s="324"/>
      <c r="GA47" s="324"/>
      <c r="GB47" s="324"/>
      <c r="GC47" s="324"/>
      <c r="GD47" s="324"/>
      <c r="GE47" s="324"/>
      <c r="GF47" s="324"/>
      <c r="GG47" s="324"/>
      <c r="GH47" s="324"/>
      <c r="GI47" s="324"/>
      <c r="GJ47" s="324"/>
      <c r="GK47" s="324"/>
      <c r="GL47" s="324"/>
      <c r="GM47" s="324"/>
      <c r="GN47" s="324"/>
      <c r="GO47" s="324"/>
      <c r="GP47" s="324"/>
      <c r="GQ47" s="324"/>
      <c r="GR47" s="324"/>
      <c r="GS47" s="324"/>
      <c r="GT47" s="324"/>
      <c r="GU47" s="324"/>
      <c r="GV47" s="324"/>
      <c r="GW47" s="324"/>
      <c r="GX47" s="324"/>
      <c r="GY47" s="324"/>
      <c r="GZ47" s="324"/>
      <c r="HA47" s="324"/>
      <c r="HB47" s="324"/>
      <c r="HC47" s="324"/>
      <c r="HD47" s="324"/>
      <c r="HE47" s="324"/>
      <c r="HF47" s="324"/>
      <c r="HG47" s="324"/>
      <c r="HH47" s="324"/>
      <c r="HI47" s="324"/>
      <c r="HJ47" s="324"/>
      <c r="HK47" s="324"/>
      <c r="HL47" s="324"/>
      <c r="HM47" s="324"/>
      <c r="HN47" s="324"/>
      <c r="HO47" s="324"/>
      <c r="HP47" s="324"/>
      <c r="HQ47" s="324"/>
      <c r="HR47" s="324"/>
      <c r="HS47" s="324"/>
      <c r="HT47" s="324"/>
      <c r="HU47" s="324"/>
      <c r="HV47" s="324"/>
      <c r="HW47" s="324"/>
      <c r="HX47" s="324"/>
      <c r="HY47" s="324"/>
      <c r="HZ47" s="324"/>
      <c r="IA47" s="324"/>
      <c r="IB47" s="324"/>
      <c r="IC47" s="324"/>
      <c r="ID47" s="324"/>
      <c r="IE47" s="324"/>
      <c r="IF47" s="324"/>
      <c r="IG47" s="324"/>
      <c r="IH47" s="324"/>
      <c r="II47" s="324"/>
      <c r="IJ47" s="324"/>
      <c r="IK47" s="324"/>
      <c r="IL47" s="324"/>
      <c r="IM47" s="324"/>
    </row>
    <row r="48" spans="1:247" x14ac:dyDescent="0.35">
      <c r="A48" s="356">
        <v>1772</v>
      </c>
      <c r="B48" s="357" t="s">
        <v>58</v>
      </c>
      <c r="C48" s="172" t="s">
        <v>10</v>
      </c>
      <c r="D48" s="358" t="s">
        <v>2051</v>
      </c>
      <c r="E48" s="336"/>
      <c r="F48" s="331">
        <f t="shared" si="0"/>
        <v>1.0209999999999999</v>
      </c>
      <c r="G48" s="337">
        <f t="shared" si="6"/>
        <v>1.0269999999999999</v>
      </c>
      <c r="H48" s="336"/>
      <c r="I48" s="338"/>
      <c r="J48" s="338"/>
      <c r="K48" s="338"/>
      <c r="L48" s="338"/>
      <c r="M48" s="338"/>
      <c r="N48" s="337"/>
      <c r="O48" s="339"/>
      <c r="P48" s="336">
        <f>+$P$3</f>
        <v>1.032</v>
      </c>
      <c r="Q48" s="337"/>
      <c r="R48" s="340">
        <f t="shared" si="1"/>
        <v>1.0821211439999998</v>
      </c>
      <c r="S48" s="324"/>
      <c r="T48" s="324"/>
      <c r="U48" s="324"/>
      <c r="V48" s="324"/>
      <c r="W48" s="324"/>
      <c r="X48" s="324"/>
      <c r="Y48" s="324"/>
      <c r="Z48" s="324"/>
      <c r="AA48" s="324"/>
      <c r="AB48" s="324"/>
      <c r="AC48" s="324"/>
      <c r="AD48" s="324"/>
      <c r="AE48" s="324"/>
      <c r="AF48" s="324"/>
      <c r="AG48" s="324"/>
      <c r="AH48" s="324"/>
      <c r="AI48" s="324"/>
      <c r="AJ48" s="324"/>
      <c r="AK48" s="324"/>
      <c r="AL48" s="324"/>
      <c r="AM48" s="324"/>
      <c r="AN48" s="324"/>
      <c r="AO48" s="324"/>
      <c r="AP48" s="324"/>
      <c r="AQ48" s="324"/>
      <c r="AR48" s="324"/>
      <c r="AS48" s="324"/>
      <c r="AT48" s="324"/>
      <c r="AU48" s="324"/>
      <c r="AV48" s="324"/>
      <c r="AW48" s="324"/>
      <c r="AX48" s="324"/>
      <c r="AY48" s="324"/>
      <c r="AZ48" s="324"/>
      <c r="BA48" s="324"/>
      <c r="BB48" s="324"/>
      <c r="BC48" s="324"/>
      <c r="BD48" s="324"/>
      <c r="BE48" s="324"/>
      <c r="BF48" s="324"/>
      <c r="BG48" s="324"/>
      <c r="BH48" s="324"/>
      <c r="BI48" s="324"/>
      <c r="BJ48" s="324"/>
      <c r="BK48" s="324"/>
      <c r="BL48" s="324"/>
      <c r="BM48" s="324"/>
      <c r="BN48" s="324"/>
      <c r="BO48" s="324"/>
      <c r="BP48" s="324"/>
      <c r="BQ48" s="324"/>
      <c r="BR48" s="324"/>
      <c r="BS48" s="324"/>
      <c r="BT48" s="324"/>
      <c r="BU48" s="324"/>
      <c r="BV48" s="324"/>
      <c r="BW48" s="324"/>
      <c r="BX48" s="324"/>
      <c r="BY48" s="324"/>
      <c r="BZ48" s="324"/>
      <c r="CA48" s="324"/>
      <c r="CB48" s="324"/>
      <c r="CC48" s="324"/>
      <c r="CD48" s="324"/>
      <c r="CE48" s="324"/>
      <c r="CF48" s="324"/>
      <c r="CG48" s="324"/>
      <c r="CH48" s="324"/>
      <c r="CI48" s="324"/>
      <c r="CJ48" s="324"/>
      <c r="CK48" s="324"/>
      <c r="CL48" s="324"/>
      <c r="CM48" s="324"/>
      <c r="CN48" s="324"/>
      <c r="CO48" s="324"/>
      <c r="CP48" s="324"/>
      <c r="CQ48" s="324"/>
      <c r="CR48" s="324"/>
      <c r="CS48" s="324"/>
      <c r="CT48" s="324"/>
      <c r="CU48" s="324"/>
      <c r="CV48" s="324"/>
      <c r="CW48" s="324"/>
      <c r="CX48" s="324"/>
      <c r="CY48" s="324"/>
      <c r="CZ48" s="324"/>
      <c r="DA48" s="324"/>
      <c r="DB48" s="324"/>
      <c r="DC48" s="324"/>
      <c r="DD48" s="324"/>
      <c r="DE48" s="324"/>
      <c r="DF48" s="324"/>
      <c r="DG48" s="324"/>
      <c r="DH48" s="324"/>
      <c r="DI48" s="324"/>
      <c r="DJ48" s="324"/>
      <c r="DK48" s="324"/>
      <c r="DL48" s="324"/>
      <c r="DM48" s="324"/>
      <c r="DN48" s="324"/>
      <c r="DO48" s="324"/>
      <c r="DP48" s="324"/>
      <c r="DQ48" s="324"/>
      <c r="DR48" s="324"/>
      <c r="DS48" s="324"/>
      <c r="DT48" s="324"/>
      <c r="DU48" s="324"/>
      <c r="DV48" s="324"/>
      <c r="DW48" s="324"/>
      <c r="DX48" s="324"/>
      <c r="DY48" s="324"/>
      <c r="DZ48" s="324"/>
      <c r="EA48" s="324"/>
      <c r="EB48" s="324"/>
      <c r="EC48" s="324"/>
      <c r="ED48" s="324"/>
      <c r="EE48" s="324"/>
      <c r="EF48" s="324"/>
      <c r="EG48" s="324"/>
      <c r="EH48" s="324"/>
      <c r="EI48" s="324"/>
      <c r="EJ48" s="324"/>
      <c r="EK48" s="324"/>
      <c r="EL48" s="324"/>
      <c r="EM48" s="324"/>
      <c r="EN48" s="324"/>
      <c r="EO48" s="324"/>
      <c r="EP48" s="324"/>
      <c r="EQ48" s="324"/>
      <c r="ER48" s="324"/>
      <c r="ES48" s="324"/>
      <c r="ET48" s="324"/>
      <c r="EU48" s="324"/>
      <c r="EV48" s="324"/>
      <c r="EW48" s="324"/>
      <c r="EX48" s="324"/>
      <c r="EY48" s="324"/>
      <c r="EZ48" s="324"/>
      <c r="FA48" s="324"/>
      <c r="FB48" s="324"/>
      <c r="FC48" s="324"/>
      <c r="FD48" s="324"/>
      <c r="FE48" s="324"/>
      <c r="FF48" s="324"/>
      <c r="FG48" s="324"/>
      <c r="FH48" s="324"/>
      <c r="FI48" s="324"/>
      <c r="FJ48" s="324"/>
      <c r="FK48" s="324"/>
      <c r="FL48" s="324"/>
      <c r="FM48" s="324"/>
      <c r="FN48" s="324"/>
      <c r="FO48" s="324"/>
      <c r="FP48" s="324"/>
      <c r="FQ48" s="324"/>
      <c r="FR48" s="324"/>
      <c r="FS48" s="324"/>
      <c r="FT48" s="324"/>
      <c r="FU48" s="324"/>
      <c r="FV48" s="324"/>
      <c r="FW48" s="324"/>
      <c r="FX48" s="324"/>
      <c r="FY48" s="324"/>
      <c r="FZ48" s="324"/>
      <c r="GA48" s="324"/>
      <c r="GB48" s="324"/>
      <c r="GC48" s="324"/>
      <c r="GD48" s="324"/>
      <c r="GE48" s="324"/>
      <c r="GF48" s="324"/>
      <c r="GG48" s="324"/>
      <c r="GH48" s="324"/>
      <c r="GI48" s="324"/>
      <c r="GJ48" s="324"/>
      <c r="GK48" s="324"/>
      <c r="GL48" s="324"/>
      <c r="GM48" s="324"/>
      <c r="GN48" s="324"/>
      <c r="GO48" s="324"/>
      <c r="GP48" s="324"/>
      <c r="GQ48" s="324"/>
      <c r="GR48" s="324"/>
      <c r="GS48" s="324"/>
      <c r="GT48" s="324"/>
      <c r="GU48" s="324"/>
      <c r="GV48" s="324"/>
      <c r="GW48" s="324"/>
      <c r="GX48" s="324"/>
      <c r="GY48" s="324"/>
      <c r="GZ48" s="324"/>
      <c r="HA48" s="324"/>
      <c r="HB48" s="324"/>
      <c r="HC48" s="324"/>
      <c r="HD48" s="324"/>
      <c r="HE48" s="324"/>
      <c r="HF48" s="324"/>
      <c r="HG48" s="324"/>
      <c r="HH48" s="324"/>
      <c r="HI48" s="324"/>
      <c r="HJ48" s="324"/>
      <c r="HK48" s="324"/>
      <c r="HL48" s="324"/>
      <c r="HM48" s="324"/>
      <c r="HN48" s="324"/>
      <c r="HO48" s="324"/>
      <c r="HP48" s="324"/>
      <c r="HQ48" s="324"/>
      <c r="HR48" s="324"/>
      <c r="HS48" s="324"/>
      <c r="HT48" s="324"/>
      <c r="HU48" s="324"/>
      <c r="HV48" s="324"/>
      <c r="HW48" s="324"/>
      <c r="HX48" s="324"/>
      <c r="HY48" s="324"/>
      <c r="HZ48" s="324"/>
      <c r="IA48" s="324"/>
      <c r="IB48" s="324"/>
      <c r="IC48" s="324"/>
      <c r="ID48" s="324"/>
      <c r="IE48" s="324"/>
      <c r="IF48" s="324"/>
      <c r="IG48" s="324"/>
      <c r="IH48" s="324"/>
      <c r="II48" s="324"/>
      <c r="IJ48" s="324"/>
      <c r="IK48" s="324"/>
      <c r="IL48" s="324"/>
      <c r="IM48" s="324"/>
    </row>
    <row r="49" spans="1:247" x14ac:dyDescent="0.35">
      <c r="A49" s="356">
        <v>1773</v>
      </c>
      <c r="B49" s="357" t="s">
        <v>59</v>
      </c>
      <c r="C49" s="172" t="s">
        <v>49</v>
      </c>
      <c r="D49" s="358" t="s">
        <v>2051</v>
      </c>
      <c r="E49" s="336"/>
      <c r="F49" s="331">
        <f t="shared" si="0"/>
        <v>1.0209999999999999</v>
      </c>
      <c r="G49" s="337">
        <f t="shared" si="6"/>
        <v>1.0269999999999999</v>
      </c>
      <c r="H49" s="336"/>
      <c r="I49" s="338"/>
      <c r="J49" s="338"/>
      <c r="K49" s="338"/>
      <c r="L49" s="338"/>
      <c r="M49" s="338"/>
      <c r="N49" s="337"/>
      <c r="O49" s="339"/>
      <c r="P49" s="336"/>
      <c r="Q49" s="337"/>
      <c r="R49" s="340">
        <f t="shared" si="1"/>
        <v>1.0485669999999998</v>
      </c>
      <c r="S49" s="324"/>
      <c r="T49" s="324"/>
      <c r="U49" s="324"/>
      <c r="V49" s="324"/>
      <c r="W49" s="324"/>
      <c r="X49" s="324"/>
      <c r="Y49" s="324"/>
      <c r="Z49" s="324"/>
      <c r="AA49" s="324"/>
      <c r="AB49" s="324"/>
      <c r="AC49" s="324"/>
      <c r="AD49" s="324"/>
      <c r="AE49" s="324"/>
      <c r="AF49" s="324"/>
      <c r="AG49" s="324"/>
      <c r="AH49" s="324"/>
      <c r="AI49" s="324"/>
      <c r="AJ49" s="324"/>
      <c r="AK49" s="324"/>
      <c r="AL49" s="324"/>
      <c r="AM49" s="324"/>
      <c r="AN49" s="324"/>
      <c r="AO49" s="324"/>
      <c r="AP49" s="324"/>
      <c r="AQ49" s="324"/>
      <c r="AR49" s="324"/>
      <c r="AS49" s="324"/>
      <c r="AT49" s="324"/>
      <c r="AU49" s="324"/>
      <c r="AV49" s="324"/>
      <c r="AW49" s="324"/>
      <c r="AX49" s="324"/>
      <c r="AY49" s="324"/>
      <c r="AZ49" s="324"/>
      <c r="BA49" s="324"/>
      <c r="BB49" s="324"/>
      <c r="BC49" s="324"/>
      <c r="BD49" s="324"/>
      <c r="BE49" s="324"/>
      <c r="BF49" s="324"/>
      <c r="BG49" s="324"/>
      <c r="BH49" s="324"/>
      <c r="BI49" s="324"/>
      <c r="BJ49" s="324"/>
      <c r="BK49" s="324"/>
      <c r="BL49" s="324"/>
      <c r="BM49" s="324"/>
      <c r="BN49" s="324"/>
      <c r="BO49" s="324"/>
      <c r="BP49" s="324"/>
      <c r="BQ49" s="324"/>
      <c r="BR49" s="324"/>
      <c r="BS49" s="324"/>
      <c r="BT49" s="324"/>
      <c r="BU49" s="324"/>
      <c r="BV49" s="324"/>
      <c r="BW49" s="324"/>
      <c r="BX49" s="324"/>
      <c r="BY49" s="324"/>
      <c r="BZ49" s="324"/>
      <c r="CA49" s="324"/>
      <c r="CB49" s="324"/>
      <c r="CC49" s="324"/>
      <c r="CD49" s="324"/>
      <c r="CE49" s="324"/>
      <c r="CF49" s="324"/>
      <c r="CG49" s="324"/>
      <c r="CH49" s="324"/>
      <c r="CI49" s="324"/>
      <c r="CJ49" s="324"/>
      <c r="CK49" s="324"/>
      <c r="CL49" s="324"/>
      <c r="CM49" s="324"/>
      <c r="CN49" s="324"/>
      <c r="CO49" s="324"/>
      <c r="CP49" s="324"/>
      <c r="CQ49" s="324"/>
      <c r="CR49" s="324"/>
      <c r="CS49" s="324"/>
      <c r="CT49" s="324"/>
      <c r="CU49" s="324"/>
      <c r="CV49" s="324"/>
      <c r="CW49" s="324"/>
      <c r="CX49" s="324"/>
      <c r="CY49" s="324"/>
      <c r="CZ49" s="324"/>
      <c r="DA49" s="324"/>
      <c r="DB49" s="324"/>
      <c r="DC49" s="324"/>
      <c r="DD49" s="324"/>
      <c r="DE49" s="324"/>
      <c r="DF49" s="324"/>
      <c r="DG49" s="324"/>
      <c r="DH49" s="324"/>
      <c r="DI49" s="324"/>
      <c r="DJ49" s="324"/>
      <c r="DK49" s="324"/>
      <c r="DL49" s="324"/>
      <c r="DM49" s="324"/>
      <c r="DN49" s="324"/>
      <c r="DO49" s="324"/>
      <c r="DP49" s="324"/>
      <c r="DQ49" s="324"/>
      <c r="DR49" s="324"/>
      <c r="DS49" s="324"/>
      <c r="DT49" s="324"/>
      <c r="DU49" s="324"/>
      <c r="DV49" s="324"/>
      <c r="DW49" s="324"/>
      <c r="DX49" s="324"/>
      <c r="DY49" s="324"/>
      <c r="DZ49" s="324"/>
      <c r="EA49" s="324"/>
      <c r="EB49" s="324"/>
      <c r="EC49" s="324"/>
      <c r="ED49" s="324"/>
      <c r="EE49" s="324"/>
      <c r="EF49" s="324"/>
      <c r="EG49" s="324"/>
      <c r="EH49" s="324"/>
      <c r="EI49" s="324"/>
      <c r="EJ49" s="324"/>
      <c r="EK49" s="324"/>
      <c r="EL49" s="324"/>
      <c r="EM49" s="324"/>
      <c r="EN49" s="324"/>
      <c r="EO49" s="324"/>
      <c r="EP49" s="324"/>
      <c r="EQ49" s="324"/>
      <c r="ER49" s="324"/>
      <c r="ES49" s="324"/>
      <c r="ET49" s="324"/>
      <c r="EU49" s="324"/>
      <c r="EV49" s="324"/>
      <c r="EW49" s="324"/>
      <c r="EX49" s="324"/>
      <c r="EY49" s="324"/>
      <c r="EZ49" s="324"/>
      <c r="FA49" s="324"/>
      <c r="FB49" s="324"/>
      <c r="FC49" s="324"/>
      <c r="FD49" s="324"/>
      <c r="FE49" s="324"/>
      <c r="FF49" s="324"/>
      <c r="FG49" s="324"/>
      <c r="FH49" s="324"/>
      <c r="FI49" s="324"/>
      <c r="FJ49" s="324"/>
      <c r="FK49" s="324"/>
      <c r="FL49" s="324"/>
      <c r="FM49" s="324"/>
      <c r="FN49" s="324"/>
      <c r="FO49" s="324"/>
      <c r="FP49" s="324"/>
      <c r="FQ49" s="324"/>
      <c r="FR49" s="324"/>
      <c r="FS49" s="324"/>
      <c r="FT49" s="324"/>
      <c r="FU49" s="324"/>
      <c r="FV49" s="324"/>
      <c r="FW49" s="324"/>
      <c r="FX49" s="324"/>
      <c r="FY49" s="324"/>
      <c r="FZ49" s="324"/>
      <c r="GA49" s="324"/>
      <c r="GB49" s="324"/>
      <c r="GC49" s="324"/>
      <c r="GD49" s="324"/>
      <c r="GE49" s="324"/>
      <c r="GF49" s="324"/>
      <c r="GG49" s="324"/>
      <c r="GH49" s="324"/>
      <c r="GI49" s="324"/>
      <c r="GJ49" s="324"/>
      <c r="GK49" s="324"/>
      <c r="GL49" s="324"/>
      <c r="GM49" s="324"/>
      <c r="GN49" s="324"/>
      <c r="GO49" s="324"/>
      <c r="GP49" s="324"/>
      <c r="GQ49" s="324"/>
      <c r="GR49" s="324"/>
      <c r="GS49" s="324"/>
      <c r="GT49" s="324"/>
      <c r="GU49" s="324"/>
      <c r="GV49" s="324"/>
      <c r="GW49" s="324"/>
      <c r="GX49" s="324"/>
      <c r="GY49" s="324"/>
      <c r="GZ49" s="324"/>
      <c r="HA49" s="324"/>
      <c r="HB49" s="324"/>
      <c r="HC49" s="324"/>
      <c r="HD49" s="324"/>
      <c r="HE49" s="324"/>
      <c r="HF49" s="324"/>
      <c r="HG49" s="324"/>
      <c r="HH49" s="324"/>
      <c r="HI49" s="324"/>
      <c r="HJ49" s="324"/>
      <c r="HK49" s="324"/>
      <c r="HL49" s="324"/>
      <c r="HM49" s="324"/>
      <c r="HN49" s="324"/>
      <c r="HO49" s="324"/>
      <c r="HP49" s="324"/>
      <c r="HQ49" s="324"/>
      <c r="HR49" s="324"/>
      <c r="HS49" s="324"/>
      <c r="HT49" s="324"/>
      <c r="HU49" s="324"/>
      <c r="HV49" s="324"/>
      <c r="HW49" s="324"/>
      <c r="HX49" s="324"/>
      <c r="HY49" s="324"/>
      <c r="HZ49" s="324"/>
      <c r="IA49" s="324"/>
      <c r="IB49" s="324"/>
      <c r="IC49" s="324"/>
      <c r="ID49" s="324"/>
      <c r="IE49" s="324"/>
      <c r="IF49" s="324"/>
      <c r="IG49" s="324"/>
      <c r="IH49" s="324"/>
      <c r="II49" s="324"/>
      <c r="IJ49" s="324"/>
      <c r="IK49" s="324"/>
      <c r="IL49" s="324"/>
      <c r="IM49" s="324"/>
    </row>
    <row r="50" spans="1:247" x14ac:dyDescent="0.35">
      <c r="A50" s="356">
        <v>1774</v>
      </c>
      <c r="B50" s="357" t="s">
        <v>60</v>
      </c>
      <c r="C50" s="172" t="s">
        <v>10</v>
      </c>
      <c r="D50" s="358" t="s">
        <v>2051</v>
      </c>
      <c r="E50" s="336"/>
      <c r="F50" s="331">
        <f t="shared" si="0"/>
        <v>1.0209999999999999</v>
      </c>
      <c r="G50" s="337">
        <f t="shared" si="6"/>
        <v>1.0269999999999999</v>
      </c>
      <c r="H50" s="336"/>
      <c r="I50" s="338"/>
      <c r="J50" s="338"/>
      <c r="K50" s="338"/>
      <c r="L50" s="338"/>
      <c r="M50" s="338"/>
      <c r="N50" s="337"/>
      <c r="O50" s="339"/>
      <c r="P50" s="336"/>
      <c r="Q50" s="337"/>
      <c r="R50" s="340">
        <f t="shared" si="1"/>
        <v>1.0485669999999998</v>
      </c>
      <c r="S50" s="324"/>
      <c r="T50" s="324"/>
      <c r="U50" s="324"/>
      <c r="V50" s="324"/>
      <c r="W50" s="324"/>
      <c r="X50" s="324"/>
      <c r="Y50" s="324"/>
      <c r="Z50" s="324"/>
      <c r="AA50" s="324"/>
      <c r="AB50" s="324"/>
      <c r="AC50" s="324"/>
      <c r="AD50" s="324"/>
      <c r="AE50" s="324"/>
      <c r="AF50" s="324"/>
      <c r="AG50" s="324"/>
      <c r="AH50" s="324"/>
      <c r="AI50" s="324"/>
      <c r="AJ50" s="324"/>
      <c r="AK50" s="324"/>
      <c r="AL50" s="324"/>
      <c r="AM50" s="324"/>
      <c r="AN50" s="324"/>
      <c r="AO50" s="324"/>
      <c r="AP50" s="324"/>
      <c r="AQ50" s="324"/>
      <c r="AR50" s="324"/>
      <c r="AS50" s="324"/>
      <c r="AT50" s="324"/>
      <c r="AU50" s="324"/>
      <c r="AV50" s="324"/>
      <c r="AW50" s="324"/>
      <c r="AX50" s="324"/>
      <c r="AY50" s="324"/>
      <c r="AZ50" s="324"/>
      <c r="BA50" s="324"/>
      <c r="BB50" s="324"/>
      <c r="BC50" s="324"/>
      <c r="BD50" s="324"/>
      <c r="BE50" s="324"/>
      <c r="BF50" s="324"/>
      <c r="BG50" s="324"/>
      <c r="BH50" s="324"/>
      <c r="BI50" s="324"/>
      <c r="BJ50" s="324"/>
      <c r="BK50" s="324"/>
      <c r="BL50" s="324"/>
      <c r="BM50" s="324"/>
      <c r="BN50" s="324"/>
      <c r="BO50" s="324"/>
      <c r="BP50" s="324"/>
      <c r="BQ50" s="324"/>
      <c r="BR50" s="324"/>
      <c r="BS50" s="324"/>
      <c r="BT50" s="324"/>
      <c r="BU50" s="324"/>
      <c r="BV50" s="324"/>
      <c r="BW50" s="324"/>
      <c r="BX50" s="324"/>
      <c r="BY50" s="324"/>
      <c r="BZ50" s="324"/>
      <c r="CA50" s="324"/>
      <c r="CB50" s="324"/>
      <c r="CC50" s="324"/>
      <c r="CD50" s="324"/>
      <c r="CE50" s="324"/>
      <c r="CF50" s="324"/>
      <c r="CG50" s="324"/>
      <c r="CH50" s="324"/>
      <c r="CI50" s="324"/>
      <c r="CJ50" s="324"/>
      <c r="CK50" s="324"/>
      <c r="CL50" s="324"/>
      <c r="CM50" s="324"/>
      <c r="CN50" s="324"/>
      <c r="CO50" s="324"/>
      <c r="CP50" s="324"/>
      <c r="CQ50" s="324"/>
      <c r="CR50" s="324"/>
      <c r="CS50" s="324"/>
      <c r="CT50" s="324"/>
      <c r="CU50" s="324"/>
      <c r="CV50" s="324"/>
      <c r="CW50" s="324"/>
      <c r="CX50" s="324"/>
      <c r="CY50" s="324"/>
      <c r="CZ50" s="324"/>
      <c r="DA50" s="324"/>
      <c r="DB50" s="324"/>
      <c r="DC50" s="324"/>
      <c r="DD50" s="324"/>
      <c r="DE50" s="324"/>
      <c r="DF50" s="324"/>
      <c r="DG50" s="324"/>
      <c r="DH50" s="324"/>
      <c r="DI50" s="324"/>
      <c r="DJ50" s="324"/>
      <c r="DK50" s="324"/>
      <c r="DL50" s="324"/>
      <c r="DM50" s="324"/>
      <c r="DN50" s="324"/>
      <c r="DO50" s="324"/>
      <c r="DP50" s="324"/>
      <c r="DQ50" s="324"/>
      <c r="DR50" s="324"/>
      <c r="DS50" s="324"/>
      <c r="DT50" s="324"/>
      <c r="DU50" s="324"/>
      <c r="DV50" s="324"/>
      <c r="DW50" s="324"/>
      <c r="DX50" s="324"/>
      <c r="DY50" s="324"/>
      <c r="DZ50" s="324"/>
      <c r="EA50" s="324"/>
      <c r="EB50" s="324"/>
      <c r="EC50" s="324"/>
      <c r="ED50" s="324"/>
      <c r="EE50" s="324"/>
      <c r="EF50" s="324"/>
      <c r="EG50" s="324"/>
      <c r="EH50" s="324"/>
      <c r="EI50" s="324"/>
      <c r="EJ50" s="324"/>
      <c r="EK50" s="324"/>
      <c r="EL50" s="324"/>
      <c r="EM50" s="324"/>
      <c r="EN50" s="324"/>
      <c r="EO50" s="324"/>
      <c r="EP50" s="324"/>
      <c r="EQ50" s="324"/>
      <c r="ER50" s="324"/>
      <c r="ES50" s="324"/>
      <c r="ET50" s="324"/>
      <c r="EU50" s="324"/>
      <c r="EV50" s="324"/>
      <c r="EW50" s="324"/>
      <c r="EX50" s="324"/>
      <c r="EY50" s="324"/>
      <c r="EZ50" s="324"/>
      <c r="FA50" s="324"/>
      <c r="FB50" s="324"/>
      <c r="FC50" s="324"/>
      <c r="FD50" s="324"/>
      <c r="FE50" s="324"/>
      <c r="FF50" s="324"/>
      <c r="FG50" s="324"/>
      <c r="FH50" s="324"/>
      <c r="FI50" s="324"/>
      <c r="FJ50" s="324"/>
      <c r="FK50" s="324"/>
      <c r="FL50" s="324"/>
      <c r="FM50" s="324"/>
      <c r="FN50" s="324"/>
      <c r="FO50" s="324"/>
      <c r="FP50" s="324"/>
      <c r="FQ50" s="324"/>
      <c r="FR50" s="324"/>
      <c r="FS50" s="324"/>
      <c r="FT50" s="324"/>
      <c r="FU50" s="324"/>
      <c r="FV50" s="324"/>
      <c r="FW50" s="324"/>
      <c r="FX50" s="324"/>
      <c r="FY50" s="324"/>
      <c r="FZ50" s="324"/>
      <c r="GA50" s="324"/>
      <c r="GB50" s="324"/>
      <c r="GC50" s="324"/>
      <c r="GD50" s="324"/>
      <c r="GE50" s="324"/>
      <c r="GF50" s="324"/>
      <c r="GG50" s="324"/>
      <c r="GH50" s="324"/>
      <c r="GI50" s="324"/>
      <c r="GJ50" s="324"/>
      <c r="GK50" s="324"/>
      <c r="GL50" s="324"/>
      <c r="GM50" s="324"/>
      <c r="GN50" s="324"/>
      <c r="GO50" s="324"/>
      <c r="GP50" s="324"/>
      <c r="GQ50" s="324"/>
      <c r="GR50" s="324"/>
      <c r="GS50" s="324"/>
      <c r="GT50" s="324"/>
      <c r="GU50" s="324"/>
      <c r="GV50" s="324"/>
      <c r="GW50" s="324"/>
      <c r="GX50" s="324"/>
      <c r="GY50" s="324"/>
      <c r="GZ50" s="324"/>
      <c r="HA50" s="324"/>
      <c r="HB50" s="324"/>
      <c r="HC50" s="324"/>
      <c r="HD50" s="324"/>
      <c r="HE50" s="324"/>
      <c r="HF50" s="324"/>
      <c r="HG50" s="324"/>
      <c r="HH50" s="324"/>
      <c r="HI50" s="324"/>
      <c r="HJ50" s="324"/>
      <c r="HK50" s="324"/>
      <c r="HL50" s="324"/>
      <c r="HM50" s="324"/>
      <c r="HN50" s="324"/>
      <c r="HO50" s="324"/>
      <c r="HP50" s="324"/>
      <c r="HQ50" s="324"/>
      <c r="HR50" s="324"/>
      <c r="HS50" s="324"/>
      <c r="HT50" s="324"/>
      <c r="HU50" s="324"/>
      <c r="HV50" s="324"/>
      <c r="HW50" s="324"/>
      <c r="HX50" s="324"/>
      <c r="HY50" s="324"/>
      <c r="HZ50" s="324"/>
      <c r="IA50" s="324"/>
      <c r="IB50" s="324"/>
      <c r="IC50" s="324"/>
      <c r="ID50" s="324"/>
      <c r="IE50" s="324"/>
      <c r="IF50" s="324"/>
      <c r="IG50" s="324"/>
      <c r="IH50" s="324"/>
      <c r="II50" s="324"/>
      <c r="IJ50" s="324"/>
      <c r="IK50" s="324"/>
      <c r="IL50" s="324"/>
      <c r="IM50" s="324"/>
    </row>
    <row r="51" spans="1:247" x14ac:dyDescent="0.35">
      <c r="A51" s="356">
        <v>1775</v>
      </c>
      <c r="B51" s="357" t="s">
        <v>61</v>
      </c>
      <c r="C51" s="172" t="s">
        <v>10</v>
      </c>
      <c r="D51" s="358" t="s">
        <v>2051</v>
      </c>
      <c r="E51" s="336"/>
      <c r="F51" s="331">
        <f t="shared" si="0"/>
        <v>1.0209999999999999</v>
      </c>
      <c r="G51" s="337">
        <f t="shared" si="6"/>
        <v>1.0269999999999999</v>
      </c>
      <c r="H51" s="336"/>
      <c r="I51" s="338"/>
      <c r="J51" s="338"/>
      <c r="K51" s="338"/>
      <c r="L51" s="338"/>
      <c r="M51" s="338"/>
      <c r="N51" s="337"/>
      <c r="O51" s="339"/>
      <c r="P51" s="336"/>
      <c r="Q51" s="337"/>
      <c r="R51" s="340">
        <f t="shared" si="1"/>
        <v>1.0485669999999998</v>
      </c>
      <c r="S51" s="324"/>
      <c r="T51" s="324"/>
      <c r="U51" s="324"/>
      <c r="V51" s="324"/>
      <c r="W51" s="324"/>
      <c r="X51" s="324"/>
      <c r="Y51" s="324"/>
      <c r="Z51" s="324"/>
      <c r="AA51" s="324"/>
      <c r="AB51" s="324"/>
      <c r="AC51" s="324"/>
      <c r="AD51" s="324"/>
      <c r="AE51" s="324"/>
      <c r="AF51" s="324"/>
      <c r="AG51" s="324"/>
      <c r="AH51" s="324"/>
      <c r="AI51" s="324"/>
      <c r="AJ51" s="324"/>
      <c r="AK51" s="324"/>
      <c r="AL51" s="324"/>
      <c r="AM51" s="324"/>
      <c r="AN51" s="324"/>
      <c r="AO51" s="324"/>
      <c r="AP51" s="324"/>
      <c r="AQ51" s="324"/>
      <c r="AR51" s="324"/>
      <c r="AS51" s="324"/>
      <c r="AT51" s="324"/>
      <c r="AU51" s="324"/>
      <c r="AV51" s="324"/>
      <c r="AW51" s="324"/>
      <c r="AX51" s="324"/>
      <c r="AY51" s="324"/>
      <c r="AZ51" s="324"/>
      <c r="BA51" s="324"/>
      <c r="BB51" s="324"/>
      <c r="BC51" s="324"/>
      <c r="BD51" s="324"/>
      <c r="BE51" s="324"/>
      <c r="BF51" s="324"/>
      <c r="BG51" s="324"/>
      <c r="BH51" s="324"/>
      <c r="BI51" s="324"/>
      <c r="BJ51" s="324"/>
      <c r="BK51" s="324"/>
      <c r="BL51" s="324"/>
      <c r="BM51" s="324"/>
      <c r="BN51" s="324"/>
      <c r="BO51" s="324"/>
      <c r="BP51" s="324"/>
      <c r="BQ51" s="324"/>
      <c r="BR51" s="324"/>
      <c r="BS51" s="324"/>
      <c r="BT51" s="324"/>
      <c r="BU51" s="324"/>
      <c r="BV51" s="324"/>
      <c r="BW51" s="324"/>
      <c r="BX51" s="324"/>
      <c r="BY51" s="324"/>
      <c r="BZ51" s="324"/>
      <c r="CA51" s="324"/>
      <c r="CB51" s="324"/>
      <c r="CC51" s="324"/>
      <c r="CD51" s="324"/>
      <c r="CE51" s="324"/>
      <c r="CF51" s="324"/>
      <c r="CG51" s="324"/>
      <c r="CH51" s="324"/>
      <c r="CI51" s="324"/>
      <c r="CJ51" s="324"/>
      <c r="CK51" s="324"/>
      <c r="CL51" s="324"/>
      <c r="CM51" s="324"/>
      <c r="CN51" s="324"/>
      <c r="CO51" s="324"/>
      <c r="CP51" s="324"/>
      <c r="CQ51" s="324"/>
      <c r="CR51" s="324"/>
      <c r="CS51" s="324"/>
      <c r="CT51" s="324"/>
      <c r="CU51" s="324"/>
      <c r="CV51" s="324"/>
      <c r="CW51" s="324"/>
      <c r="CX51" s="324"/>
      <c r="CY51" s="324"/>
      <c r="CZ51" s="324"/>
      <c r="DA51" s="324"/>
      <c r="DB51" s="324"/>
      <c r="DC51" s="324"/>
      <c r="DD51" s="324"/>
      <c r="DE51" s="324"/>
      <c r="DF51" s="324"/>
      <c r="DG51" s="324"/>
      <c r="DH51" s="324"/>
      <c r="DI51" s="324"/>
      <c r="DJ51" s="324"/>
      <c r="DK51" s="324"/>
      <c r="DL51" s="324"/>
      <c r="DM51" s="324"/>
      <c r="DN51" s="324"/>
      <c r="DO51" s="324"/>
      <c r="DP51" s="324"/>
      <c r="DQ51" s="324"/>
      <c r="DR51" s="324"/>
      <c r="DS51" s="324"/>
      <c r="DT51" s="324"/>
      <c r="DU51" s="324"/>
      <c r="DV51" s="324"/>
      <c r="DW51" s="324"/>
      <c r="DX51" s="324"/>
      <c r="DY51" s="324"/>
      <c r="DZ51" s="324"/>
      <c r="EA51" s="324"/>
      <c r="EB51" s="324"/>
      <c r="EC51" s="324"/>
      <c r="ED51" s="324"/>
      <c r="EE51" s="324"/>
      <c r="EF51" s="324"/>
      <c r="EG51" s="324"/>
      <c r="EH51" s="324"/>
      <c r="EI51" s="324"/>
      <c r="EJ51" s="324"/>
      <c r="EK51" s="324"/>
      <c r="EL51" s="324"/>
      <c r="EM51" s="324"/>
      <c r="EN51" s="324"/>
      <c r="EO51" s="324"/>
      <c r="EP51" s="324"/>
      <c r="EQ51" s="324"/>
      <c r="ER51" s="324"/>
      <c r="ES51" s="324"/>
      <c r="ET51" s="324"/>
      <c r="EU51" s="324"/>
      <c r="EV51" s="324"/>
      <c r="EW51" s="324"/>
      <c r="EX51" s="324"/>
      <c r="EY51" s="324"/>
      <c r="EZ51" s="324"/>
      <c r="FA51" s="324"/>
      <c r="FB51" s="324"/>
      <c r="FC51" s="324"/>
      <c r="FD51" s="324"/>
      <c r="FE51" s="324"/>
      <c r="FF51" s="324"/>
      <c r="FG51" s="324"/>
      <c r="FH51" s="324"/>
      <c r="FI51" s="324"/>
      <c r="FJ51" s="324"/>
      <c r="FK51" s="324"/>
      <c r="FL51" s="324"/>
      <c r="FM51" s="324"/>
      <c r="FN51" s="324"/>
      <c r="FO51" s="324"/>
      <c r="FP51" s="324"/>
      <c r="FQ51" s="324"/>
      <c r="FR51" s="324"/>
      <c r="FS51" s="324"/>
      <c r="FT51" s="324"/>
      <c r="FU51" s="324"/>
      <c r="FV51" s="324"/>
      <c r="FW51" s="324"/>
      <c r="FX51" s="324"/>
      <c r="FY51" s="324"/>
      <c r="FZ51" s="324"/>
      <c r="GA51" s="324"/>
      <c r="GB51" s="324"/>
      <c r="GC51" s="324"/>
      <c r="GD51" s="324"/>
      <c r="GE51" s="324"/>
      <c r="GF51" s="324"/>
      <c r="GG51" s="324"/>
      <c r="GH51" s="324"/>
      <c r="GI51" s="324"/>
      <c r="GJ51" s="324"/>
      <c r="GK51" s="324"/>
      <c r="GL51" s="324"/>
      <c r="GM51" s="324"/>
      <c r="GN51" s="324"/>
      <c r="GO51" s="324"/>
      <c r="GP51" s="324"/>
      <c r="GQ51" s="324"/>
      <c r="GR51" s="324"/>
      <c r="GS51" s="324"/>
      <c r="GT51" s="324"/>
      <c r="GU51" s="324"/>
      <c r="GV51" s="324"/>
      <c r="GW51" s="324"/>
      <c r="GX51" s="324"/>
      <c r="GY51" s="324"/>
      <c r="GZ51" s="324"/>
      <c r="HA51" s="324"/>
      <c r="HB51" s="324"/>
      <c r="HC51" s="324"/>
      <c r="HD51" s="324"/>
      <c r="HE51" s="324"/>
      <c r="HF51" s="324"/>
      <c r="HG51" s="324"/>
      <c r="HH51" s="324"/>
      <c r="HI51" s="324"/>
      <c r="HJ51" s="324"/>
      <c r="HK51" s="324"/>
      <c r="HL51" s="324"/>
      <c r="HM51" s="324"/>
      <c r="HN51" s="324"/>
      <c r="HO51" s="324"/>
      <c r="HP51" s="324"/>
      <c r="HQ51" s="324"/>
      <c r="HR51" s="324"/>
      <c r="HS51" s="324"/>
      <c r="HT51" s="324"/>
      <c r="HU51" s="324"/>
      <c r="HV51" s="324"/>
      <c r="HW51" s="324"/>
      <c r="HX51" s="324"/>
      <c r="HY51" s="324"/>
      <c r="HZ51" s="324"/>
      <c r="IA51" s="324"/>
      <c r="IB51" s="324"/>
      <c r="IC51" s="324"/>
      <c r="ID51" s="324"/>
      <c r="IE51" s="324"/>
      <c r="IF51" s="324"/>
      <c r="IG51" s="324"/>
      <c r="IH51" s="324"/>
      <c r="II51" s="324"/>
      <c r="IJ51" s="324"/>
      <c r="IK51" s="324"/>
      <c r="IL51" s="324"/>
      <c r="IM51" s="324"/>
    </row>
    <row r="52" spans="1:247" x14ac:dyDescent="0.35">
      <c r="A52" s="356">
        <v>1776</v>
      </c>
      <c r="B52" s="357" t="s">
        <v>62</v>
      </c>
      <c r="C52" s="172" t="s">
        <v>10</v>
      </c>
      <c r="D52" s="358" t="s">
        <v>2051</v>
      </c>
      <c r="E52" s="336"/>
      <c r="F52" s="331">
        <f t="shared" si="0"/>
        <v>1.0209999999999999</v>
      </c>
      <c r="G52" s="337">
        <f t="shared" si="6"/>
        <v>1.0269999999999999</v>
      </c>
      <c r="H52" s="336"/>
      <c r="I52" s="338"/>
      <c r="J52" s="338"/>
      <c r="K52" s="338"/>
      <c r="L52" s="338"/>
      <c r="M52" s="338"/>
      <c r="N52" s="337"/>
      <c r="O52" s="339"/>
      <c r="P52" s="336">
        <f>+$P$3</f>
        <v>1.032</v>
      </c>
      <c r="Q52" s="337"/>
      <c r="R52" s="340">
        <f t="shared" si="1"/>
        <v>1.0821211439999998</v>
      </c>
      <c r="S52" s="324"/>
      <c r="T52" s="324"/>
      <c r="U52" s="324"/>
      <c r="V52" s="324"/>
      <c r="W52" s="324"/>
      <c r="X52" s="324"/>
      <c r="Y52" s="324"/>
      <c r="Z52" s="324"/>
      <c r="AA52" s="324"/>
      <c r="AB52" s="324"/>
      <c r="AC52" s="324"/>
      <c r="AD52" s="324"/>
      <c r="AE52" s="324"/>
      <c r="AF52" s="324"/>
      <c r="AG52" s="324"/>
      <c r="AH52" s="324"/>
      <c r="AI52" s="324"/>
      <c r="AJ52" s="324"/>
      <c r="AK52" s="324"/>
      <c r="AL52" s="324"/>
      <c r="AM52" s="324"/>
      <c r="AN52" s="324"/>
      <c r="AO52" s="324"/>
      <c r="AP52" s="324"/>
      <c r="AQ52" s="324"/>
      <c r="AR52" s="324"/>
      <c r="AS52" s="324"/>
      <c r="AT52" s="324"/>
      <c r="AU52" s="324"/>
      <c r="AV52" s="324"/>
      <c r="AW52" s="324"/>
      <c r="AX52" s="324"/>
      <c r="AY52" s="324"/>
      <c r="AZ52" s="324"/>
      <c r="BA52" s="324"/>
      <c r="BB52" s="324"/>
      <c r="BC52" s="324"/>
      <c r="BD52" s="324"/>
      <c r="BE52" s="324"/>
      <c r="BF52" s="324"/>
      <c r="BG52" s="324"/>
      <c r="BH52" s="324"/>
      <c r="BI52" s="324"/>
      <c r="BJ52" s="324"/>
      <c r="BK52" s="324"/>
      <c r="BL52" s="324"/>
      <c r="BM52" s="324"/>
      <c r="BN52" s="324"/>
      <c r="BO52" s="324"/>
      <c r="BP52" s="324"/>
      <c r="BQ52" s="324"/>
      <c r="BR52" s="324"/>
      <c r="BS52" s="324"/>
      <c r="BT52" s="324"/>
      <c r="BU52" s="324"/>
      <c r="BV52" s="324"/>
      <c r="BW52" s="324"/>
      <c r="BX52" s="324"/>
      <c r="BY52" s="324"/>
      <c r="BZ52" s="324"/>
      <c r="CA52" s="324"/>
      <c r="CB52" s="324"/>
      <c r="CC52" s="324"/>
      <c r="CD52" s="324"/>
      <c r="CE52" s="324"/>
      <c r="CF52" s="324"/>
      <c r="CG52" s="324"/>
      <c r="CH52" s="324"/>
      <c r="CI52" s="324"/>
      <c r="CJ52" s="324"/>
      <c r="CK52" s="324"/>
      <c r="CL52" s="324"/>
      <c r="CM52" s="324"/>
      <c r="CN52" s="324"/>
      <c r="CO52" s="324"/>
      <c r="CP52" s="324"/>
      <c r="CQ52" s="324"/>
      <c r="CR52" s="324"/>
      <c r="CS52" s="324"/>
      <c r="CT52" s="324"/>
      <c r="CU52" s="324"/>
      <c r="CV52" s="324"/>
      <c r="CW52" s="324"/>
      <c r="CX52" s="324"/>
      <c r="CY52" s="324"/>
      <c r="CZ52" s="324"/>
      <c r="DA52" s="324"/>
      <c r="DB52" s="324"/>
      <c r="DC52" s="324"/>
      <c r="DD52" s="324"/>
      <c r="DE52" s="324"/>
      <c r="DF52" s="324"/>
      <c r="DG52" s="324"/>
      <c r="DH52" s="324"/>
      <c r="DI52" s="324"/>
      <c r="DJ52" s="324"/>
      <c r="DK52" s="324"/>
      <c r="DL52" s="324"/>
      <c r="DM52" s="324"/>
      <c r="DN52" s="324"/>
      <c r="DO52" s="324"/>
      <c r="DP52" s="324"/>
      <c r="DQ52" s="324"/>
      <c r="DR52" s="324"/>
      <c r="DS52" s="324"/>
      <c r="DT52" s="324"/>
      <c r="DU52" s="324"/>
      <c r="DV52" s="324"/>
      <c r="DW52" s="324"/>
      <c r="DX52" s="324"/>
      <c r="DY52" s="324"/>
      <c r="DZ52" s="324"/>
      <c r="EA52" s="324"/>
      <c r="EB52" s="324"/>
      <c r="EC52" s="324"/>
      <c r="ED52" s="324"/>
      <c r="EE52" s="324"/>
      <c r="EF52" s="324"/>
      <c r="EG52" s="324"/>
      <c r="EH52" s="324"/>
      <c r="EI52" s="324"/>
      <c r="EJ52" s="324"/>
      <c r="EK52" s="324"/>
      <c r="EL52" s="324"/>
      <c r="EM52" s="324"/>
      <c r="EN52" s="324"/>
      <c r="EO52" s="324"/>
      <c r="EP52" s="324"/>
      <c r="EQ52" s="324"/>
      <c r="ER52" s="324"/>
      <c r="ES52" s="324"/>
      <c r="ET52" s="324"/>
      <c r="EU52" s="324"/>
      <c r="EV52" s="324"/>
      <c r="EW52" s="324"/>
      <c r="EX52" s="324"/>
      <c r="EY52" s="324"/>
      <c r="EZ52" s="324"/>
      <c r="FA52" s="324"/>
      <c r="FB52" s="324"/>
      <c r="FC52" s="324"/>
      <c r="FD52" s="324"/>
      <c r="FE52" s="324"/>
      <c r="FF52" s="324"/>
      <c r="FG52" s="324"/>
      <c r="FH52" s="324"/>
      <c r="FI52" s="324"/>
      <c r="FJ52" s="324"/>
      <c r="FK52" s="324"/>
      <c r="FL52" s="324"/>
      <c r="FM52" s="324"/>
      <c r="FN52" s="324"/>
      <c r="FO52" s="324"/>
      <c r="FP52" s="324"/>
      <c r="FQ52" s="324"/>
      <c r="FR52" s="324"/>
      <c r="FS52" s="324"/>
      <c r="FT52" s="324"/>
      <c r="FU52" s="324"/>
      <c r="FV52" s="324"/>
      <c r="FW52" s="324"/>
      <c r="FX52" s="324"/>
      <c r="FY52" s="324"/>
      <c r="FZ52" s="324"/>
      <c r="GA52" s="324"/>
      <c r="GB52" s="324"/>
      <c r="GC52" s="324"/>
      <c r="GD52" s="324"/>
      <c r="GE52" s="324"/>
      <c r="GF52" s="324"/>
      <c r="GG52" s="324"/>
      <c r="GH52" s="324"/>
      <c r="GI52" s="324"/>
      <c r="GJ52" s="324"/>
      <c r="GK52" s="324"/>
      <c r="GL52" s="324"/>
      <c r="GM52" s="324"/>
      <c r="GN52" s="324"/>
      <c r="GO52" s="324"/>
      <c r="GP52" s="324"/>
      <c r="GQ52" s="324"/>
      <c r="GR52" s="324"/>
      <c r="GS52" s="324"/>
      <c r="GT52" s="324"/>
      <c r="GU52" s="324"/>
      <c r="GV52" s="324"/>
      <c r="GW52" s="324"/>
      <c r="GX52" s="324"/>
      <c r="GY52" s="324"/>
      <c r="GZ52" s="324"/>
      <c r="HA52" s="324"/>
      <c r="HB52" s="324"/>
      <c r="HC52" s="324"/>
      <c r="HD52" s="324"/>
      <c r="HE52" s="324"/>
      <c r="HF52" s="324"/>
      <c r="HG52" s="324"/>
      <c r="HH52" s="324"/>
      <c r="HI52" s="324"/>
      <c r="HJ52" s="324"/>
      <c r="HK52" s="324"/>
      <c r="HL52" s="324"/>
      <c r="HM52" s="324"/>
      <c r="HN52" s="324"/>
      <c r="HO52" s="324"/>
      <c r="HP52" s="324"/>
      <c r="HQ52" s="324"/>
      <c r="HR52" s="324"/>
      <c r="HS52" s="324"/>
      <c r="HT52" s="324"/>
      <c r="HU52" s="324"/>
      <c r="HV52" s="324"/>
      <c r="HW52" s="324"/>
      <c r="HX52" s="324"/>
      <c r="HY52" s="324"/>
      <c r="HZ52" s="324"/>
      <c r="IA52" s="324"/>
      <c r="IB52" s="324"/>
      <c r="IC52" s="324"/>
      <c r="ID52" s="324"/>
      <c r="IE52" s="324"/>
      <c r="IF52" s="324"/>
      <c r="IG52" s="324"/>
      <c r="IH52" s="324"/>
      <c r="II52" s="324"/>
      <c r="IJ52" s="324"/>
      <c r="IK52" s="324"/>
      <c r="IL52" s="324"/>
      <c r="IM52" s="324"/>
    </row>
    <row r="53" spans="1:247" x14ac:dyDescent="0.35">
      <c r="A53" s="356">
        <v>1777</v>
      </c>
      <c r="B53" s="357" t="s">
        <v>63</v>
      </c>
      <c r="C53" s="172" t="s">
        <v>37</v>
      </c>
      <c r="D53" s="358" t="s">
        <v>2051</v>
      </c>
      <c r="E53" s="336"/>
      <c r="F53" s="331">
        <f t="shared" si="0"/>
        <v>1.0209999999999999</v>
      </c>
      <c r="G53" s="337">
        <f t="shared" si="6"/>
        <v>1.0269999999999999</v>
      </c>
      <c r="H53" s="336"/>
      <c r="I53" s="338"/>
      <c r="J53" s="338"/>
      <c r="K53" s="338"/>
      <c r="L53" s="338"/>
      <c r="M53" s="338"/>
      <c r="N53" s="337"/>
      <c r="O53" s="339"/>
      <c r="P53" s="336"/>
      <c r="Q53" s="337"/>
      <c r="R53" s="340">
        <f t="shared" si="1"/>
        <v>1.0485669999999998</v>
      </c>
      <c r="S53" s="324"/>
      <c r="T53" s="324"/>
      <c r="U53" s="324"/>
      <c r="V53" s="324"/>
      <c r="W53" s="324"/>
      <c r="X53" s="324"/>
      <c r="Y53" s="324"/>
      <c r="Z53" s="324"/>
      <c r="AA53" s="324"/>
      <c r="AB53" s="324"/>
      <c r="AC53" s="324"/>
      <c r="AD53" s="324"/>
      <c r="AE53" s="324"/>
      <c r="AF53" s="324"/>
      <c r="AG53" s="324"/>
      <c r="AH53" s="324"/>
      <c r="AI53" s="324"/>
      <c r="AJ53" s="324"/>
      <c r="AK53" s="324"/>
      <c r="AL53" s="324"/>
      <c r="AM53" s="324"/>
      <c r="AN53" s="324"/>
      <c r="AO53" s="324"/>
      <c r="AP53" s="324"/>
      <c r="AQ53" s="324"/>
      <c r="AR53" s="324"/>
      <c r="AS53" s="324"/>
      <c r="AT53" s="324"/>
      <c r="AU53" s="324"/>
      <c r="AV53" s="324"/>
      <c r="AW53" s="324"/>
      <c r="AX53" s="324"/>
      <c r="AY53" s="324"/>
      <c r="AZ53" s="324"/>
      <c r="BA53" s="324"/>
      <c r="BB53" s="324"/>
      <c r="BC53" s="324"/>
      <c r="BD53" s="324"/>
      <c r="BE53" s="324"/>
      <c r="BF53" s="324"/>
      <c r="BG53" s="324"/>
      <c r="BH53" s="324"/>
      <c r="BI53" s="324"/>
      <c r="BJ53" s="324"/>
      <c r="BK53" s="324"/>
      <c r="BL53" s="324"/>
      <c r="BM53" s="324"/>
      <c r="BN53" s="324"/>
      <c r="BO53" s="324"/>
      <c r="BP53" s="324"/>
      <c r="BQ53" s="324"/>
      <c r="BR53" s="324"/>
      <c r="BS53" s="324"/>
      <c r="BT53" s="324"/>
      <c r="BU53" s="324"/>
      <c r="BV53" s="324"/>
      <c r="BW53" s="324"/>
      <c r="BX53" s="324"/>
      <c r="BY53" s="324"/>
      <c r="BZ53" s="324"/>
      <c r="CA53" s="324"/>
      <c r="CB53" s="324"/>
      <c r="CC53" s="324"/>
      <c r="CD53" s="324"/>
      <c r="CE53" s="324"/>
      <c r="CF53" s="324"/>
      <c r="CG53" s="324"/>
      <c r="CH53" s="324"/>
      <c r="CI53" s="324"/>
      <c r="CJ53" s="324"/>
      <c r="CK53" s="324"/>
      <c r="CL53" s="324"/>
      <c r="CM53" s="324"/>
      <c r="CN53" s="324"/>
      <c r="CO53" s="324"/>
      <c r="CP53" s="324"/>
      <c r="CQ53" s="324"/>
      <c r="CR53" s="324"/>
      <c r="CS53" s="324"/>
      <c r="CT53" s="324"/>
      <c r="CU53" s="324"/>
      <c r="CV53" s="324"/>
      <c r="CW53" s="324"/>
      <c r="CX53" s="324"/>
      <c r="CY53" s="324"/>
      <c r="CZ53" s="324"/>
      <c r="DA53" s="324"/>
      <c r="DB53" s="324"/>
      <c r="DC53" s="324"/>
      <c r="DD53" s="324"/>
      <c r="DE53" s="324"/>
      <c r="DF53" s="324"/>
      <c r="DG53" s="324"/>
      <c r="DH53" s="324"/>
      <c r="DI53" s="324"/>
      <c r="DJ53" s="324"/>
      <c r="DK53" s="324"/>
      <c r="DL53" s="324"/>
      <c r="DM53" s="324"/>
      <c r="DN53" s="324"/>
      <c r="DO53" s="324"/>
      <c r="DP53" s="324"/>
      <c r="DQ53" s="324"/>
      <c r="DR53" s="324"/>
      <c r="DS53" s="324"/>
      <c r="DT53" s="324"/>
      <c r="DU53" s="324"/>
      <c r="DV53" s="324"/>
      <c r="DW53" s="324"/>
      <c r="DX53" s="324"/>
      <c r="DY53" s="324"/>
      <c r="DZ53" s="324"/>
      <c r="EA53" s="324"/>
      <c r="EB53" s="324"/>
      <c r="EC53" s="324"/>
      <c r="ED53" s="324"/>
      <c r="EE53" s="324"/>
      <c r="EF53" s="324"/>
      <c r="EG53" s="324"/>
      <c r="EH53" s="324"/>
      <c r="EI53" s="324"/>
      <c r="EJ53" s="324"/>
      <c r="EK53" s="324"/>
      <c r="EL53" s="324"/>
      <c r="EM53" s="324"/>
      <c r="EN53" s="324"/>
      <c r="EO53" s="324"/>
      <c r="EP53" s="324"/>
      <c r="EQ53" s="324"/>
      <c r="ER53" s="324"/>
      <c r="ES53" s="324"/>
      <c r="ET53" s="324"/>
      <c r="EU53" s="324"/>
      <c r="EV53" s="324"/>
      <c r="EW53" s="324"/>
      <c r="EX53" s="324"/>
      <c r="EY53" s="324"/>
      <c r="EZ53" s="324"/>
      <c r="FA53" s="324"/>
      <c r="FB53" s="324"/>
      <c r="FC53" s="324"/>
      <c r="FD53" s="324"/>
      <c r="FE53" s="324"/>
      <c r="FF53" s="324"/>
      <c r="FG53" s="324"/>
      <c r="FH53" s="324"/>
      <c r="FI53" s="324"/>
      <c r="FJ53" s="324"/>
      <c r="FK53" s="324"/>
      <c r="FL53" s="324"/>
      <c r="FM53" s="324"/>
      <c r="FN53" s="324"/>
      <c r="FO53" s="324"/>
      <c r="FP53" s="324"/>
      <c r="FQ53" s="324"/>
      <c r="FR53" s="324"/>
      <c r="FS53" s="324"/>
      <c r="FT53" s="324"/>
      <c r="FU53" s="324"/>
      <c r="FV53" s="324"/>
      <c r="FW53" s="324"/>
      <c r="FX53" s="324"/>
      <c r="FY53" s="324"/>
      <c r="FZ53" s="324"/>
      <c r="GA53" s="324"/>
      <c r="GB53" s="324"/>
      <c r="GC53" s="324"/>
      <c r="GD53" s="324"/>
      <c r="GE53" s="324"/>
      <c r="GF53" s="324"/>
      <c r="GG53" s="324"/>
      <c r="GH53" s="324"/>
      <c r="GI53" s="324"/>
      <c r="GJ53" s="324"/>
      <c r="GK53" s="324"/>
      <c r="GL53" s="324"/>
      <c r="GM53" s="324"/>
      <c r="GN53" s="324"/>
      <c r="GO53" s="324"/>
      <c r="GP53" s="324"/>
      <c r="GQ53" s="324"/>
      <c r="GR53" s="324"/>
      <c r="GS53" s="324"/>
      <c r="GT53" s="324"/>
      <c r="GU53" s="324"/>
      <c r="GV53" s="324"/>
      <c r="GW53" s="324"/>
      <c r="GX53" s="324"/>
      <c r="GY53" s="324"/>
      <c r="GZ53" s="324"/>
      <c r="HA53" s="324"/>
      <c r="HB53" s="324"/>
      <c r="HC53" s="324"/>
      <c r="HD53" s="324"/>
      <c r="HE53" s="324"/>
      <c r="HF53" s="324"/>
      <c r="HG53" s="324"/>
      <c r="HH53" s="324"/>
      <c r="HI53" s="324"/>
      <c r="HJ53" s="324"/>
      <c r="HK53" s="324"/>
      <c r="HL53" s="324"/>
      <c r="HM53" s="324"/>
      <c r="HN53" s="324"/>
      <c r="HO53" s="324"/>
      <c r="HP53" s="324"/>
      <c r="HQ53" s="324"/>
      <c r="HR53" s="324"/>
      <c r="HS53" s="324"/>
      <c r="HT53" s="324"/>
      <c r="HU53" s="324"/>
      <c r="HV53" s="324"/>
      <c r="HW53" s="324"/>
      <c r="HX53" s="324"/>
      <c r="HY53" s="324"/>
      <c r="HZ53" s="324"/>
      <c r="IA53" s="324"/>
      <c r="IB53" s="324"/>
      <c r="IC53" s="324"/>
      <c r="ID53" s="324"/>
      <c r="IE53" s="324"/>
      <c r="IF53" s="324"/>
      <c r="IG53" s="324"/>
      <c r="IH53" s="324"/>
      <c r="II53" s="324"/>
      <c r="IJ53" s="324"/>
      <c r="IK53" s="324"/>
      <c r="IL53" s="324"/>
      <c r="IM53" s="324"/>
    </row>
    <row r="54" spans="1:247" x14ac:dyDescent="0.35">
      <c r="A54" s="356">
        <v>1781</v>
      </c>
      <c r="B54" s="357" t="s">
        <v>64</v>
      </c>
      <c r="C54" s="172" t="s">
        <v>37</v>
      </c>
      <c r="D54" s="358" t="s">
        <v>2051</v>
      </c>
      <c r="E54" s="336"/>
      <c r="F54" s="331">
        <f t="shared" si="0"/>
        <v>1.0209999999999999</v>
      </c>
      <c r="G54" s="337">
        <f t="shared" si="6"/>
        <v>1.0269999999999999</v>
      </c>
      <c r="H54" s="336"/>
      <c r="I54" s="338"/>
      <c r="J54" s="338"/>
      <c r="K54" s="338"/>
      <c r="L54" s="338"/>
      <c r="M54" s="338"/>
      <c r="N54" s="337"/>
      <c r="O54" s="339"/>
      <c r="P54" s="336"/>
      <c r="Q54" s="337"/>
      <c r="R54" s="340">
        <f t="shared" si="1"/>
        <v>1.0485669999999998</v>
      </c>
      <c r="S54" s="324"/>
      <c r="T54" s="324"/>
      <c r="U54" s="324"/>
      <c r="V54" s="324"/>
      <c r="W54" s="324"/>
      <c r="X54" s="324"/>
      <c r="Y54" s="324"/>
      <c r="Z54" s="324"/>
      <c r="AA54" s="324"/>
      <c r="AB54" s="324"/>
      <c r="AC54" s="324"/>
      <c r="AD54" s="324"/>
      <c r="AE54" s="324"/>
      <c r="AF54" s="324"/>
      <c r="AG54" s="324"/>
      <c r="AH54" s="324"/>
      <c r="AI54" s="324"/>
      <c r="AJ54" s="324"/>
      <c r="AK54" s="324"/>
      <c r="AL54" s="324"/>
      <c r="AM54" s="324"/>
      <c r="AN54" s="324"/>
      <c r="AO54" s="324"/>
      <c r="AP54" s="324"/>
      <c r="AQ54" s="324"/>
      <c r="AR54" s="324"/>
      <c r="AS54" s="324"/>
      <c r="AT54" s="324"/>
      <c r="AU54" s="324"/>
      <c r="AV54" s="324"/>
      <c r="AW54" s="324"/>
      <c r="AX54" s="324"/>
      <c r="AY54" s="324"/>
      <c r="AZ54" s="324"/>
      <c r="BA54" s="324"/>
      <c r="BB54" s="324"/>
      <c r="BC54" s="324"/>
      <c r="BD54" s="324"/>
      <c r="BE54" s="324"/>
      <c r="BF54" s="324"/>
      <c r="BG54" s="324"/>
      <c r="BH54" s="324"/>
      <c r="BI54" s="324"/>
      <c r="BJ54" s="324"/>
      <c r="BK54" s="324"/>
      <c r="BL54" s="324"/>
      <c r="BM54" s="324"/>
      <c r="BN54" s="324"/>
      <c r="BO54" s="324"/>
      <c r="BP54" s="324"/>
      <c r="BQ54" s="324"/>
      <c r="BR54" s="324"/>
      <c r="BS54" s="324"/>
      <c r="BT54" s="324"/>
      <c r="BU54" s="324"/>
      <c r="BV54" s="324"/>
      <c r="BW54" s="324"/>
      <c r="BX54" s="324"/>
      <c r="BY54" s="324"/>
      <c r="BZ54" s="324"/>
      <c r="CA54" s="324"/>
      <c r="CB54" s="324"/>
      <c r="CC54" s="324"/>
      <c r="CD54" s="324"/>
      <c r="CE54" s="324"/>
      <c r="CF54" s="324"/>
      <c r="CG54" s="324"/>
      <c r="CH54" s="324"/>
      <c r="CI54" s="324"/>
      <c r="CJ54" s="324"/>
      <c r="CK54" s="324"/>
      <c r="CL54" s="324"/>
      <c r="CM54" s="324"/>
      <c r="CN54" s="324"/>
      <c r="CO54" s="324"/>
      <c r="CP54" s="324"/>
      <c r="CQ54" s="324"/>
      <c r="CR54" s="324"/>
      <c r="CS54" s="324"/>
      <c r="CT54" s="324"/>
      <c r="CU54" s="324"/>
      <c r="CV54" s="324"/>
      <c r="CW54" s="324"/>
      <c r="CX54" s="324"/>
      <c r="CY54" s="324"/>
      <c r="CZ54" s="324"/>
      <c r="DA54" s="324"/>
      <c r="DB54" s="324"/>
      <c r="DC54" s="324"/>
      <c r="DD54" s="324"/>
      <c r="DE54" s="324"/>
      <c r="DF54" s="324"/>
      <c r="DG54" s="324"/>
      <c r="DH54" s="324"/>
      <c r="DI54" s="324"/>
      <c r="DJ54" s="324"/>
      <c r="DK54" s="324"/>
      <c r="DL54" s="324"/>
      <c r="DM54" s="324"/>
      <c r="DN54" s="324"/>
      <c r="DO54" s="324"/>
      <c r="DP54" s="324"/>
      <c r="DQ54" s="324"/>
      <c r="DR54" s="324"/>
      <c r="DS54" s="324"/>
      <c r="DT54" s="324"/>
      <c r="DU54" s="324"/>
      <c r="DV54" s="324"/>
      <c r="DW54" s="324"/>
      <c r="DX54" s="324"/>
      <c r="DY54" s="324"/>
      <c r="DZ54" s="324"/>
      <c r="EA54" s="324"/>
      <c r="EB54" s="324"/>
      <c r="EC54" s="324"/>
      <c r="ED54" s="324"/>
      <c r="EE54" s="324"/>
      <c r="EF54" s="324"/>
      <c r="EG54" s="324"/>
      <c r="EH54" s="324"/>
      <c r="EI54" s="324"/>
      <c r="EJ54" s="324"/>
      <c r="EK54" s="324"/>
      <c r="EL54" s="324"/>
      <c r="EM54" s="324"/>
      <c r="EN54" s="324"/>
      <c r="EO54" s="324"/>
      <c r="EP54" s="324"/>
      <c r="EQ54" s="324"/>
      <c r="ER54" s="324"/>
      <c r="ES54" s="324"/>
      <c r="ET54" s="324"/>
      <c r="EU54" s="324"/>
      <c r="EV54" s="324"/>
      <c r="EW54" s="324"/>
      <c r="EX54" s="324"/>
      <c r="EY54" s="324"/>
      <c r="EZ54" s="324"/>
      <c r="FA54" s="324"/>
      <c r="FB54" s="324"/>
      <c r="FC54" s="324"/>
      <c r="FD54" s="324"/>
      <c r="FE54" s="324"/>
      <c r="FF54" s="324"/>
      <c r="FG54" s="324"/>
      <c r="FH54" s="324"/>
      <c r="FI54" s="324"/>
      <c r="FJ54" s="324"/>
      <c r="FK54" s="324"/>
      <c r="FL54" s="324"/>
      <c r="FM54" s="324"/>
      <c r="FN54" s="324"/>
      <c r="FO54" s="324"/>
      <c r="FP54" s="324"/>
      <c r="FQ54" s="324"/>
      <c r="FR54" s="324"/>
      <c r="FS54" s="324"/>
      <c r="FT54" s="324"/>
      <c r="FU54" s="324"/>
      <c r="FV54" s="324"/>
      <c r="FW54" s="324"/>
      <c r="FX54" s="324"/>
      <c r="FY54" s="324"/>
      <c r="FZ54" s="324"/>
      <c r="GA54" s="324"/>
      <c r="GB54" s="324"/>
      <c r="GC54" s="324"/>
      <c r="GD54" s="324"/>
      <c r="GE54" s="324"/>
      <c r="GF54" s="324"/>
      <c r="GG54" s="324"/>
      <c r="GH54" s="324"/>
      <c r="GI54" s="324"/>
      <c r="GJ54" s="324"/>
      <c r="GK54" s="324"/>
      <c r="GL54" s="324"/>
      <c r="GM54" s="324"/>
      <c r="GN54" s="324"/>
      <c r="GO54" s="324"/>
      <c r="GP54" s="324"/>
      <c r="GQ54" s="324"/>
      <c r="GR54" s="324"/>
      <c r="GS54" s="324"/>
      <c r="GT54" s="324"/>
      <c r="GU54" s="324"/>
      <c r="GV54" s="324"/>
      <c r="GW54" s="324"/>
      <c r="GX54" s="324"/>
      <c r="GY54" s="324"/>
      <c r="GZ54" s="324"/>
      <c r="HA54" s="324"/>
      <c r="HB54" s="324"/>
      <c r="HC54" s="324"/>
      <c r="HD54" s="324"/>
      <c r="HE54" s="324"/>
      <c r="HF54" s="324"/>
      <c r="HG54" s="324"/>
      <c r="HH54" s="324"/>
      <c r="HI54" s="324"/>
      <c r="HJ54" s="324"/>
      <c r="HK54" s="324"/>
      <c r="HL54" s="324"/>
      <c r="HM54" s="324"/>
      <c r="HN54" s="324"/>
      <c r="HO54" s="324"/>
      <c r="HP54" s="324"/>
      <c r="HQ54" s="324"/>
      <c r="HR54" s="324"/>
      <c r="HS54" s="324"/>
      <c r="HT54" s="324"/>
      <c r="HU54" s="324"/>
      <c r="HV54" s="324"/>
      <c r="HW54" s="324"/>
      <c r="HX54" s="324"/>
      <c r="HY54" s="324"/>
      <c r="HZ54" s="324"/>
      <c r="IA54" s="324"/>
      <c r="IB54" s="324"/>
      <c r="IC54" s="324"/>
      <c r="ID54" s="324"/>
      <c r="IE54" s="324"/>
      <c r="IF54" s="324"/>
      <c r="IG54" s="324"/>
      <c r="IH54" s="324"/>
      <c r="II54" s="324"/>
      <c r="IJ54" s="324"/>
      <c r="IK54" s="324"/>
      <c r="IL54" s="324"/>
      <c r="IM54" s="324"/>
    </row>
    <row r="55" spans="1:247" x14ac:dyDescent="0.35">
      <c r="A55" s="356">
        <v>1782</v>
      </c>
      <c r="B55" s="357" t="s">
        <v>65</v>
      </c>
      <c r="C55" s="172" t="s">
        <v>37</v>
      </c>
      <c r="D55" s="358" t="s">
        <v>2051</v>
      </c>
      <c r="E55" s="336"/>
      <c r="F55" s="331">
        <f t="shared" si="0"/>
        <v>1.0209999999999999</v>
      </c>
      <c r="G55" s="337">
        <f t="shared" si="6"/>
        <v>1.0269999999999999</v>
      </c>
      <c r="H55" s="336"/>
      <c r="I55" s="338"/>
      <c r="J55" s="338"/>
      <c r="K55" s="338"/>
      <c r="L55" s="338"/>
      <c r="M55" s="338"/>
      <c r="N55" s="337"/>
      <c r="O55" s="339"/>
      <c r="P55" s="336"/>
      <c r="Q55" s="337"/>
      <c r="R55" s="340">
        <f t="shared" si="1"/>
        <v>1.0485669999999998</v>
      </c>
      <c r="S55" s="324"/>
      <c r="T55" s="324"/>
      <c r="U55" s="324"/>
      <c r="V55" s="324"/>
      <c r="W55" s="324"/>
      <c r="X55" s="324"/>
      <c r="Y55" s="324"/>
      <c r="Z55" s="324"/>
      <c r="AA55" s="324"/>
      <c r="AB55" s="324"/>
      <c r="AC55" s="324"/>
      <c r="AD55" s="324"/>
      <c r="AE55" s="324"/>
      <c r="AF55" s="324"/>
      <c r="AG55" s="324"/>
      <c r="AH55" s="324"/>
      <c r="AI55" s="324"/>
      <c r="AJ55" s="324"/>
      <c r="AK55" s="324"/>
      <c r="AL55" s="324"/>
      <c r="AM55" s="324"/>
      <c r="AN55" s="324"/>
      <c r="AO55" s="324"/>
      <c r="AP55" s="324"/>
      <c r="AQ55" s="324"/>
      <c r="AR55" s="324"/>
      <c r="AS55" s="324"/>
      <c r="AT55" s="324"/>
      <c r="AU55" s="324"/>
      <c r="AV55" s="324"/>
      <c r="AW55" s="324"/>
      <c r="AX55" s="324"/>
      <c r="AY55" s="324"/>
      <c r="AZ55" s="324"/>
      <c r="BA55" s="324"/>
      <c r="BB55" s="324"/>
      <c r="BC55" s="324"/>
      <c r="BD55" s="324"/>
      <c r="BE55" s="324"/>
      <c r="BF55" s="324"/>
      <c r="BG55" s="324"/>
      <c r="BH55" s="324"/>
      <c r="BI55" s="324"/>
      <c r="BJ55" s="324"/>
      <c r="BK55" s="324"/>
      <c r="BL55" s="324"/>
      <c r="BM55" s="324"/>
      <c r="BN55" s="324"/>
      <c r="BO55" s="324"/>
      <c r="BP55" s="324"/>
      <c r="BQ55" s="324"/>
      <c r="BR55" s="324"/>
      <c r="BS55" s="324"/>
      <c r="BT55" s="324"/>
      <c r="BU55" s="324"/>
      <c r="BV55" s="324"/>
      <c r="BW55" s="324"/>
      <c r="BX55" s="324"/>
      <c r="BY55" s="324"/>
      <c r="BZ55" s="324"/>
      <c r="CA55" s="324"/>
      <c r="CB55" s="324"/>
      <c r="CC55" s="324"/>
      <c r="CD55" s="324"/>
      <c r="CE55" s="324"/>
      <c r="CF55" s="324"/>
      <c r="CG55" s="324"/>
      <c r="CH55" s="324"/>
      <c r="CI55" s="324"/>
      <c r="CJ55" s="324"/>
      <c r="CK55" s="324"/>
      <c r="CL55" s="324"/>
      <c r="CM55" s="324"/>
      <c r="CN55" s="324"/>
      <c r="CO55" s="324"/>
      <c r="CP55" s="324"/>
      <c r="CQ55" s="324"/>
      <c r="CR55" s="324"/>
      <c r="CS55" s="324"/>
      <c r="CT55" s="324"/>
      <c r="CU55" s="324"/>
      <c r="CV55" s="324"/>
      <c r="CW55" s="324"/>
      <c r="CX55" s="324"/>
      <c r="CY55" s="324"/>
      <c r="CZ55" s="324"/>
      <c r="DA55" s="324"/>
      <c r="DB55" s="324"/>
      <c r="DC55" s="324"/>
      <c r="DD55" s="324"/>
      <c r="DE55" s="324"/>
      <c r="DF55" s="324"/>
      <c r="DG55" s="324"/>
      <c r="DH55" s="324"/>
      <c r="DI55" s="324"/>
      <c r="DJ55" s="324"/>
      <c r="DK55" s="324"/>
      <c r="DL55" s="324"/>
      <c r="DM55" s="324"/>
      <c r="DN55" s="324"/>
      <c r="DO55" s="324"/>
      <c r="DP55" s="324"/>
      <c r="DQ55" s="324"/>
      <c r="DR55" s="324"/>
      <c r="DS55" s="324"/>
      <c r="DT55" s="324"/>
      <c r="DU55" s="324"/>
      <c r="DV55" s="324"/>
      <c r="DW55" s="324"/>
      <c r="DX55" s="324"/>
      <c r="DY55" s="324"/>
      <c r="DZ55" s="324"/>
      <c r="EA55" s="324"/>
      <c r="EB55" s="324"/>
      <c r="EC55" s="324"/>
      <c r="ED55" s="324"/>
      <c r="EE55" s="324"/>
      <c r="EF55" s="324"/>
      <c r="EG55" s="324"/>
      <c r="EH55" s="324"/>
      <c r="EI55" s="324"/>
      <c r="EJ55" s="324"/>
      <c r="EK55" s="324"/>
      <c r="EL55" s="324"/>
      <c r="EM55" s="324"/>
      <c r="EN55" s="324"/>
      <c r="EO55" s="324"/>
      <c r="EP55" s="324"/>
      <c r="EQ55" s="324"/>
      <c r="ER55" s="324"/>
      <c r="ES55" s="324"/>
      <c r="ET55" s="324"/>
      <c r="EU55" s="324"/>
      <c r="EV55" s="324"/>
      <c r="EW55" s="324"/>
      <c r="EX55" s="324"/>
      <c r="EY55" s="324"/>
      <c r="EZ55" s="324"/>
      <c r="FA55" s="324"/>
      <c r="FB55" s="324"/>
      <c r="FC55" s="324"/>
      <c r="FD55" s="324"/>
      <c r="FE55" s="324"/>
      <c r="FF55" s="324"/>
      <c r="FG55" s="324"/>
      <c r="FH55" s="324"/>
      <c r="FI55" s="324"/>
      <c r="FJ55" s="324"/>
      <c r="FK55" s="324"/>
      <c r="FL55" s="324"/>
      <c r="FM55" s="324"/>
      <c r="FN55" s="324"/>
      <c r="FO55" s="324"/>
      <c r="FP55" s="324"/>
      <c r="FQ55" s="324"/>
      <c r="FR55" s="324"/>
      <c r="FS55" s="324"/>
      <c r="FT55" s="324"/>
      <c r="FU55" s="324"/>
      <c r="FV55" s="324"/>
      <c r="FW55" s="324"/>
      <c r="FX55" s="324"/>
      <c r="FY55" s="324"/>
      <c r="FZ55" s="324"/>
      <c r="GA55" s="324"/>
      <c r="GB55" s="324"/>
      <c r="GC55" s="324"/>
      <c r="GD55" s="324"/>
      <c r="GE55" s="324"/>
      <c r="GF55" s="324"/>
      <c r="GG55" s="324"/>
      <c r="GH55" s="324"/>
      <c r="GI55" s="324"/>
      <c r="GJ55" s="324"/>
      <c r="GK55" s="324"/>
      <c r="GL55" s="324"/>
      <c r="GM55" s="324"/>
      <c r="GN55" s="324"/>
      <c r="GO55" s="324"/>
      <c r="GP55" s="324"/>
      <c r="GQ55" s="324"/>
      <c r="GR55" s="324"/>
      <c r="GS55" s="324"/>
      <c r="GT55" s="324"/>
      <c r="GU55" s="324"/>
      <c r="GV55" s="324"/>
      <c r="GW55" s="324"/>
      <c r="GX55" s="324"/>
      <c r="GY55" s="324"/>
      <c r="GZ55" s="324"/>
      <c r="HA55" s="324"/>
      <c r="HB55" s="324"/>
      <c r="HC55" s="324"/>
      <c r="HD55" s="324"/>
      <c r="HE55" s="324"/>
      <c r="HF55" s="324"/>
      <c r="HG55" s="324"/>
      <c r="HH55" s="324"/>
      <c r="HI55" s="324"/>
      <c r="HJ55" s="324"/>
      <c r="HK55" s="324"/>
      <c r="HL55" s="324"/>
      <c r="HM55" s="324"/>
      <c r="HN55" s="324"/>
      <c r="HO55" s="324"/>
      <c r="HP55" s="324"/>
      <c r="HQ55" s="324"/>
      <c r="HR55" s="324"/>
      <c r="HS55" s="324"/>
      <c r="HT55" s="324"/>
      <c r="HU55" s="324"/>
      <c r="HV55" s="324"/>
      <c r="HW55" s="324"/>
      <c r="HX55" s="324"/>
      <c r="HY55" s="324"/>
      <c r="HZ55" s="324"/>
      <c r="IA55" s="324"/>
      <c r="IB55" s="324"/>
      <c r="IC55" s="324"/>
      <c r="ID55" s="324"/>
      <c r="IE55" s="324"/>
      <c r="IF55" s="324"/>
      <c r="IG55" s="324"/>
      <c r="IH55" s="324"/>
      <c r="II55" s="324"/>
      <c r="IJ55" s="324"/>
      <c r="IK55" s="324"/>
      <c r="IL55" s="324"/>
      <c r="IM55" s="324"/>
    </row>
    <row r="56" spans="1:247" x14ac:dyDescent="0.35">
      <c r="A56" s="356">
        <v>1783</v>
      </c>
      <c r="B56" s="357" t="s">
        <v>66</v>
      </c>
      <c r="C56" s="172" t="s">
        <v>37</v>
      </c>
      <c r="D56" s="358" t="s">
        <v>2051</v>
      </c>
      <c r="E56" s="336"/>
      <c r="F56" s="331">
        <f t="shared" si="0"/>
        <v>1.0209999999999999</v>
      </c>
      <c r="G56" s="337">
        <f t="shared" si="6"/>
        <v>1.0269999999999999</v>
      </c>
      <c r="H56" s="336"/>
      <c r="I56" s="338"/>
      <c r="J56" s="338"/>
      <c r="K56" s="338"/>
      <c r="L56" s="338"/>
      <c r="M56" s="338"/>
      <c r="N56" s="337"/>
      <c r="O56" s="339"/>
      <c r="P56" s="336"/>
      <c r="Q56" s="337"/>
      <c r="R56" s="340">
        <f t="shared" si="1"/>
        <v>1.0485669999999998</v>
      </c>
      <c r="S56" s="324"/>
      <c r="T56" s="324"/>
      <c r="U56" s="324"/>
      <c r="V56" s="324"/>
      <c r="W56" s="324"/>
      <c r="X56" s="324"/>
      <c r="Y56" s="324"/>
      <c r="Z56" s="324"/>
      <c r="AA56" s="324"/>
      <c r="AB56" s="324"/>
      <c r="AC56" s="324"/>
      <c r="AD56" s="324"/>
      <c r="AE56" s="324"/>
      <c r="AF56" s="324"/>
      <c r="AG56" s="324"/>
      <c r="AH56" s="324"/>
      <c r="AI56" s="324"/>
      <c r="AJ56" s="324"/>
      <c r="AK56" s="324"/>
      <c r="AL56" s="324"/>
      <c r="AM56" s="324"/>
      <c r="AN56" s="324"/>
      <c r="AO56" s="324"/>
      <c r="AP56" s="324"/>
      <c r="AQ56" s="324"/>
      <c r="AR56" s="324"/>
      <c r="AS56" s="324"/>
      <c r="AT56" s="324"/>
      <c r="AU56" s="324"/>
      <c r="AV56" s="324"/>
      <c r="AW56" s="324"/>
      <c r="AX56" s="324"/>
      <c r="AY56" s="324"/>
      <c r="AZ56" s="324"/>
      <c r="BA56" s="324"/>
      <c r="BB56" s="324"/>
      <c r="BC56" s="324"/>
      <c r="BD56" s="324"/>
      <c r="BE56" s="324"/>
      <c r="BF56" s="324"/>
      <c r="BG56" s="324"/>
      <c r="BH56" s="324"/>
      <c r="BI56" s="324"/>
      <c r="BJ56" s="324"/>
      <c r="BK56" s="324"/>
      <c r="BL56" s="324"/>
      <c r="BM56" s="324"/>
      <c r="BN56" s="324"/>
      <c r="BO56" s="324"/>
      <c r="BP56" s="324"/>
      <c r="BQ56" s="324"/>
      <c r="BR56" s="324"/>
      <c r="BS56" s="324"/>
      <c r="BT56" s="324"/>
      <c r="BU56" s="324"/>
      <c r="BV56" s="324"/>
      <c r="BW56" s="324"/>
      <c r="BX56" s="324"/>
      <c r="BY56" s="324"/>
      <c r="BZ56" s="324"/>
      <c r="CA56" s="324"/>
      <c r="CB56" s="324"/>
      <c r="CC56" s="324"/>
      <c r="CD56" s="324"/>
      <c r="CE56" s="324"/>
      <c r="CF56" s="324"/>
      <c r="CG56" s="324"/>
      <c r="CH56" s="324"/>
      <c r="CI56" s="324"/>
      <c r="CJ56" s="324"/>
      <c r="CK56" s="324"/>
      <c r="CL56" s="324"/>
      <c r="CM56" s="324"/>
      <c r="CN56" s="324"/>
      <c r="CO56" s="324"/>
      <c r="CP56" s="324"/>
      <c r="CQ56" s="324"/>
      <c r="CR56" s="324"/>
      <c r="CS56" s="324"/>
      <c r="CT56" s="324"/>
      <c r="CU56" s="324"/>
      <c r="CV56" s="324"/>
      <c r="CW56" s="324"/>
      <c r="CX56" s="324"/>
      <c r="CY56" s="324"/>
      <c r="CZ56" s="324"/>
      <c r="DA56" s="324"/>
      <c r="DB56" s="324"/>
      <c r="DC56" s="324"/>
      <c r="DD56" s="324"/>
      <c r="DE56" s="324"/>
      <c r="DF56" s="324"/>
      <c r="DG56" s="324"/>
      <c r="DH56" s="324"/>
      <c r="DI56" s="324"/>
      <c r="DJ56" s="324"/>
      <c r="DK56" s="324"/>
      <c r="DL56" s="324"/>
      <c r="DM56" s="324"/>
      <c r="DN56" s="324"/>
      <c r="DO56" s="324"/>
      <c r="DP56" s="324"/>
      <c r="DQ56" s="324"/>
      <c r="DR56" s="324"/>
      <c r="DS56" s="324"/>
      <c r="DT56" s="324"/>
      <c r="DU56" s="324"/>
      <c r="DV56" s="324"/>
      <c r="DW56" s="324"/>
      <c r="DX56" s="324"/>
      <c r="DY56" s="324"/>
      <c r="DZ56" s="324"/>
      <c r="EA56" s="324"/>
      <c r="EB56" s="324"/>
      <c r="EC56" s="324"/>
      <c r="ED56" s="324"/>
      <c r="EE56" s="324"/>
      <c r="EF56" s="324"/>
      <c r="EG56" s="324"/>
      <c r="EH56" s="324"/>
      <c r="EI56" s="324"/>
      <c r="EJ56" s="324"/>
      <c r="EK56" s="324"/>
      <c r="EL56" s="324"/>
      <c r="EM56" s="324"/>
      <c r="EN56" s="324"/>
      <c r="EO56" s="324"/>
      <c r="EP56" s="324"/>
      <c r="EQ56" s="324"/>
      <c r="ER56" s="324"/>
      <c r="ES56" s="324"/>
      <c r="ET56" s="324"/>
      <c r="EU56" s="324"/>
      <c r="EV56" s="324"/>
      <c r="EW56" s="324"/>
      <c r="EX56" s="324"/>
      <c r="EY56" s="324"/>
      <c r="EZ56" s="324"/>
      <c r="FA56" s="324"/>
      <c r="FB56" s="324"/>
      <c r="FC56" s="324"/>
      <c r="FD56" s="324"/>
      <c r="FE56" s="324"/>
      <c r="FF56" s="324"/>
      <c r="FG56" s="324"/>
      <c r="FH56" s="324"/>
      <c r="FI56" s="324"/>
      <c r="FJ56" s="324"/>
      <c r="FK56" s="324"/>
      <c r="FL56" s="324"/>
      <c r="FM56" s="324"/>
      <c r="FN56" s="324"/>
      <c r="FO56" s="324"/>
      <c r="FP56" s="324"/>
      <c r="FQ56" s="324"/>
      <c r="FR56" s="324"/>
      <c r="FS56" s="324"/>
      <c r="FT56" s="324"/>
      <c r="FU56" s="324"/>
      <c r="FV56" s="324"/>
      <c r="FW56" s="324"/>
      <c r="FX56" s="324"/>
      <c r="FY56" s="324"/>
      <c r="FZ56" s="324"/>
      <c r="GA56" s="324"/>
      <c r="GB56" s="324"/>
      <c r="GC56" s="324"/>
      <c r="GD56" s="324"/>
      <c r="GE56" s="324"/>
      <c r="GF56" s="324"/>
      <c r="GG56" s="324"/>
      <c r="GH56" s="324"/>
      <c r="GI56" s="324"/>
      <c r="GJ56" s="324"/>
      <c r="GK56" s="324"/>
      <c r="GL56" s="324"/>
      <c r="GM56" s="324"/>
      <c r="GN56" s="324"/>
      <c r="GO56" s="324"/>
      <c r="GP56" s="324"/>
      <c r="GQ56" s="324"/>
      <c r="GR56" s="324"/>
      <c r="GS56" s="324"/>
      <c r="GT56" s="324"/>
      <c r="GU56" s="324"/>
      <c r="GV56" s="324"/>
      <c r="GW56" s="324"/>
      <c r="GX56" s="324"/>
      <c r="GY56" s="324"/>
      <c r="GZ56" s="324"/>
      <c r="HA56" s="324"/>
      <c r="HB56" s="324"/>
      <c r="HC56" s="324"/>
      <c r="HD56" s="324"/>
      <c r="HE56" s="324"/>
      <c r="HF56" s="324"/>
      <c r="HG56" s="324"/>
      <c r="HH56" s="324"/>
      <c r="HI56" s="324"/>
      <c r="HJ56" s="324"/>
      <c r="HK56" s="324"/>
      <c r="HL56" s="324"/>
      <c r="HM56" s="324"/>
      <c r="HN56" s="324"/>
      <c r="HO56" s="324"/>
      <c r="HP56" s="324"/>
      <c r="HQ56" s="324"/>
      <c r="HR56" s="324"/>
      <c r="HS56" s="324"/>
      <c r="HT56" s="324"/>
      <c r="HU56" s="324"/>
      <c r="HV56" s="324"/>
      <c r="HW56" s="324"/>
      <c r="HX56" s="324"/>
      <c r="HY56" s="324"/>
      <c r="HZ56" s="324"/>
      <c r="IA56" s="324"/>
      <c r="IB56" s="324"/>
      <c r="IC56" s="324"/>
      <c r="ID56" s="324"/>
      <c r="IE56" s="324"/>
      <c r="IF56" s="324"/>
      <c r="IG56" s="324"/>
      <c r="IH56" s="324"/>
      <c r="II56" s="324"/>
      <c r="IJ56" s="324"/>
      <c r="IK56" s="324"/>
      <c r="IL56" s="324"/>
      <c r="IM56" s="324"/>
    </row>
    <row r="57" spans="1:247" x14ac:dyDescent="0.35">
      <c r="A57" s="356">
        <v>1790</v>
      </c>
      <c r="B57" s="357" t="s">
        <v>67</v>
      </c>
      <c r="C57" s="172" t="s">
        <v>10</v>
      </c>
      <c r="D57" s="358" t="s">
        <v>2051</v>
      </c>
      <c r="E57" s="336"/>
      <c r="F57" s="331">
        <f t="shared" si="0"/>
        <v>1.0209999999999999</v>
      </c>
      <c r="G57" s="337">
        <f t="shared" si="6"/>
        <v>1.0269999999999999</v>
      </c>
      <c r="H57" s="336"/>
      <c r="I57" s="338"/>
      <c r="J57" s="338"/>
      <c r="K57" s="338"/>
      <c r="L57" s="338"/>
      <c r="M57" s="338"/>
      <c r="N57" s="337"/>
      <c r="O57" s="339"/>
      <c r="P57" s="336"/>
      <c r="Q57" s="337"/>
      <c r="R57" s="340">
        <f t="shared" si="1"/>
        <v>1.0485669999999998</v>
      </c>
      <c r="S57" s="324"/>
      <c r="T57" s="324"/>
      <c r="U57" s="324"/>
      <c r="V57" s="324"/>
      <c r="W57" s="324"/>
      <c r="X57" s="324"/>
      <c r="Y57" s="324"/>
      <c r="Z57" s="324"/>
      <c r="AA57" s="324"/>
      <c r="AB57" s="324"/>
      <c r="AC57" s="324"/>
      <c r="AD57" s="324"/>
      <c r="AE57" s="324"/>
      <c r="AF57" s="324"/>
      <c r="AG57" s="324"/>
      <c r="AH57" s="324"/>
      <c r="AI57" s="324"/>
      <c r="AJ57" s="324"/>
      <c r="AK57" s="324"/>
      <c r="AL57" s="324"/>
      <c r="AM57" s="324"/>
      <c r="AN57" s="324"/>
      <c r="AO57" s="324"/>
      <c r="AP57" s="324"/>
      <c r="AQ57" s="324"/>
      <c r="AR57" s="324"/>
      <c r="AS57" s="324"/>
      <c r="AT57" s="324"/>
      <c r="AU57" s="324"/>
      <c r="AV57" s="324"/>
      <c r="AW57" s="324"/>
      <c r="AX57" s="324"/>
      <c r="AY57" s="324"/>
      <c r="AZ57" s="324"/>
      <c r="BA57" s="324"/>
      <c r="BB57" s="324"/>
      <c r="BC57" s="324"/>
      <c r="BD57" s="324"/>
      <c r="BE57" s="324"/>
      <c r="BF57" s="324"/>
      <c r="BG57" s="324"/>
      <c r="BH57" s="324"/>
      <c r="BI57" s="324"/>
      <c r="BJ57" s="324"/>
      <c r="BK57" s="324"/>
      <c r="BL57" s="324"/>
      <c r="BM57" s="324"/>
      <c r="BN57" s="324"/>
      <c r="BO57" s="324"/>
      <c r="BP57" s="324"/>
      <c r="BQ57" s="324"/>
      <c r="BR57" s="324"/>
      <c r="BS57" s="324"/>
      <c r="BT57" s="324"/>
      <c r="BU57" s="324"/>
      <c r="BV57" s="324"/>
      <c r="BW57" s="324"/>
      <c r="BX57" s="324"/>
      <c r="BY57" s="324"/>
      <c r="BZ57" s="324"/>
      <c r="CA57" s="324"/>
      <c r="CB57" s="324"/>
      <c r="CC57" s="324"/>
      <c r="CD57" s="324"/>
      <c r="CE57" s="324"/>
      <c r="CF57" s="324"/>
      <c r="CG57" s="324"/>
      <c r="CH57" s="324"/>
      <c r="CI57" s="324"/>
      <c r="CJ57" s="324"/>
      <c r="CK57" s="324"/>
      <c r="CL57" s="324"/>
      <c r="CM57" s="324"/>
      <c r="CN57" s="324"/>
      <c r="CO57" s="324"/>
      <c r="CP57" s="324"/>
      <c r="CQ57" s="324"/>
      <c r="CR57" s="324"/>
      <c r="CS57" s="324"/>
      <c r="CT57" s="324"/>
      <c r="CU57" s="324"/>
      <c r="CV57" s="324"/>
      <c r="CW57" s="324"/>
      <c r="CX57" s="324"/>
      <c r="CY57" s="324"/>
      <c r="CZ57" s="324"/>
      <c r="DA57" s="324"/>
      <c r="DB57" s="324"/>
      <c r="DC57" s="324"/>
      <c r="DD57" s="324"/>
      <c r="DE57" s="324"/>
      <c r="DF57" s="324"/>
      <c r="DG57" s="324"/>
      <c r="DH57" s="324"/>
      <c r="DI57" s="324"/>
      <c r="DJ57" s="324"/>
      <c r="DK57" s="324"/>
      <c r="DL57" s="324"/>
      <c r="DM57" s="324"/>
      <c r="DN57" s="324"/>
      <c r="DO57" s="324"/>
      <c r="DP57" s="324"/>
      <c r="DQ57" s="324"/>
      <c r="DR57" s="324"/>
      <c r="DS57" s="324"/>
      <c r="DT57" s="324"/>
      <c r="DU57" s="324"/>
      <c r="DV57" s="324"/>
      <c r="DW57" s="324"/>
      <c r="DX57" s="324"/>
      <c r="DY57" s="324"/>
      <c r="DZ57" s="324"/>
      <c r="EA57" s="324"/>
      <c r="EB57" s="324"/>
      <c r="EC57" s="324"/>
      <c r="ED57" s="324"/>
      <c r="EE57" s="324"/>
      <c r="EF57" s="324"/>
      <c r="EG57" s="324"/>
      <c r="EH57" s="324"/>
      <c r="EI57" s="324"/>
      <c r="EJ57" s="324"/>
      <c r="EK57" s="324"/>
      <c r="EL57" s="324"/>
      <c r="EM57" s="324"/>
      <c r="EN57" s="324"/>
      <c r="EO57" s="324"/>
      <c r="EP57" s="324"/>
      <c r="EQ57" s="324"/>
      <c r="ER57" s="324"/>
      <c r="ES57" s="324"/>
      <c r="ET57" s="324"/>
      <c r="EU57" s="324"/>
      <c r="EV57" s="324"/>
      <c r="EW57" s="324"/>
      <c r="EX57" s="324"/>
      <c r="EY57" s="324"/>
      <c r="EZ57" s="324"/>
      <c r="FA57" s="324"/>
      <c r="FB57" s="324"/>
      <c r="FC57" s="324"/>
      <c r="FD57" s="324"/>
      <c r="FE57" s="324"/>
      <c r="FF57" s="324"/>
      <c r="FG57" s="324"/>
      <c r="FH57" s="324"/>
      <c r="FI57" s="324"/>
      <c r="FJ57" s="324"/>
      <c r="FK57" s="324"/>
      <c r="FL57" s="324"/>
      <c r="FM57" s="324"/>
      <c r="FN57" s="324"/>
      <c r="FO57" s="324"/>
      <c r="FP57" s="324"/>
      <c r="FQ57" s="324"/>
      <c r="FR57" s="324"/>
      <c r="FS57" s="324"/>
      <c r="FT57" s="324"/>
      <c r="FU57" s="324"/>
      <c r="FV57" s="324"/>
      <c r="FW57" s="324"/>
      <c r="FX57" s="324"/>
      <c r="FY57" s="324"/>
      <c r="FZ57" s="324"/>
      <c r="GA57" s="324"/>
      <c r="GB57" s="324"/>
      <c r="GC57" s="324"/>
      <c r="GD57" s="324"/>
      <c r="GE57" s="324"/>
      <c r="GF57" s="324"/>
      <c r="GG57" s="324"/>
      <c r="GH57" s="324"/>
      <c r="GI57" s="324"/>
      <c r="GJ57" s="324"/>
      <c r="GK57" s="324"/>
      <c r="GL57" s="324"/>
      <c r="GM57" s="324"/>
      <c r="GN57" s="324"/>
      <c r="GO57" s="324"/>
      <c r="GP57" s="324"/>
      <c r="GQ57" s="324"/>
      <c r="GR57" s="324"/>
      <c r="GS57" s="324"/>
      <c r="GT57" s="324"/>
      <c r="GU57" s="324"/>
      <c r="GV57" s="324"/>
      <c r="GW57" s="324"/>
      <c r="GX57" s="324"/>
      <c r="GY57" s="324"/>
      <c r="GZ57" s="324"/>
      <c r="HA57" s="324"/>
      <c r="HB57" s="324"/>
      <c r="HC57" s="324"/>
      <c r="HD57" s="324"/>
      <c r="HE57" s="324"/>
      <c r="HF57" s="324"/>
      <c r="HG57" s="324"/>
      <c r="HH57" s="324"/>
      <c r="HI57" s="324"/>
      <c r="HJ57" s="324"/>
      <c r="HK57" s="324"/>
      <c r="HL57" s="324"/>
      <c r="HM57" s="324"/>
      <c r="HN57" s="324"/>
      <c r="HO57" s="324"/>
      <c r="HP57" s="324"/>
      <c r="HQ57" s="324"/>
      <c r="HR57" s="324"/>
      <c r="HS57" s="324"/>
      <c r="HT57" s="324"/>
      <c r="HU57" s="324"/>
      <c r="HV57" s="324"/>
      <c r="HW57" s="324"/>
      <c r="HX57" s="324"/>
      <c r="HY57" s="324"/>
      <c r="HZ57" s="324"/>
      <c r="IA57" s="324"/>
      <c r="IB57" s="324"/>
      <c r="IC57" s="324"/>
      <c r="ID57" s="324"/>
      <c r="IE57" s="324"/>
      <c r="IF57" s="324"/>
      <c r="IG57" s="324"/>
      <c r="IH57" s="324"/>
      <c r="II57" s="324"/>
      <c r="IJ57" s="324"/>
      <c r="IK57" s="324"/>
      <c r="IL57" s="324"/>
      <c r="IM57" s="324"/>
    </row>
    <row r="58" spans="1:247" x14ac:dyDescent="0.35">
      <c r="A58" s="356">
        <v>1791</v>
      </c>
      <c r="B58" s="357" t="s">
        <v>68</v>
      </c>
      <c r="C58" s="172" t="s">
        <v>10</v>
      </c>
      <c r="D58" s="358" t="s">
        <v>2051</v>
      </c>
      <c r="E58" s="336"/>
      <c r="F58" s="331">
        <f t="shared" si="0"/>
        <v>1.0209999999999999</v>
      </c>
      <c r="G58" s="337">
        <f t="shared" si="6"/>
        <v>1.0269999999999999</v>
      </c>
      <c r="H58" s="336"/>
      <c r="I58" s="338"/>
      <c r="J58" s="338"/>
      <c r="K58" s="338"/>
      <c r="L58" s="338"/>
      <c r="M58" s="338"/>
      <c r="N58" s="337"/>
      <c r="O58" s="339"/>
      <c r="P58" s="336"/>
      <c r="Q58" s="337"/>
      <c r="R58" s="340">
        <f t="shared" si="1"/>
        <v>1.0485669999999998</v>
      </c>
      <c r="S58" s="324"/>
      <c r="T58" s="324"/>
      <c r="U58" s="324"/>
      <c r="V58" s="324"/>
      <c r="W58" s="324"/>
      <c r="X58" s="324"/>
      <c r="Y58" s="324"/>
      <c r="Z58" s="324"/>
      <c r="AA58" s="324"/>
      <c r="AB58" s="324"/>
      <c r="AC58" s="324"/>
      <c r="AD58" s="324"/>
      <c r="AE58" s="324"/>
      <c r="AF58" s="324"/>
      <c r="AG58" s="324"/>
      <c r="AH58" s="324"/>
      <c r="AI58" s="324"/>
      <c r="AJ58" s="324"/>
      <c r="AK58" s="324"/>
      <c r="AL58" s="324"/>
      <c r="AM58" s="324"/>
      <c r="AN58" s="324"/>
      <c r="AO58" s="324"/>
      <c r="AP58" s="324"/>
      <c r="AQ58" s="324"/>
      <c r="AR58" s="324"/>
      <c r="AS58" s="324"/>
      <c r="AT58" s="324"/>
      <c r="AU58" s="324"/>
      <c r="AV58" s="324"/>
      <c r="AW58" s="324"/>
      <c r="AX58" s="324"/>
      <c r="AY58" s="324"/>
      <c r="AZ58" s="324"/>
      <c r="BA58" s="324"/>
      <c r="BB58" s="324"/>
      <c r="BC58" s="324"/>
      <c r="BD58" s="324"/>
      <c r="BE58" s="324"/>
      <c r="BF58" s="324"/>
      <c r="BG58" s="324"/>
      <c r="BH58" s="324"/>
      <c r="BI58" s="324"/>
      <c r="BJ58" s="324"/>
      <c r="BK58" s="324"/>
      <c r="BL58" s="324"/>
      <c r="BM58" s="324"/>
      <c r="BN58" s="324"/>
      <c r="BO58" s="324"/>
      <c r="BP58" s="324"/>
      <c r="BQ58" s="324"/>
      <c r="BR58" s="324"/>
      <c r="BS58" s="324"/>
      <c r="BT58" s="324"/>
      <c r="BU58" s="324"/>
      <c r="BV58" s="324"/>
      <c r="BW58" s="324"/>
      <c r="BX58" s="324"/>
      <c r="BY58" s="324"/>
      <c r="BZ58" s="324"/>
      <c r="CA58" s="324"/>
      <c r="CB58" s="324"/>
      <c r="CC58" s="324"/>
      <c r="CD58" s="324"/>
      <c r="CE58" s="324"/>
      <c r="CF58" s="324"/>
      <c r="CG58" s="324"/>
      <c r="CH58" s="324"/>
      <c r="CI58" s="324"/>
      <c r="CJ58" s="324"/>
      <c r="CK58" s="324"/>
      <c r="CL58" s="324"/>
      <c r="CM58" s="324"/>
      <c r="CN58" s="324"/>
      <c r="CO58" s="324"/>
      <c r="CP58" s="324"/>
      <c r="CQ58" s="324"/>
      <c r="CR58" s="324"/>
      <c r="CS58" s="324"/>
      <c r="CT58" s="324"/>
      <c r="CU58" s="324"/>
      <c r="CV58" s="324"/>
      <c r="CW58" s="324"/>
      <c r="CX58" s="324"/>
      <c r="CY58" s="324"/>
      <c r="CZ58" s="324"/>
      <c r="DA58" s="324"/>
      <c r="DB58" s="324"/>
      <c r="DC58" s="324"/>
      <c r="DD58" s="324"/>
      <c r="DE58" s="324"/>
      <c r="DF58" s="324"/>
      <c r="DG58" s="324"/>
      <c r="DH58" s="324"/>
      <c r="DI58" s="324"/>
      <c r="DJ58" s="324"/>
      <c r="DK58" s="324"/>
      <c r="DL58" s="324"/>
      <c r="DM58" s="324"/>
      <c r="DN58" s="324"/>
      <c r="DO58" s="324"/>
      <c r="DP58" s="324"/>
      <c r="DQ58" s="324"/>
      <c r="DR58" s="324"/>
      <c r="DS58" s="324"/>
      <c r="DT58" s="324"/>
      <c r="DU58" s="324"/>
      <c r="DV58" s="324"/>
      <c r="DW58" s="324"/>
      <c r="DX58" s="324"/>
      <c r="DY58" s="324"/>
      <c r="DZ58" s="324"/>
      <c r="EA58" s="324"/>
      <c r="EB58" s="324"/>
      <c r="EC58" s="324"/>
      <c r="ED58" s="324"/>
      <c r="EE58" s="324"/>
      <c r="EF58" s="324"/>
      <c r="EG58" s="324"/>
      <c r="EH58" s="324"/>
      <c r="EI58" s="324"/>
      <c r="EJ58" s="324"/>
      <c r="EK58" s="324"/>
      <c r="EL58" s="324"/>
      <c r="EM58" s="324"/>
      <c r="EN58" s="324"/>
      <c r="EO58" s="324"/>
      <c r="EP58" s="324"/>
      <c r="EQ58" s="324"/>
      <c r="ER58" s="324"/>
      <c r="ES58" s="324"/>
      <c r="ET58" s="324"/>
      <c r="EU58" s="324"/>
      <c r="EV58" s="324"/>
      <c r="EW58" s="324"/>
      <c r="EX58" s="324"/>
      <c r="EY58" s="324"/>
      <c r="EZ58" s="324"/>
      <c r="FA58" s="324"/>
      <c r="FB58" s="324"/>
      <c r="FC58" s="324"/>
      <c r="FD58" s="324"/>
      <c r="FE58" s="324"/>
      <c r="FF58" s="324"/>
      <c r="FG58" s="324"/>
      <c r="FH58" s="324"/>
      <c r="FI58" s="324"/>
      <c r="FJ58" s="324"/>
      <c r="FK58" s="324"/>
      <c r="FL58" s="324"/>
      <c r="FM58" s="324"/>
      <c r="FN58" s="324"/>
      <c r="FO58" s="324"/>
      <c r="FP58" s="324"/>
      <c r="FQ58" s="324"/>
      <c r="FR58" s="324"/>
      <c r="FS58" s="324"/>
      <c r="FT58" s="324"/>
      <c r="FU58" s="324"/>
      <c r="FV58" s="324"/>
      <c r="FW58" s="324"/>
      <c r="FX58" s="324"/>
      <c r="FY58" s="324"/>
      <c r="FZ58" s="324"/>
      <c r="GA58" s="324"/>
      <c r="GB58" s="324"/>
      <c r="GC58" s="324"/>
      <c r="GD58" s="324"/>
      <c r="GE58" s="324"/>
      <c r="GF58" s="324"/>
      <c r="GG58" s="324"/>
      <c r="GH58" s="324"/>
      <c r="GI58" s="324"/>
      <c r="GJ58" s="324"/>
      <c r="GK58" s="324"/>
      <c r="GL58" s="324"/>
      <c r="GM58" s="324"/>
      <c r="GN58" s="324"/>
      <c r="GO58" s="324"/>
      <c r="GP58" s="324"/>
      <c r="GQ58" s="324"/>
      <c r="GR58" s="324"/>
      <c r="GS58" s="324"/>
      <c r="GT58" s="324"/>
      <c r="GU58" s="324"/>
      <c r="GV58" s="324"/>
      <c r="GW58" s="324"/>
      <c r="GX58" s="324"/>
      <c r="GY58" s="324"/>
      <c r="GZ58" s="324"/>
      <c r="HA58" s="324"/>
      <c r="HB58" s="324"/>
      <c r="HC58" s="324"/>
      <c r="HD58" s="324"/>
      <c r="HE58" s="324"/>
      <c r="HF58" s="324"/>
      <c r="HG58" s="324"/>
      <c r="HH58" s="324"/>
      <c r="HI58" s="324"/>
      <c r="HJ58" s="324"/>
      <c r="HK58" s="324"/>
      <c r="HL58" s="324"/>
      <c r="HM58" s="324"/>
      <c r="HN58" s="324"/>
      <c r="HO58" s="324"/>
      <c r="HP58" s="324"/>
      <c r="HQ58" s="324"/>
      <c r="HR58" s="324"/>
      <c r="HS58" s="324"/>
      <c r="HT58" s="324"/>
      <c r="HU58" s="324"/>
      <c r="HV58" s="324"/>
      <c r="HW58" s="324"/>
      <c r="HX58" s="324"/>
      <c r="HY58" s="324"/>
      <c r="HZ58" s="324"/>
      <c r="IA58" s="324"/>
      <c r="IB58" s="324"/>
      <c r="IC58" s="324"/>
      <c r="ID58" s="324"/>
      <c r="IE58" s="324"/>
      <c r="IF58" s="324"/>
      <c r="IG58" s="324"/>
      <c r="IH58" s="324"/>
      <c r="II58" s="324"/>
      <c r="IJ58" s="324"/>
      <c r="IK58" s="324"/>
      <c r="IL58" s="324"/>
      <c r="IM58" s="324"/>
    </row>
    <row r="59" spans="1:247" x14ac:dyDescent="0.35">
      <c r="A59" s="356">
        <v>1792</v>
      </c>
      <c r="B59" s="357" t="s">
        <v>69</v>
      </c>
      <c r="C59" s="172" t="s">
        <v>10</v>
      </c>
      <c r="D59" s="358" t="s">
        <v>2051</v>
      </c>
      <c r="E59" s="336"/>
      <c r="F59" s="331">
        <f t="shared" si="0"/>
        <v>1.0209999999999999</v>
      </c>
      <c r="G59" s="337">
        <f t="shared" si="6"/>
        <v>1.0269999999999999</v>
      </c>
      <c r="H59" s="336"/>
      <c r="I59" s="338"/>
      <c r="J59" s="338"/>
      <c r="K59" s="338"/>
      <c r="L59" s="338"/>
      <c r="M59" s="338"/>
      <c r="N59" s="337"/>
      <c r="O59" s="339"/>
      <c r="P59" s="336">
        <f>+$P$3</f>
        <v>1.032</v>
      </c>
      <c r="Q59" s="337"/>
      <c r="R59" s="340">
        <f t="shared" si="1"/>
        <v>1.0821211439999998</v>
      </c>
      <c r="S59" s="324"/>
      <c r="T59" s="324"/>
      <c r="U59" s="324"/>
      <c r="V59" s="324"/>
      <c r="W59" s="324"/>
      <c r="X59" s="324"/>
      <c r="Y59" s="324"/>
      <c r="Z59" s="324"/>
      <c r="AA59" s="324"/>
      <c r="AB59" s="324"/>
      <c r="AC59" s="324"/>
      <c r="AD59" s="324"/>
      <c r="AE59" s="324"/>
      <c r="AF59" s="324"/>
      <c r="AG59" s="324"/>
      <c r="AH59" s="324"/>
      <c r="AI59" s="324"/>
      <c r="AJ59" s="324"/>
      <c r="AK59" s="324"/>
      <c r="AL59" s="324"/>
      <c r="AM59" s="324"/>
      <c r="AN59" s="324"/>
      <c r="AO59" s="324"/>
      <c r="AP59" s="324"/>
      <c r="AQ59" s="324"/>
      <c r="AR59" s="324"/>
      <c r="AS59" s="324"/>
      <c r="AT59" s="324"/>
      <c r="AU59" s="324"/>
      <c r="AV59" s="324"/>
      <c r="AW59" s="324"/>
      <c r="AX59" s="324"/>
      <c r="AY59" s="324"/>
      <c r="AZ59" s="324"/>
      <c r="BA59" s="324"/>
      <c r="BB59" s="324"/>
      <c r="BC59" s="324"/>
      <c r="BD59" s="324"/>
      <c r="BE59" s="324"/>
      <c r="BF59" s="324"/>
      <c r="BG59" s="324"/>
      <c r="BH59" s="324"/>
      <c r="BI59" s="324"/>
      <c r="BJ59" s="324"/>
      <c r="BK59" s="324"/>
      <c r="BL59" s="324"/>
      <c r="BM59" s="324"/>
      <c r="BN59" s="324"/>
      <c r="BO59" s="324"/>
      <c r="BP59" s="324"/>
      <c r="BQ59" s="324"/>
      <c r="BR59" s="324"/>
      <c r="BS59" s="324"/>
      <c r="BT59" s="324"/>
      <c r="BU59" s="324"/>
      <c r="BV59" s="324"/>
      <c r="BW59" s="324"/>
      <c r="BX59" s="324"/>
      <c r="BY59" s="324"/>
      <c r="BZ59" s="324"/>
      <c r="CA59" s="324"/>
      <c r="CB59" s="324"/>
      <c r="CC59" s="324"/>
      <c r="CD59" s="324"/>
      <c r="CE59" s="324"/>
      <c r="CF59" s="324"/>
      <c r="CG59" s="324"/>
      <c r="CH59" s="324"/>
      <c r="CI59" s="324"/>
      <c r="CJ59" s="324"/>
      <c r="CK59" s="324"/>
      <c r="CL59" s="324"/>
      <c r="CM59" s="324"/>
      <c r="CN59" s="324"/>
      <c r="CO59" s="324"/>
      <c r="CP59" s="324"/>
      <c r="CQ59" s="324"/>
      <c r="CR59" s="324"/>
      <c r="CS59" s="324"/>
      <c r="CT59" s="324"/>
      <c r="CU59" s="324"/>
      <c r="CV59" s="324"/>
      <c r="CW59" s="324"/>
      <c r="CX59" s="324"/>
      <c r="CY59" s="324"/>
      <c r="CZ59" s="324"/>
      <c r="DA59" s="324"/>
      <c r="DB59" s="324"/>
      <c r="DC59" s="324"/>
      <c r="DD59" s="324"/>
      <c r="DE59" s="324"/>
      <c r="DF59" s="324"/>
      <c r="DG59" s="324"/>
      <c r="DH59" s="324"/>
      <c r="DI59" s="324"/>
      <c r="DJ59" s="324"/>
      <c r="DK59" s="324"/>
      <c r="DL59" s="324"/>
      <c r="DM59" s="324"/>
      <c r="DN59" s="324"/>
      <c r="DO59" s="324"/>
      <c r="DP59" s="324"/>
      <c r="DQ59" s="324"/>
      <c r="DR59" s="324"/>
      <c r="DS59" s="324"/>
      <c r="DT59" s="324"/>
      <c r="DU59" s="324"/>
      <c r="DV59" s="324"/>
      <c r="DW59" s="324"/>
      <c r="DX59" s="324"/>
      <c r="DY59" s="324"/>
      <c r="DZ59" s="324"/>
      <c r="EA59" s="324"/>
      <c r="EB59" s="324"/>
      <c r="EC59" s="324"/>
      <c r="ED59" s="324"/>
      <c r="EE59" s="324"/>
      <c r="EF59" s="324"/>
      <c r="EG59" s="324"/>
      <c r="EH59" s="324"/>
      <c r="EI59" s="324"/>
      <c r="EJ59" s="324"/>
      <c r="EK59" s="324"/>
      <c r="EL59" s="324"/>
      <c r="EM59" s="324"/>
      <c r="EN59" s="324"/>
      <c r="EO59" s="324"/>
      <c r="EP59" s="324"/>
      <c r="EQ59" s="324"/>
      <c r="ER59" s="324"/>
      <c r="ES59" s="324"/>
      <c r="ET59" s="324"/>
      <c r="EU59" s="324"/>
      <c r="EV59" s="324"/>
      <c r="EW59" s="324"/>
      <c r="EX59" s="324"/>
      <c r="EY59" s="324"/>
      <c r="EZ59" s="324"/>
      <c r="FA59" s="324"/>
      <c r="FB59" s="324"/>
      <c r="FC59" s="324"/>
      <c r="FD59" s="324"/>
      <c r="FE59" s="324"/>
      <c r="FF59" s="324"/>
      <c r="FG59" s="324"/>
      <c r="FH59" s="324"/>
      <c r="FI59" s="324"/>
      <c r="FJ59" s="324"/>
      <c r="FK59" s="324"/>
      <c r="FL59" s="324"/>
      <c r="FM59" s="324"/>
      <c r="FN59" s="324"/>
      <c r="FO59" s="324"/>
      <c r="FP59" s="324"/>
      <c r="FQ59" s="324"/>
      <c r="FR59" s="324"/>
      <c r="FS59" s="324"/>
      <c r="FT59" s="324"/>
      <c r="FU59" s="324"/>
      <c r="FV59" s="324"/>
      <c r="FW59" s="324"/>
      <c r="FX59" s="324"/>
      <c r="FY59" s="324"/>
      <c r="FZ59" s="324"/>
      <c r="GA59" s="324"/>
      <c r="GB59" s="324"/>
      <c r="GC59" s="324"/>
      <c r="GD59" s="324"/>
      <c r="GE59" s="324"/>
      <c r="GF59" s="324"/>
      <c r="GG59" s="324"/>
      <c r="GH59" s="324"/>
      <c r="GI59" s="324"/>
      <c r="GJ59" s="324"/>
      <c r="GK59" s="324"/>
      <c r="GL59" s="324"/>
      <c r="GM59" s="324"/>
      <c r="GN59" s="324"/>
      <c r="GO59" s="324"/>
      <c r="GP59" s="324"/>
      <c r="GQ59" s="324"/>
      <c r="GR59" s="324"/>
      <c r="GS59" s="324"/>
      <c r="GT59" s="324"/>
      <c r="GU59" s="324"/>
      <c r="GV59" s="324"/>
      <c r="GW59" s="324"/>
      <c r="GX59" s="324"/>
      <c r="GY59" s="324"/>
      <c r="GZ59" s="324"/>
      <c r="HA59" s="324"/>
      <c r="HB59" s="324"/>
      <c r="HC59" s="324"/>
      <c r="HD59" s="324"/>
      <c r="HE59" s="324"/>
      <c r="HF59" s="324"/>
      <c r="HG59" s="324"/>
      <c r="HH59" s="324"/>
      <c r="HI59" s="324"/>
      <c r="HJ59" s="324"/>
      <c r="HK59" s="324"/>
      <c r="HL59" s="324"/>
      <c r="HM59" s="324"/>
      <c r="HN59" s="324"/>
      <c r="HO59" s="324"/>
      <c r="HP59" s="324"/>
      <c r="HQ59" s="324"/>
      <c r="HR59" s="324"/>
      <c r="HS59" s="324"/>
      <c r="HT59" s="324"/>
      <c r="HU59" s="324"/>
      <c r="HV59" s="324"/>
      <c r="HW59" s="324"/>
      <c r="HX59" s="324"/>
      <c r="HY59" s="324"/>
      <c r="HZ59" s="324"/>
      <c r="IA59" s="324"/>
      <c r="IB59" s="324"/>
      <c r="IC59" s="324"/>
      <c r="ID59" s="324"/>
      <c r="IE59" s="324"/>
      <c r="IF59" s="324"/>
      <c r="IG59" s="324"/>
      <c r="IH59" s="324"/>
      <c r="II59" s="324"/>
      <c r="IJ59" s="324"/>
      <c r="IK59" s="324"/>
      <c r="IL59" s="324"/>
      <c r="IM59" s="324"/>
    </row>
    <row r="60" spans="1:247" x14ac:dyDescent="0.35">
      <c r="A60" s="356">
        <v>1793</v>
      </c>
      <c r="B60" s="357" t="s">
        <v>70</v>
      </c>
      <c r="C60" s="172" t="s">
        <v>10</v>
      </c>
      <c r="D60" s="358" t="s">
        <v>2051</v>
      </c>
      <c r="E60" s="336"/>
      <c r="F60" s="331">
        <f t="shared" si="0"/>
        <v>1.0209999999999999</v>
      </c>
      <c r="G60" s="337">
        <f t="shared" si="6"/>
        <v>1.0269999999999999</v>
      </c>
      <c r="H60" s="336"/>
      <c r="I60" s="338"/>
      <c r="J60" s="338"/>
      <c r="K60" s="338"/>
      <c r="L60" s="338"/>
      <c r="M60" s="338"/>
      <c r="N60" s="337"/>
      <c r="O60" s="339"/>
      <c r="P60" s="336"/>
      <c r="Q60" s="337"/>
      <c r="R60" s="340">
        <f t="shared" si="1"/>
        <v>1.0485669999999998</v>
      </c>
      <c r="S60" s="324"/>
      <c r="T60" s="324"/>
      <c r="U60" s="324"/>
      <c r="V60" s="324"/>
      <c r="W60" s="324"/>
      <c r="X60" s="324"/>
      <c r="Y60" s="324"/>
      <c r="Z60" s="324"/>
      <c r="AA60" s="324"/>
      <c r="AB60" s="324"/>
      <c r="AC60" s="324"/>
      <c r="AD60" s="324"/>
      <c r="AE60" s="324"/>
      <c r="AF60" s="324"/>
      <c r="AG60" s="324"/>
      <c r="AH60" s="324"/>
      <c r="AI60" s="324"/>
      <c r="AJ60" s="324"/>
      <c r="AK60" s="324"/>
      <c r="AL60" s="324"/>
      <c r="AM60" s="324"/>
      <c r="AN60" s="324"/>
      <c r="AO60" s="324"/>
      <c r="AP60" s="324"/>
      <c r="AQ60" s="324"/>
      <c r="AR60" s="324"/>
      <c r="AS60" s="324"/>
      <c r="AT60" s="324"/>
      <c r="AU60" s="324"/>
      <c r="AV60" s="324"/>
      <c r="AW60" s="324"/>
      <c r="AX60" s="324"/>
      <c r="AY60" s="324"/>
      <c r="AZ60" s="324"/>
      <c r="BA60" s="324"/>
      <c r="BB60" s="324"/>
      <c r="BC60" s="324"/>
      <c r="BD60" s="324"/>
      <c r="BE60" s="324"/>
      <c r="BF60" s="324"/>
      <c r="BG60" s="324"/>
      <c r="BH60" s="324"/>
      <c r="BI60" s="324"/>
      <c r="BJ60" s="324"/>
      <c r="BK60" s="324"/>
      <c r="BL60" s="324"/>
      <c r="BM60" s="324"/>
      <c r="BN60" s="324"/>
      <c r="BO60" s="324"/>
      <c r="BP60" s="324"/>
      <c r="BQ60" s="324"/>
      <c r="BR60" s="324"/>
      <c r="BS60" s="324"/>
      <c r="BT60" s="324"/>
      <c r="BU60" s="324"/>
      <c r="BV60" s="324"/>
      <c r="BW60" s="324"/>
      <c r="BX60" s="324"/>
      <c r="BY60" s="324"/>
      <c r="BZ60" s="324"/>
      <c r="CA60" s="324"/>
      <c r="CB60" s="324"/>
      <c r="CC60" s="324"/>
      <c r="CD60" s="324"/>
      <c r="CE60" s="324"/>
      <c r="CF60" s="324"/>
      <c r="CG60" s="324"/>
      <c r="CH60" s="324"/>
      <c r="CI60" s="324"/>
      <c r="CJ60" s="324"/>
      <c r="CK60" s="324"/>
      <c r="CL60" s="324"/>
      <c r="CM60" s="324"/>
      <c r="CN60" s="324"/>
      <c r="CO60" s="324"/>
      <c r="CP60" s="324"/>
      <c r="CQ60" s="324"/>
      <c r="CR60" s="324"/>
      <c r="CS60" s="324"/>
      <c r="CT60" s="324"/>
      <c r="CU60" s="324"/>
      <c r="CV60" s="324"/>
      <c r="CW60" s="324"/>
      <c r="CX60" s="324"/>
      <c r="CY60" s="324"/>
      <c r="CZ60" s="324"/>
      <c r="DA60" s="324"/>
      <c r="DB60" s="324"/>
      <c r="DC60" s="324"/>
      <c r="DD60" s="324"/>
      <c r="DE60" s="324"/>
      <c r="DF60" s="324"/>
      <c r="DG60" s="324"/>
      <c r="DH60" s="324"/>
      <c r="DI60" s="324"/>
      <c r="DJ60" s="324"/>
      <c r="DK60" s="324"/>
      <c r="DL60" s="324"/>
      <c r="DM60" s="324"/>
      <c r="DN60" s="324"/>
      <c r="DO60" s="324"/>
      <c r="DP60" s="324"/>
      <c r="DQ60" s="324"/>
      <c r="DR60" s="324"/>
      <c r="DS60" s="324"/>
      <c r="DT60" s="324"/>
      <c r="DU60" s="324"/>
      <c r="DV60" s="324"/>
      <c r="DW60" s="324"/>
      <c r="DX60" s="324"/>
      <c r="DY60" s="324"/>
      <c r="DZ60" s="324"/>
      <c r="EA60" s="324"/>
      <c r="EB60" s="324"/>
      <c r="EC60" s="324"/>
      <c r="ED60" s="324"/>
      <c r="EE60" s="324"/>
      <c r="EF60" s="324"/>
      <c r="EG60" s="324"/>
      <c r="EH60" s="324"/>
      <c r="EI60" s="324"/>
      <c r="EJ60" s="324"/>
      <c r="EK60" s="324"/>
      <c r="EL60" s="324"/>
      <c r="EM60" s="324"/>
      <c r="EN60" s="324"/>
      <c r="EO60" s="324"/>
      <c r="EP60" s="324"/>
      <c r="EQ60" s="324"/>
      <c r="ER60" s="324"/>
      <c r="ES60" s="324"/>
      <c r="ET60" s="324"/>
      <c r="EU60" s="324"/>
      <c r="EV60" s="324"/>
      <c r="EW60" s="324"/>
      <c r="EX60" s="324"/>
      <c r="EY60" s="324"/>
      <c r="EZ60" s="324"/>
      <c r="FA60" s="324"/>
      <c r="FB60" s="324"/>
      <c r="FC60" s="324"/>
      <c r="FD60" s="324"/>
      <c r="FE60" s="324"/>
      <c r="FF60" s="324"/>
      <c r="FG60" s="324"/>
      <c r="FH60" s="324"/>
      <c r="FI60" s="324"/>
      <c r="FJ60" s="324"/>
      <c r="FK60" s="324"/>
      <c r="FL60" s="324"/>
      <c r="FM60" s="324"/>
      <c r="FN60" s="324"/>
      <c r="FO60" s="324"/>
      <c r="FP60" s="324"/>
      <c r="FQ60" s="324"/>
      <c r="FR60" s="324"/>
      <c r="FS60" s="324"/>
      <c r="FT60" s="324"/>
      <c r="FU60" s="324"/>
      <c r="FV60" s="324"/>
      <c r="FW60" s="324"/>
      <c r="FX60" s="324"/>
      <c r="FY60" s="324"/>
      <c r="FZ60" s="324"/>
      <c r="GA60" s="324"/>
      <c r="GB60" s="324"/>
      <c r="GC60" s="324"/>
      <c r="GD60" s="324"/>
      <c r="GE60" s="324"/>
      <c r="GF60" s="324"/>
      <c r="GG60" s="324"/>
      <c r="GH60" s="324"/>
      <c r="GI60" s="324"/>
      <c r="GJ60" s="324"/>
      <c r="GK60" s="324"/>
      <c r="GL60" s="324"/>
      <c r="GM60" s="324"/>
      <c r="GN60" s="324"/>
      <c r="GO60" s="324"/>
      <c r="GP60" s="324"/>
      <c r="GQ60" s="324"/>
      <c r="GR60" s="324"/>
      <c r="GS60" s="324"/>
      <c r="GT60" s="324"/>
      <c r="GU60" s="324"/>
      <c r="GV60" s="324"/>
      <c r="GW60" s="324"/>
      <c r="GX60" s="324"/>
      <c r="GY60" s="324"/>
      <c r="GZ60" s="324"/>
      <c r="HA60" s="324"/>
      <c r="HB60" s="324"/>
      <c r="HC60" s="324"/>
      <c r="HD60" s="324"/>
      <c r="HE60" s="324"/>
      <c r="HF60" s="324"/>
      <c r="HG60" s="324"/>
      <c r="HH60" s="324"/>
      <c r="HI60" s="324"/>
      <c r="HJ60" s="324"/>
      <c r="HK60" s="324"/>
      <c r="HL60" s="324"/>
      <c r="HM60" s="324"/>
      <c r="HN60" s="324"/>
      <c r="HO60" s="324"/>
      <c r="HP60" s="324"/>
      <c r="HQ60" s="324"/>
      <c r="HR60" s="324"/>
      <c r="HS60" s="324"/>
      <c r="HT60" s="324"/>
      <c r="HU60" s="324"/>
      <c r="HV60" s="324"/>
      <c r="HW60" s="324"/>
      <c r="HX60" s="324"/>
      <c r="HY60" s="324"/>
      <c r="HZ60" s="324"/>
      <c r="IA60" s="324"/>
      <c r="IB60" s="324"/>
      <c r="IC60" s="324"/>
      <c r="ID60" s="324"/>
      <c r="IE60" s="324"/>
      <c r="IF60" s="324"/>
      <c r="IG60" s="324"/>
      <c r="IH60" s="324"/>
      <c r="II60" s="324"/>
      <c r="IJ60" s="324"/>
      <c r="IK60" s="324"/>
      <c r="IL60" s="324"/>
      <c r="IM60" s="324"/>
    </row>
    <row r="61" spans="1:247" x14ac:dyDescent="0.35">
      <c r="A61" s="356">
        <v>1794</v>
      </c>
      <c r="B61" s="357" t="s">
        <v>71</v>
      </c>
      <c r="C61" s="172" t="s">
        <v>37</v>
      </c>
      <c r="D61" s="358" t="s">
        <v>2051</v>
      </c>
      <c r="E61" s="336"/>
      <c r="F61" s="331">
        <f t="shared" si="0"/>
        <v>1.0209999999999999</v>
      </c>
      <c r="G61" s="337">
        <f t="shared" si="6"/>
        <v>1.0269999999999999</v>
      </c>
      <c r="H61" s="336"/>
      <c r="I61" s="338"/>
      <c r="J61" s="338"/>
      <c r="K61" s="338"/>
      <c r="L61" s="338"/>
      <c r="M61" s="338"/>
      <c r="N61" s="337"/>
      <c r="O61" s="339"/>
      <c r="P61" s="336"/>
      <c r="Q61" s="337"/>
      <c r="R61" s="340">
        <f t="shared" si="1"/>
        <v>1.0485669999999998</v>
      </c>
      <c r="S61" s="324"/>
      <c r="T61" s="324"/>
      <c r="U61" s="324"/>
      <c r="V61" s="324"/>
      <c r="W61" s="324"/>
      <c r="X61" s="324"/>
      <c r="Y61" s="324"/>
      <c r="Z61" s="324"/>
      <c r="AA61" s="324"/>
      <c r="AB61" s="324"/>
      <c r="AC61" s="324"/>
      <c r="AD61" s="324"/>
      <c r="AE61" s="324"/>
      <c r="AF61" s="324"/>
      <c r="AG61" s="324"/>
      <c r="AH61" s="324"/>
      <c r="AI61" s="324"/>
      <c r="AJ61" s="324"/>
      <c r="AK61" s="324"/>
      <c r="AL61" s="324"/>
      <c r="AM61" s="324"/>
      <c r="AN61" s="324"/>
      <c r="AO61" s="324"/>
      <c r="AP61" s="324"/>
      <c r="AQ61" s="324"/>
      <c r="AR61" s="324"/>
      <c r="AS61" s="324"/>
      <c r="AT61" s="324"/>
      <c r="AU61" s="324"/>
      <c r="AV61" s="324"/>
      <c r="AW61" s="324"/>
      <c r="AX61" s="324"/>
      <c r="AY61" s="324"/>
      <c r="AZ61" s="324"/>
      <c r="BA61" s="324"/>
      <c r="BB61" s="324"/>
      <c r="BC61" s="324"/>
      <c r="BD61" s="324"/>
      <c r="BE61" s="324"/>
      <c r="BF61" s="324"/>
      <c r="BG61" s="324"/>
      <c r="BH61" s="324"/>
      <c r="BI61" s="324"/>
      <c r="BJ61" s="324"/>
      <c r="BK61" s="324"/>
      <c r="BL61" s="324"/>
      <c r="BM61" s="324"/>
      <c r="BN61" s="324"/>
      <c r="BO61" s="324"/>
      <c r="BP61" s="324"/>
      <c r="BQ61" s="324"/>
      <c r="BR61" s="324"/>
      <c r="BS61" s="324"/>
      <c r="BT61" s="324"/>
      <c r="BU61" s="324"/>
      <c r="BV61" s="324"/>
      <c r="BW61" s="324"/>
      <c r="BX61" s="324"/>
      <c r="BY61" s="324"/>
      <c r="BZ61" s="324"/>
      <c r="CA61" s="324"/>
      <c r="CB61" s="324"/>
      <c r="CC61" s="324"/>
      <c r="CD61" s="324"/>
      <c r="CE61" s="324"/>
      <c r="CF61" s="324"/>
      <c r="CG61" s="324"/>
      <c r="CH61" s="324"/>
      <c r="CI61" s="324"/>
      <c r="CJ61" s="324"/>
      <c r="CK61" s="324"/>
      <c r="CL61" s="324"/>
      <c r="CM61" s="324"/>
      <c r="CN61" s="324"/>
      <c r="CO61" s="324"/>
      <c r="CP61" s="324"/>
      <c r="CQ61" s="324"/>
      <c r="CR61" s="324"/>
      <c r="CS61" s="324"/>
      <c r="CT61" s="324"/>
      <c r="CU61" s="324"/>
      <c r="CV61" s="324"/>
      <c r="CW61" s="324"/>
      <c r="CX61" s="324"/>
      <c r="CY61" s="324"/>
      <c r="CZ61" s="324"/>
      <c r="DA61" s="324"/>
      <c r="DB61" s="324"/>
      <c r="DC61" s="324"/>
      <c r="DD61" s="324"/>
      <c r="DE61" s="324"/>
      <c r="DF61" s="324"/>
      <c r="DG61" s="324"/>
      <c r="DH61" s="324"/>
      <c r="DI61" s="324"/>
      <c r="DJ61" s="324"/>
      <c r="DK61" s="324"/>
      <c r="DL61" s="324"/>
      <c r="DM61" s="324"/>
      <c r="DN61" s="324"/>
      <c r="DO61" s="324"/>
      <c r="DP61" s="324"/>
      <c r="DQ61" s="324"/>
      <c r="DR61" s="324"/>
      <c r="DS61" s="324"/>
      <c r="DT61" s="324"/>
      <c r="DU61" s="324"/>
      <c r="DV61" s="324"/>
      <c r="DW61" s="324"/>
      <c r="DX61" s="324"/>
      <c r="DY61" s="324"/>
      <c r="DZ61" s="324"/>
      <c r="EA61" s="324"/>
      <c r="EB61" s="324"/>
      <c r="EC61" s="324"/>
      <c r="ED61" s="324"/>
      <c r="EE61" s="324"/>
      <c r="EF61" s="324"/>
      <c r="EG61" s="324"/>
      <c r="EH61" s="324"/>
      <c r="EI61" s="324"/>
      <c r="EJ61" s="324"/>
      <c r="EK61" s="324"/>
      <c r="EL61" s="324"/>
      <c r="EM61" s="324"/>
      <c r="EN61" s="324"/>
      <c r="EO61" s="324"/>
      <c r="EP61" s="324"/>
      <c r="EQ61" s="324"/>
      <c r="ER61" s="324"/>
      <c r="ES61" s="324"/>
      <c r="ET61" s="324"/>
      <c r="EU61" s="324"/>
      <c r="EV61" s="324"/>
      <c r="EW61" s="324"/>
      <c r="EX61" s="324"/>
      <c r="EY61" s="324"/>
      <c r="EZ61" s="324"/>
      <c r="FA61" s="324"/>
      <c r="FB61" s="324"/>
      <c r="FC61" s="324"/>
      <c r="FD61" s="324"/>
      <c r="FE61" s="324"/>
      <c r="FF61" s="324"/>
      <c r="FG61" s="324"/>
      <c r="FH61" s="324"/>
      <c r="FI61" s="324"/>
      <c r="FJ61" s="324"/>
      <c r="FK61" s="324"/>
      <c r="FL61" s="324"/>
      <c r="FM61" s="324"/>
      <c r="FN61" s="324"/>
      <c r="FO61" s="324"/>
      <c r="FP61" s="324"/>
      <c r="FQ61" s="324"/>
      <c r="FR61" s="324"/>
      <c r="FS61" s="324"/>
      <c r="FT61" s="324"/>
      <c r="FU61" s="324"/>
      <c r="FV61" s="324"/>
      <c r="FW61" s="324"/>
      <c r="FX61" s="324"/>
      <c r="FY61" s="324"/>
      <c r="FZ61" s="324"/>
      <c r="GA61" s="324"/>
      <c r="GB61" s="324"/>
      <c r="GC61" s="324"/>
      <c r="GD61" s="324"/>
      <c r="GE61" s="324"/>
      <c r="GF61" s="324"/>
      <c r="GG61" s="324"/>
      <c r="GH61" s="324"/>
      <c r="GI61" s="324"/>
      <c r="GJ61" s="324"/>
      <c r="GK61" s="324"/>
      <c r="GL61" s="324"/>
      <c r="GM61" s="324"/>
      <c r="GN61" s="324"/>
      <c r="GO61" s="324"/>
      <c r="GP61" s="324"/>
      <c r="GQ61" s="324"/>
      <c r="GR61" s="324"/>
      <c r="GS61" s="324"/>
      <c r="GT61" s="324"/>
      <c r="GU61" s="324"/>
      <c r="GV61" s="324"/>
      <c r="GW61" s="324"/>
      <c r="GX61" s="324"/>
      <c r="GY61" s="324"/>
      <c r="GZ61" s="324"/>
      <c r="HA61" s="324"/>
      <c r="HB61" s="324"/>
      <c r="HC61" s="324"/>
      <c r="HD61" s="324"/>
      <c r="HE61" s="324"/>
      <c r="HF61" s="324"/>
      <c r="HG61" s="324"/>
      <c r="HH61" s="324"/>
      <c r="HI61" s="324"/>
      <c r="HJ61" s="324"/>
      <c r="HK61" s="324"/>
      <c r="HL61" s="324"/>
      <c r="HM61" s="324"/>
      <c r="HN61" s="324"/>
      <c r="HO61" s="324"/>
      <c r="HP61" s="324"/>
      <c r="HQ61" s="324"/>
      <c r="HR61" s="324"/>
      <c r="HS61" s="324"/>
      <c r="HT61" s="324"/>
      <c r="HU61" s="324"/>
      <c r="HV61" s="324"/>
      <c r="HW61" s="324"/>
      <c r="HX61" s="324"/>
      <c r="HY61" s="324"/>
      <c r="HZ61" s="324"/>
      <c r="IA61" s="324"/>
      <c r="IB61" s="324"/>
      <c r="IC61" s="324"/>
      <c r="ID61" s="324"/>
      <c r="IE61" s="324"/>
      <c r="IF61" s="324"/>
      <c r="IG61" s="324"/>
      <c r="IH61" s="324"/>
      <c r="II61" s="324"/>
      <c r="IJ61" s="324"/>
      <c r="IK61" s="324"/>
      <c r="IL61" s="324"/>
      <c r="IM61" s="324"/>
    </row>
    <row r="62" spans="1:247" x14ac:dyDescent="0.35">
      <c r="A62" s="356">
        <v>1795</v>
      </c>
      <c r="B62" s="357" t="s">
        <v>2606</v>
      </c>
      <c r="C62" s="172" t="s">
        <v>8</v>
      </c>
      <c r="D62" s="358" t="s">
        <v>2051</v>
      </c>
      <c r="E62" s="336"/>
      <c r="F62" s="331">
        <f t="shared" si="0"/>
        <v>1.0209999999999999</v>
      </c>
      <c r="G62" s="337">
        <f t="shared" si="6"/>
        <v>1.0269999999999999</v>
      </c>
      <c r="H62" s="336"/>
      <c r="I62" s="338"/>
      <c r="J62" s="338"/>
      <c r="K62" s="338"/>
      <c r="L62" s="338"/>
      <c r="M62" s="338"/>
      <c r="N62" s="337"/>
      <c r="O62" s="339"/>
      <c r="P62" s="336">
        <f>+$P$3</f>
        <v>1.032</v>
      </c>
      <c r="Q62" s="337"/>
      <c r="R62" s="340">
        <f t="shared" si="1"/>
        <v>1.0821211439999998</v>
      </c>
      <c r="S62" s="324"/>
      <c r="T62" s="324"/>
      <c r="U62" s="324"/>
      <c r="V62" s="324"/>
      <c r="W62" s="324"/>
      <c r="X62" s="324"/>
      <c r="Y62" s="324"/>
      <c r="Z62" s="324"/>
      <c r="AA62" s="324"/>
      <c r="AB62" s="324"/>
      <c r="AC62" s="324"/>
      <c r="AD62" s="324"/>
      <c r="AE62" s="324"/>
      <c r="AF62" s="324"/>
      <c r="AG62" s="324"/>
      <c r="AH62" s="324"/>
      <c r="AI62" s="324"/>
      <c r="AJ62" s="324"/>
      <c r="AK62" s="324"/>
      <c r="AL62" s="324"/>
      <c r="AM62" s="324"/>
      <c r="AN62" s="324"/>
      <c r="AO62" s="324"/>
      <c r="AP62" s="324"/>
      <c r="AQ62" s="324"/>
      <c r="AR62" s="324"/>
      <c r="AS62" s="324"/>
      <c r="AT62" s="324"/>
      <c r="AU62" s="324"/>
      <c r="AV62" s="324"/>
      <c r="AW62" s="324"/>
      <c r="AX62" s="324"/>
      <c r="AY62" s="324"/>
      <c r="AZ62" s="324"/>
      <c r="BA62" s="324"/>
      <c r="BB62" s="324"/>
      <c r="BC62" s="324"/>
      <c r="BD62" s="324"/>
      <c r="BE62" s="324"/>
      <c r="BF62" s="324"/>
      <c r="BG62" s="324"/>
      <c r="BH62" s="324"/>
      <c r="BI62" s="324"/>
      <c r="BJ62" s="324"/>
      <c r="BK62" s="324"/>
      <c r="BL62" s="324"/>
      <c r="BM62" s="324"/>
      <c r="BN62" s="324"/>
      <c r="BO62" s="324"/>
      <c r="BP62" s="324"/>
      <c r="BQ62" s="324"/>
      <c r="BR62" s="324"/>
      <c r="BS62" s="324"/>
      <c r="BT62" s="324"/>
      <c r="BU62" s="324"/>
      <c r="BV62" s="324"/>
      <c r="BW62" s="324"/>
      <c r="BX62" s="324"/>
      <c r="BY62" s="324"/>
      <c r="BZ62" s="324"/>
      <c r="CA62" s="324"/>
      <c r="CB62" s="324"/>
      <c r="CC62" s="324"/>
      <c r="CD62" s="324"/>
      <c r="CE62" s="324"/>
      <c r="CF62" s="324"/>
      <c r="CG62" s="324"/>
      <c r="CH62" s="324"/>
      <c r="CI62" s="324"/>
      <c r="CJ62" s="324"/>
      <c r="CK62" s="324"/>
      <c r="CL62" s="324"/>
      <c r="CM62" s="324"/>
      <c r="CN62" s="324"/>
      <c r="CO62" s="324"/>
      <c r="CP62" s="324"/>
      <c r="CQ62" s="324"/>
      <c r="CR62" s="324"/>
      <c r="CS62" s="324"/>
      <c r="CT62" s="324"/>
      <c r="CU62" s="324"/>
      <c r="CV62" s="324"/>
      <c r="CW62" s="324"/>
      <c r="CX62" s="324"/>
      <c r="CY62" s="324"/>
      <c r="CZ62" s="324"/>
      <c r="DA62" s="324"/>
      <c r="DB62" s="324"/>
      <c r="DC62" s="324"/>
      <c r="DD62" s="324"/>
      <c r="DE62" s="324"/>
      <c r="DF62" s="324"/>
      <c r="DG62" s="324"/>
      <c r="DH62" s="324"/>
      <c r="DI62" s="324"/>
      <c r="DJ62" s="324"/>
      <c r="DK62" s="324"/>
      <c r="DL62" s="324"/>
      <c r="DM62" s="324"/>
      <c r="DN62" s="324"/>
      <c r="DO62" s="324"/>
      <c r="DP62" s="324"/>
      <c r="DQ62" s="324"/>
      <c r="DR62" s="324"/>
      <c r="DS62" s="324"/>
      <c r="DT62" s="324"/>
      <c r="DU62" s="324"/>
      <c r="DV62" s="324"/>
      <c r="DW62" s="324"/>
      <c r="DX62" s="324"/>
      <c r="DY62" s="324"/>
      <c r="DZ62" s="324"/>
      <c r="EA62" s="324"/>
      <c r="EB62" s="324"/>
      <c r="EC62" s="324"/>
      <c r="ED62" s="324"/>
      <c r="EE62" s="324"/>
      <c r="EF62" s="324"/>
      <c r="EG62" s="324"/>
      <c r="EH62" s="324"/>
      <c r="EI62" s="324"/>
      <c r="EJ62" s="324"/>
      <c r="EK62" s="324"/>
      <c r="EL62" s="324"/>
      <c r="EM62" s="324"/>
      <c r="EN62" s="324"/>
      <c r="EO62" s="324"/>
      <c r="EP62" s="324"/>
      <c r="EQ62" s="324"/>
      <c r="ER62" s="324"/>
      <c r="ES62" s="324"/>
      <c r="ET62" s="324"/>
      <c r="EU62" s="324"/>
      <c r="EV62" s="324"/>
      <c r="EW62" s="324"/>
      <c r="EX62" s="324"/>
      <c r="EY62" s="324"/>
      <c r="EZ62" s="324"/>
      <c r="FA62" s="324"/>
      <c r="FB62" s="324"/>
      <c r="FC62" s="324"/>
      <c r="FD62" s="324"/>
      <c r="FE62" s="324"/>
      <c r="FF62" s="324"/>
      <c r="FG62" s="324"/>
      <c r="FH62" s="324"/>
      <c r="FI62" s="324"/>
      <c r="FJ62" s="324"/>
      <c r="FK62" s="324"/>
      <c r="FL62" s="324"/>
      <c r="FM62" s="324"/>
      <c r="FN62" s="324"/>
      <c r="FO62" s="324"/>
      <c r="FP62" s="324"/>
      <c r="FQ62" s="324"/>
      <c r="FR62" s="324"/>
      <c r="FS62" s="324"/>
      <c r="FT62" s="324"/>
      <c r="FU62" s="324"/>
      <c r="FV62" s="324"/>
      <c r="FW62" s="324"/>
      <c r="FX62" s="324"/>
      <c r="FY62" s="324"/>
      <c r="FZ62" s="324"/>
      <c r="GA62" s="324"/>
      <c r="GB62" s="324"/>
      <c r="GC62" s="324"/>
      <c r="GD62" s="324"/>
      <c r="GE62" s="324"/>
      <c r="GF62" s="324"/>
      <c r="GG62" s="324"/>
      <c r="GH62" s="324"/>
      <c r="GI62" s="324"/>
      <c r="GJ62" s="324"/>
      <c r="GK62" s="324"/>
      <c r="GL62" s="324"/>
      <c r="GM62" s="324"/>
      <c r="GN62" s="324"/>
      <c r="GO62" s="324"/>
      <c r="GP62" s="324"/>
      <c r="GQ62" s="324"/>
      <c r="GR62" s="324"/>
      <c r="GS62" s="324"/>
      <c r="GT62" s="324"/>
      <c r="GU62" s="324"/>
      <c r="GV62" s="324"/>
      <c r="GW62" s="324"/>
      <c r="GX62" s="324"/>
      <c r="GY62" s="324"/>
      <c r="GZ62" s="324"/>
      <c r="HA62" s="324"/>
      <c r="HB62" s="324"/>
      <c r="HC62" s="324"/>
      <c r="HD62" s="324"/>
      <c r="HE62" s="324"/>
      <c r="HF62" s="324"/>
      <c r="HG62" s="324"/>
      <c r="HH62" s="324"/>
      <c r="HI62" s="324"/>
      <c r="HJ62" s="324"/>
      <c r="HK62" s="324"/>
      <c r="HL62" s="324"/>
      <c r="HM62" s="324"/>
      <c r="HN62" s="324"/>
      <c r="HO62" s="324"/>
      <c r="HP62" s="324"/>
      <c r="HQ62" s="324"/>
      <c r="HR62" s="324"/>
      <c r="HS62" s="324"/>
      <c r="HT62" s="324"/>
      <c r="HU62" s="324"/>
      <c r="HV62" s="324"/>
      <c r="HW62" s="324"/>
      <c r="HX62" s="324"/>
      <c r="HY62" s="324"/>
      <c r="HZ62" s="324"/>
      <c r="IA62" s="324"/>
      <c r="IB62" s="324"/>
      <c r="IC62" s="324"/>
      <c r="ID62" s="324"/>
      <c r="IE62" s="324"/>
      <c r="IF62" s="324"/>
      <c r="IG62" s="324"/>
      <c r="IH62" s="324"/>
      <c r="II62" s="324"/>
      <c r="IJ62" s="324"/>
      <c r="IK62" s="324"/>
      <c r="IL62" s="324"/>
      <c r="IM62" s="324"/>
    </row>
    <row r="63" spans="1:247" x14ac:dyDescent="0.35">
      <c r="A63" s="356">
        <v>1796</v>
      </c>
      <c r="B63" s="357" t="s">
        <v>72</v>
      </c>
      <c r="C63" s="172" t="s">
        <v>8</v>
      </c>
      <c r="D63" s="358" t="s">
        <v>2051</v>
      </c>
      <c r="E63" s="336"/>
      <c r="F63" s="331">
        <v>1.0209999999999999</v>
      </c>
      <c r="G63" s="337">
        <v>1.0269999999999999</v>
      </c>
      <c r="H63" s="336"/>
      <c r="I63" s="338"/>
      <c r="J63" s="338"/>
      <c r="K63" s="338"/>
      <c r="L63" s="338"/>
      <c r="M63" s="338"/>
      <c r="N63" s="337"/>
      <c r="O63" s="339"/>
      <c r="P63" s="336">
        <f>+$P$3</f>
        <v>1.032</v>
      </c>
      <c r="Q63" s="337"/>
      <c r="R63" s="340">
        <f t="shared" si="1"/>
        <v>1.0821211439999998</v>
      </c>
      <c r="S63" s="324"/>
      <c r="T63" s="324"/>
      <c r="U63" s="324"/>
      <c r="V63" s="324"/>
      <c r="W63" s="324"/>
      <c r="X63" s="324"/>
      <c r="Y63" s="324"/>
      <c r="Z63" s="324"/>
      <c r="AA63" s="324"/>
      <c r="AB63" s="324"/>
      <c r="AC63" s="324"/>
      <c r="AD63" s="324"/>
      <c r="AE63" s="324"/>
      <c r="AF63" s="324"/>
      <c r="AG63" s="324"/>
      <c r="AH63" s="324"/>
      <c r="AI63" s="324"/>
      <c r="AJ63" s="324"/>
      <c r="AK63" s="324"/>
      <c r="AL63" s="324"/>
      <c r="AM63" s="324"/>
      <c r="AN63" s="324"/>
      <c r="AO63" s="324"/>
      <c r="AP63" s="324"/>
      <c r="AQ63" s="324"/>
      <c r="AR63" s="324"/>
      <c r="AS63" s="324"/>
      <c r="AT63" s="324"/>
      <c r="AU63" s="324"/>
      <c r="AV63" s="324"/>
      <c r="AW63" s="324"/>
      <c r="AX63" s="324"/>
      <c r="AY63" s="324"/>
      <c r="AZ63" s="324"/>
      <c r="BA63" s="324"/>
      <c r="BB63" s="324"/>
      <c r="BC63" s="324"/>
      <c r="BD63" s="324"/>
      <c r="BE63" s="324"/>
      <c r="BF63" s="324"/>
      <c r="BG63" s="324"/>
      <c r="BH63" s="324"/>
      <c r="BI63" s="324"/>
      <c r="BJ63" s="324"/>
      <c r="BK63" s="324"/>
      <c r="BL63" s="324"/>
      <c r="BM63" s="324"/>
      <c r="BN63" s="324"/>
      <c r="BO63" s="324"/>
      <c r="BP63" s="324"/>
      <c r="BQ63" s="324"/>
      <c r="BR63" s="324"/>
      <c r="BS63" s="324"/>
      <c r="BT63" s="324"/>
      <c r="BU63" s="324"/>
      <c r="BV63" s="324"/>
      <c r="BW63" s="324"/>
      <c r="BX63" s="324"/>
      <c r="BY63" s="324"/>
      <c r="BZ63" s="324"/>
      <c r="CA63" s="324"/>
      <c r="CB63" s="324"/>
      <c r="CC63" s="324"/>
      <c r="CD63" s="324"/>
      <c r="CE63" s="324"/>
      <c r="CF63" s="324"/>
      <c r="CG63" s="324"/>
      <c r="CH63" s="324"/>
      <c r="CI63" s="324"/>
      <c r="CJ63" s="324"/>
      <c r="CK63" s="324"/>
      <c r="CL63" s="324"/>
      <c r="CM63" s="324"/>
      <c r="CN63" s="324"/>
      <c r="CO63" s="324"/>
      <c r="CP63" s="324"/>
      <c r="CQ63" s="324"/>
      <c r="CR63" s="324"/>
      <c r="CS63" s="324"/>
      <c r="CT63" s="324"/>
      <c r="CU63" s="324"/>
      <c r="CV63" s="324"/>
      <c r="CW63" s="324"/>
      <c r="CX63" s="324"/>
      <c r="CY63" s="324"/>
      <c r="CZ63" s="324"/>
      <c r="DA63" s="324"/>
      <c r="DB63" s="324"/>
      <c r="DC63" s="324"/>
      <c r="DD63" s="324"/>
      <c r="DE63" s="324"/>
      <c r="DF63" s="324"/>
      <c r="DG63" s="324"/>
      <c r="DH63" s="324"/>
      <c r="DI63" s="324"/>
      <c r="DJ63" s="324"/>
      <c r="DK63" s="324"/>
      <c r="DL63" s="324"/>
      <c r="DM63" s="324"/>
      <c r="DN63" s="324"/>
      <c r="DO63" s="324"/>
      <c r="DP63" s="324"/>
      <c r="DQ63" s="324"/>
      <c r="DR63" s="324"/>
      <c r="DS63" s="324"/>
      <c r="DT63" s="324"/>
      <c r="DU63" s="324"/>
      <c r="DV63" s="324"/>
      <c r="DW63" s="324"/>
      <c r="DX63" s="324"/>
      <c r="DY63" s="324"/>
      <c r="DZ63" s="324"/>
      <c r="EA63" s="324"/>
      <c r="EB63" s="324"/>
      <c r="EC63" s="324"/>
      <c r="ED63" s="324"/>
      <c r="EE63" s="324"/>
      <c r="EF63" s="324"/>
      <c r="EG63" s="324"/>
      <c r="EH63" s="324"/>
      <c r="EI63" s="324"/>
      <c r="EJ63" s="324"/>
      <c r="EK63" s="324"/>
      <c r="EL63" s="324"/>
      <c r="EM63" s="324"/>
      <c r="EN63" s="324"/>
      <c r="EO63" s="324"/>
      <c r="EP63" s="324"/>
      <c r="EQ63" s="324"/>
      <c r="ER63" s="324"/>
      <c r="ES63" s="324"/>
      <c r="ET63" s="324"/>
      <c r="EU63" s="324"/>
      <c r="EV63" s="324"/>
      <c r="EW63" s="324"/>
      <c r="EX63" s="324"/>
      <c r="EY63" s="324"/>
      <c r="EZ63" s="324"/>
      <c r="FA63" s="324"/>
      <c r="FB63" s="324"/>
      <c r="FC63" s="324"/>
      <c r="FD63" s="324"/>
      <c r="FE63" s="324"/>
      <c r="FF63" s="324"/>
      <c r="FG63" s="324"/>
      <c r="FH63" s="324"/>
      <c r="FI63" s="324"/>
      <c r="FJ63" s="324"/>
      <c r="FK63" s="324"/>
      <c r="FL63" s="324"/>
      <c r="FM63" s="324"/>
      <c r="FN63" s="324"/>
      <c r="FO63" s="324"/>
      <c r="FP63" s="324"/>
      <c r="FQ63" s="324"/>
      <c r="FR63" s="324"/>
      <c r="FS63" s="324"/>
      <c r="FT63" s="324"/>
      <c r="FU63" s="324"/>
      <c r="FV63" s="324"/>
      <c r="FW63" s="324"/>
      <c r="FX63" s="324"/>
      <c r="FY63" s="324"/>
      <c r="FZ63" s="324"/>
      <c r="GA63" s="324"/>
      <c r="GB63" s="324"/>
      <c r="GC63" s="324"/>
      <c r="GD63" s="324"/>
      <c r="GE63" s="324"/>
      <c r="GF63" s="324"/>
      <c r="GG63" s="324"/>
      <c r="GH63" s="324"/>
      <c r="GI63" s="324"/>
      <c r="GJ63" s="324"/>
      <c r="GK63" s="324"/>
      <c r="GL63" s="324"/>
      <c r="GM63" s="324"/>
      <c r="GN63" s="324"/>
      <c r="GO63" s="324"/>
      <c r="GP63" s="324"/>
      <c r="GQ63" s="324"/>
      <c r="GR63" s="324"/>
      <c r="GS63" s="324"/>
      <c r="GT63" s="324"/>
      <c r="GU63" s="324"/>
      <c r="GV63" s="324"/>
      <c r="GW63" s="324"/>
      <c r="GX63" s="324"/>
      <c r="GY63" s="324"/>
      <c r="GZ63" s="324"/>
      <c r="HA63" s="324"/>
      <c r="HB63" s="324"/>
      <c r="HC63" s="324"/>
      <c r="HD63" s="324"/>
      <c r="HE63" s="324"/>
      <c r="HF63" s="324"/>
      <c r="HG63" s="324"/>
      <c r="HH63" s="324"/>
      <c r="HI63" s="324"/>
      <c r="HJ63" s="324"/>
      <c r="HK63" s="324"/>
      <c r="HL63" s="324"/>
      <c r="HM63" s="324"/>
      <c r="HN63" s="324"/>
      <c r="HO63" s="324"/>
      <c r="HP63" s="324"/>
      <c r="HQ63" s="324"/>
      <c r="HR63" s="324"/>
      <c r="HS63" s="324"/>
      <c r="HT63" s="324"/>
      <c r="HU63" s="324"/>
      <c r="HV63" s="324"/>
      <c r="HW63" s="324"/>
      <c r="HX63" s="324"/>
      <c r="HY63" s="324"/>
      <c r="HZ63" s="324"/>
      <c r="IA63" s="324"/>
      <c r="IB63" s="324"/>
      <c r="IC63" s="324"/>
      <c r="ID63" s="324"/>
      <c r="IE63" s="324"/>
      <c r="IF63" s="324"/>
      <c r="IG63" s="324"/>
      <c r="IH63" s="324"/>
      <c r="II63" s="324"/>
      <c r="IJ63" s="324"/>
      <c r="IK63" s="324"/>
      <c r="IL63" s="324"/>
      <c r="IM63" s="324"/>
    </row>
    <row r="64" spans="1:247" x14ac:dyDescent="0.35">
      <c r="A64" s="356">
        <v>1797</v>
      </c>
      <c r="B64" s="357" t="s">
        <v>73</v>
      </c>
      <c r="C64" s="172" t="s">
        <v>37</v>
      </c>
      <c r="D64" s="358" t="s">
        <v>2051</v>
      </c>
      <c r="E64" s="336"/>
      <c r="F64" s="331">
        <v>1.0209999999999999</v>
      </c>
      <c r="G64" s="337">
        <v>1.0269999999999999</v>
      </c>
      <c r="H64" s="336"/>
      <c r="I64" s="338"/>
      <c r="J64" s="338"/>
      <c r="K64" s="338"/>
      <c r="L64" s="338"/>
      <c r="M64" s="338"/>
      <c r="N64" s="337"/>
      <c r="O64" s="339"/>
      <c r="P64" s="336"/>
      <c r="Q64" s="337"/>
      <c r="R64" s="340">
        <f t="shared" si="1"/>
        <v>1.0485669999999998</v>
      </c>
      <c r="S64" s="324"/>
      <c r="T64" s="324"/>
      <c r="U64" s="324"/>
      <c r="V64" s="324"/>
      <c r="W64" s="324"/>
      <c r="X64" s="324"/>
      <c r="Y64" s="324"/>
      <c r="Z64" s="324"/>
      <c r="AA64" s="324"/>
      <c r="AB64" s="324"/>
      <c r="AC64" s="324"/>
      <c r="AD64" s="324"/>
      <c r="AE64" s="324"/>
      <c r="AF64" s="324"/>
      <c r="AG64" s="324"/>
      <c r="AH64" s="324"/>
      <c r="AI64" s="324"/>
      <c r="AJ64" s="324"/>
      <c r="AK64" s="324"/>
      <c r="AL64" s="324"/>
      <c r="AM64" s="324"/>
      <c r="AN64" s="324"/>
      <c r="AO64" s="324"/>
      <c r="AP64" s="324"/>
      <c r="AQ64" s="324"/>
      <c r="AR64" s="324"/>
      <c r="AS64" s="324"/>
      <c r="AT64" s="324"/>
      <c r="AU64" s="324"/>
      <c r="AV64" s="324"/>
      <c r="AW64" s="324"/>
      <c r="AX64" s="324"/>
      <c r="AY64" s="324"/>
      <c r="AZ64" s="324"/>
      <c r="BA64" s="324"/>
      <c r="BB64" s="324"/>
      <c r="BC64" s="324"/>
      <c r="BD64" s="324"/>
      <c r="BE64" s="324"/>
      <c r="BF64" s="324"/>
      <c r="BG64" s="324"/>
      <c r="BH64" s="324"/>
      <c r="BI64" s="324"/>
      <c r="BJ64" s="324"/>
      <c r="BK64" s="324"/>
      <c r="BL64" s="324"/>
      <c r="BM64" s="324"/>
      <c r="BN64" s="324"/>
      <c r="BO64" s="324"/>
      <c r="BP64" s="324"/>
      <c r="BQ64" s="324"/>
      <c r="BR64" s="324"/>
      <c r="BS64" s="324"/>
      <c r="BT64" s="324"/>
      <c r="BU64" s="324"/>
      <c r="BV64" s="324"/>
      <c r="BW64" s="324"/>
      <c r="BX64" s="324"/>
      <c r="BY64" s="324"/>
      <c r="BZ64" s="324"/>
      <c r="CA64" s="324"/>
      <c r="CB64" s="324"/>
      <c r="CC64" s="324"/>
      <c r="CD64" s="324"/>
      <c r="CE64" s="324"/>
      <c r="CF64" s="324"/>
      <c r="CG64" s="324"/>
      <c r="CH64" s="324"/>
      <c r="CI64" s="324"/>
      <c r="CJ64" s="324"/>
      <c r="CK64" s="324"/>
      <c r="CL64" s="324"/>
      <c r="CM64" s="324"/>
      <c r="CN64" s="324"/>
      <c r="CO64" s="324"/>
      <c r="CP64" s="324"/>
      <c r="CQ64" s="324"/>
      <c r="CR64" s="324"/>
      <c r="CS64" s="324"/>
      <c r="CT64" s="324"/>
      <c r="CU64" s="324"/>
      <c r="CV64" s="324"/>
      <c r="CW64" s="324"/>
      <c r="CX64" s="324"/>
      <c r="CY64" s="324"/>
      <c r="CZ64" s="324"/>
      <c r="DA64" s="324"/>
      <c r="DB64" s="324"/>
      <c r="DC64" s="324"/>
      <c r="DD64" s="324"/>
      <c r="DE64" s="324"/>
      <c r="DF64" s="324"/>
      <c r="DG64" s="324"/>
      <c r="DH64" s="324"/>
      <c r="DI64" s="324"/>
      <c r="DJ64" s="324"/>
      <c r="DK64" s="324"/>
      <c r="DL64" s="324"/>
      <c r="DM64" s="324"/>
      <c r="DN64" s="324"/>
      <c r="DO64" s="324"/>
      <c r="DP64" s="324"/>
      <c r="DQ64" s="324"/>
      <c r="DR64" s="324"/>
      <c r="DS64" s="324"/>
      <c r="DT64" s="324"/>
      <c r="DU64" s="324"/>
      <c r="DV64" s="324"/>
      <c r="DW64" s="324"/>
      <c r="DX64" s="324"/>
      <c r="DY64" s="324"/>
      <c r="DZ64" s="324"/>
      <c r="EA64" s="324"/>
      <c r="EB64" s="324"/>
      <c r="EC64" s="324"/>
      <c r="ED64" s="324"/>
      <c r="EE64" s="324"/>
      <c r="EF64" s="324"/>
      <c r="EG64" s="324"/>
      <c r="EH64" s="324"/>
      <c r="EI64" s="324"/>
      <c r="EJ64" s="324"/>
      <c r="EK64" s="324"/>
      <c r="EL64" s="324"/>
      <c r="EM64" s="324"/>
      <c r="EN64" s="324"/>
      <c r="EO64" s="324"/>
      <c r="EP64" s="324"/>
      <c r="EQ64" s="324"/>
      <c r="ER64" s="324"/>
      <c r="ES64" s="324"/>
      <c r="ET64" s="324"/>
      <c r="EU64" s="324"/>
      <c r="EV64" s="324"/>
      <c r="EW64" s="324"/>
      <c r="EX64" s="324"/>
      <c r="EY64" s="324"/>
      <c r="EZ64" s="324"/>
      <c r="FA64" s="324"/>
      <c r="FB64" s="324"/>
      <c r="FC64" s="324"/>
      <c r="FD64" s="324"/>
      <c r="FE64" s="324"/>
      <c r="FF64" s="324"/>
      <c r="FG64" s="324"/>
      <c r="FH64" s="324"/>
      <c r="FI64" s="324"/>
      <c r="FJ64" s="324"/>
      <c r="FK64" s="324"/>
      <c r="FL64" s="324"/>
      <c r="FM64" s="324"/>
      <c r="FN64" s="324"/>
      <c r="FO64" s="324"/>
      <c r="FP64" s="324"/>
      <c r="FQ64" s="324"/>
      <c r="FR64" s="324"/>
      <c r="FS64" s="324"/>
      <c r="FT64" s="324"/>
      <c r="FU64" s="324"/>
      <c r="FV64" s="324"/>
      <c r="FW64" s="324"/>
      <c r="FX64" s="324"/>
      <c r="FY64" s="324"/>
      <c r="FZ64" s="324"/>
      <c r="GA64" s="324"/>
      <c r="GB64" s="324"/>
      <c r="GC64" s="324"/>
      <c r="GD64" s="324"/>
      <c r="GE64" s="324"/>
      <c r="GF64" s="324"/>
      <c r="GG64" s="324"/>
      <c r="GH64" s="324"/>
      <c r="GI64" s="324"/>
      <c r="GJ64" s="324"/>
      <c r="GK64" s="324"/>
      <c r="GL64" s="324"/>
      <c r="GM64" s="324"/>
      <c r="GN64" s="324"/>
      <c r="GO64" s="324"/>
      <c r="GP64" s="324"/>
      <c r="GQ64" s="324"/>
      <c r="GR64" s="324"/>
      <c r="GS64" s="324"/>
      <c r="GT64" s="324"/>
      <c r="GU64" s="324"/>
      <c r="GV64" s="324"/>
      <c r="GW64" s="324"/>
      <c r="GX64" s="324"/>
      <c r="GY64" s="324"/>
      <c r="GZ64" s="324"/>
      <c r="HA64" s="324"/>
      <c r="HB64" s="324"/>
      <c r="HC64" s="324"/>
      <c r="HD64" s="324"/>
      <c r="HE64" s="324"/>
      <c r="HF64" s="324"/>
      <c r="HG64" s="324"/>
      <c r="HH64" s="324"/>
      <c r="HI64" s="324"/>
      <c r="HJ64" s="324"/>
      <c r="HK64" s="324"/>
      <c r="HL64" s="324"/>
      <c r="HM64" s="324"/>
      <c r="HN64" s="324"/>
      <c r="HO64" s="324"/>
      <c r="HP64" s="324"/>
      <c r="HQ64" s="324"/>
      <c r="HR64" s="324"/>
      <c r="HS64" s="324"/>
      <c r="HT64" s="324"/>
      <c r="HU64" s="324"/>
      <c r="HV64" s="324"/>
      <c r="HW64" s="324"/>
      <c r="HX64" s="324"/>
      <c r="HY64" s="324"/>
      <c r="HZ64" s="324"/>
      <c r="IA64" s="324"/>
      <c r="IB64" s="324"/>
      <c r="IC64" s="324"/>
      <c r="ID64" s="324"/>
      <c r="IE64" s="324"/>
      <c r="IF64" s="324"/>
      <c r="IG64" s="324"/>
      <c r="IH64" s="324"/>
      <c r="II64" s="324"/>
      <c r="IJ64" s="324"/>
      <c r="IK64" s="324"/>
      <c r="IL64" s="324"/>
      <c r="IM64" s="324"/>
    </row>
    <row r="65" spans="1:247" x14ac:dyDescent="0.35">
      <c r="A65" s="356">
        <v>1798</v>
      </c>
      <c r="B65" s="357" t="s">
        <v>74</v>
      </c>
      <c r="C65" s="172" t="s">
        <v>10</v>
      </c>
      <c r="D65" s="358" t="s">
        <v>2051</v>
      </c>
      <c r="E65" s="336"/>
      <c r="F65" s="331">
        <v>1.0209999999999999</v>
      </c>
      <c r="G65" s="337">
        <v>1.0269999999999999</v>
      </c>
      <c r="H65" s="336"/>
      <c r="I65" s="338"/>
      <c r="J65" s="338"/>
      <c r="K65" s="338"/>
      <c r="L65" s="338"/>
      <c r="M65" s="338"/>
      <c r="N65" s="337"/>
      <c r="O65" s="339"/>
      <c r="P65" s="336"/>
      <c r="Q65" s="337"/>
      <c r="R65" s="340">
        <f t="shared" si="1"/>
        <v>1.0485669999999998</v>
      </c>
      <c r="S65" s="324"/>
      <c r="T65" s="324"/>
      <c r="U65" s="324"/>
      <c r="V65" s="324"/>
      <c r="W65" s="324"/>
      <c r="X65" s="324"/>
      <c r="Y65" s="324"/>
      <c r="Z65" s="324"/>
      <c r="AA65" s="324"/>
      <c r="AB65" s="324"/>
      <c r="AC65" s="324"/>
      <c r="AD65" s="324"/>
      <c r="AE65" s="324"/>
      <c r="AF65" s="324"/>
      <c r="AG65" s="324"/>
      <c r="AH65" s="324"/>
      <c r="AI65" s="324"/>
      <c r="AJ65" s="324"/>
      <c r="AK65" s="324"/>
      <c r="AL65" s="324"/>
      <c r="AM65" s="324"/>
      <c r="AN65" s="324"/>
      <c r="AO65" s="324"/>
      <c r="AP65" s="324"/>
      <c r="AQ65" s="324"/>
      <c r="AR65" s="324"/>
      <c r="AS65" s="324"/>
      <c r="AT65" s="324"/>
      <c r="AU65" s="324"/>
      <c r="AV65" s="324"/>
      <c r="AW65" s="324"/>
      <c r="AX65" s="324"/>
      <c r="AY65" s="324"/>
      <c r="AZ65" s="324"/>
      <c r="BA65" s="324"/>
      <c r="BB65" s="324"/>
      <c r="BC65" s="324"/>
      <c r="BD65" s="324"/>
      <c r="BE65" s="324"/>
      <c r="BF65" s="324"/>
      <c r="BG65" s="324"/>
      <c r="BH65" s="324"/>
      <c r="BI65" s="324"/>
      <c r="BJ65" s="324"/>
      <c r="BK65" s="324"/>
      <c r="BL65" s="324"/>
      <c r="BM65" s="324"/>
      <c r="BN65" s="324"/>
      <c r="BO65" s="324"/>
      <c r="BP65" s="324"/>
      <c r="BQ65" s="324"/>
      <c r="BR65" s="324"/>
      <c r="BS65" s="324"/>
      <c r="BT65" s="324"/>
      <c r="BU65" s="324"/>
      <c r="BV65" s="324"/>
      <c r="BW65" s="324"/>
      <c r="BX65" s="324"/>
      <c r="BY65" s="324"/>
      <c r="BZ65" s="324"/>
      <c r="CA65" s="324"/>
      <c r="CB65" s="324"/>
      <c r="CC65" s="324"/>
      <c r="CD65" s="324"/>
      <c r="CE65" s="324"/>
      <c r="CF65" s="324"/>
      <c r="CG65" s="324"/>
      <c r="CH65" s="324"/>
      <c r="CI65" s="324"/>
      <c r="CJ65" s="324"/>
      <c r="CK65" s="324"/>
      <c r="CL65" s="324"/>
      <c r="CM65" s="324"/>
      <c r="CN65" s="324"/>
      <c r="CO65" s="324"/>
      <c r="CP65" s="324"/>
      <c r="CQ65" s="324"/>
      <c r="CR65" s="324"/>
      <c r="CS65" s="324"/>
      <c r="CT65" s="324"/>
      <c r="CU65" s="324"/>
      <c r="CV65" s="324"/>
      <c r="CW65" s="324"/>
      <c r="CX65" s="324"/>
      <c r="CY65" s="324"/>
      <c r="CZ65" s="324"/>
      <c r="DA65" s="324"/>
      <c r="DB65" s="324"/>
      <c r="DC65" s="324"/>
      <c r="DD65" s="324"/>
      <c r="DE65" s="324"/>
      <c r="DF65" s="324"/>
      <c r="DG65" s="324"/>
      <c r="DH65" s="324"/>
      <c r="DI65" s="324"/>
      <c r="DJ65" s="324"/>
      <c r="DK65" s="324"/>
      <c r="DL65" s="324"/>
      <c r="DM65" s="324"/>
      <c r="DN65" s="324"/>
      <c r="DO65" s="324"/>
      <c r="DP65" s="324"/>
      <c r="DQ65" s="324"/>
      <c r="DR65" s="324"/>
      <c r="DS65" s="324"/>
      <c r="DT65" s="324"/>
      <c r="DU65" s="324"/>
      <c r="DV65" s="324"/>
      <c r="DW65" s="324"/>
      <c r="DX65" s="324"/>
      <c r="DY65" s="324"/>
      <c r="DZ65" s="324"/>
      <c r="EA65" s="324"/>
      <c r="EB65" s="324"/>
      <c r="EC65" s="324"/>
      <c r="ED65" s="324"/>
      <c r="EE65" s="324"/>
      <c r="EF65" s="324"/>
      <c r="EG65" s="324"/>
      <c r="EH65" s="324"/>
      <c r="EI65" s="324"/>
      <c r="EJ65" s="324"/>
      <c r="EK65" s="324"/>
      <c r="EL65" s="324"/>
      <c r="EM65" s="324"/>
      <c r="EN65" s="324"/>
      <c r="EO65" s="324"/>
      <c r="EP65" s="324"/>
      <c r="EQ65" s="324"/>
      <c r="ER65" s="324"/>
      <c r="ES65" s="324"/>
      <c r="ET65" s="324"/>
      <c r="EU65" s="324"/>
      <c r="EV65" s="324"/>
      <c r="EW65" s="324"/>
      <c r="EX65" s="324"/>
      <c r="EY65" s="324"/>
      <c r="EZ65" s="324"/>
      <c r="FA65" s="324"/>
      <c r="FB65" s="324"/>
      <c r="FC65" s="324"/>
      <c r="FD65" s="324"/>
      <c r="FE65" s="324"/>
      <c r="FF65" s="324"/>
      <c r="FG65" s="324"/>
      <c r="FH65" s="324"/>
      <c r="FI65" s="324"/>
      <c r="FJ65" s="324"/>
      <c r="FK65" s="324"/>
      <c r="FL65" s="324"/>
      <c r="FM65" s="324"/>
      <c r="FN65" s="324"/>
      <c r="FO65" s="324"/>
      <c r="FP65" s="324"/>
      <c r="FQ65" s="324"/>
      <c r="FR65" s="324"/>
      <c r="FS65" s="324"/>
      <c r="FT65" s="324"/>
      <c r="FU65" s="324"/>
      <c r="FV65" s="324"/>
      <c r="FW65" s="324"/>
      <c r="FX65" s="324"/>
      <c r="FY65" s="324"/>
      <c r="FZ65" s="324"/>
      <c r="GA65" s="324"/>
      <c r="GB65" s="324"/>
      <c r="GC65" s="324"/>
      <c r="GD65" s="324"/>
      <c r="GE65" s="324"/>
      <c r="GF65" s="324"/>
      <c r="GG65" s="324"/>
      <c r="GH65" s="324"/>
      <c r="GI65" s="324"/>
      <c r="GJ65" s="324"/>
      <c r="GK65" s="324"/>
      <c r="GL65" s="324"/>
      <c r="GM65" s="324"/>
      <c r="GN65" s="324"/>
      <c r="GO65" s="324"/>
      <c r="GP65" s="324"/>
      <c r="GQ65" s="324"/>
      <c r="GR65" s="324"/>
      <c r="GS65" s="324"/>
      <c r="GT65" s="324"/>
      <c r="GU65" s="324"/>
      <c r="GV65" s="324"/>
      <c r="GW65" s="324"/>
      <c r="GX65" s="324"/>
      <c r="GY65" s="324"/>
      <c r="GZ65" s="324"/>
      <c r="HA65" s="324"/>
      <c r="HB65" s="324"/>
      <c r="HC65" s="324"/>
      <c r="HD65" s="324"/>
      <c r="HE65" s="324"/>
      <c r="HF65" s="324"/>
      <c r="HG65" s="324"/>
      <c r="HH65" s="324"/>
      <c r="HI65" s="324"/>
      <c r="HJ65" s="324"/>
      <c r="HK65" s="324"/>
      <c r="HL65" s="324"/>
      <c r="HM65" s="324"/>
      <c r="HN65" s="324"/>
      <c r="HO65" s="324"/>
      <c r="HP65" s="324"/>
      <c r="HQ65" s="324"/>
      <c r="HR65" s="324"/>
      <c r="HS65" s="324"/>
      <c r="HT65" s="324"/>
      <c r="HU65" s="324"/>
      <c r="HV65" s="324"/>
      <c r="HW65" s="324"/>
      <c r="HX65" s="324"/>
      <c r="HY65" s="324"/>
      <c r="HZ65" s="324"/>
      <c r="IA65" s="324"/>
      <c r="IB65" s="324"/>
      <c r="IC65" s="324"/>
      <c r="ID65" s="324"/>
      <c r="IE65" s="324"/>
      <c r="IF65" s="324"/>
      <c r="IG65" s="324"/>
      <c r="IH65" s="324"/>
      <c r="II65" s="324"/>
      <c r="IJ65" s="324"/>
      <c r="IK65" s="324"/>
      <c r="IL65" s="324"/>
      <c r="IM65" s="324"/>
    </row>
    <row r="66" spans="1:247" x14ac:dyDescent="0.35">
      <c r="A66" s="356">
        <v>1799</v>
      </c>
      <c r="B66" s="357" t="s">
        <v>75</v>
      </c>
      <c r="C66" s="172" t="s">
        <v>10</v>
      </c>
      <c r="D66" s="358" t="s">
        <v>2051</v>
      </c>
      <c r="E66" s="336"/>
      <c r="F66" s="331">
        <v>1.0209999999999999</v>
      </c>
      <c r="G66" s="337">
        <v>1.0269999999999999</v>
      </c>
      <c r="H66" s="336"/>
      <c r="I66" s="338"/>
      <c r="J66" s="338"/>
      <c r="K66" s="338"/>
      <c r="L66" s="338"/>
      <c r="M66" s="338"/>
      <c r="N66" s="337"/>
      <c r="O66" s="339"/>
      <c r="P66" s="336"/>
      <c r="Q66" s="337"/>
      <c r="R66" s="340">
        <f t="shared" si="1"/>
        <v>1.0485669999999998</v>
      </c>
      <c r="S66" s="324"/>
      <c r="T66" s="324"/>
      <c r="U66" s="324"/>
      <c r="V66" s="324"/>
      <c r="W66" s="324"/>
      <c r="X66" s="324"/>
      <c r="Y66" s="324"/>
      <c r="Z66" s="324"/>
      <c r="AA66" s="324"/>
      <c r="AB66" s="324"/>
      <c r="AC66" s="324"/>
      <c r="AD66" s="324"/>
      <c r="AE66" s="324"/>
      <c r="AF66" s="324"/>
      <c r="AG66" s="324"/>
      <c r="AH66" s="324"/>
      <c r="AI66" s="324"/>
      <c r="AJ66" s="324"/>
      <c r="AK66" s="324"/>
      <c r="AL66" s="324"/>
      <c r="AM66" s="324"/>
      <c r="AN66" s="324"/>
      <c r="AO66" s="324"/>
      <c r="AP66" s="324"/>
      <c r="AQ66" s="324"/>
      <c r="AR66" s="324"/>
      <c r="AS66" s="324"/>
      <c r="AT66" s="324"/>
      <c r="AU66" s="324"/>
      <c r="AV66" s="324"/>
      <c r="AW66" s="324"/>
      <c r="AX66" s="324"/>
      <c r="AY66" s="324"/>
      <c r="AZ66" s="324"/>
      <c r="BA66" s="324"/>
      <c r="BB66" s="324"/>
      <c r="BC66" s="324"/>
      <c r="BD66" s="324"/>
      <c r="BE66" s="324"/>
      <c r="BF66" s="324"/>
      <c r="BG66" s="324"/>
      <c r="BH66" s="324"/>
      <c r="BI66" s="324"/>
      <c r="BJ66" s="324"/>
      <c r="BK66" s="324"/>
      <c r="BL66" s="324"/>
      <c r="BM66" s="324"/>
      <c r="BN66" s="324"/>
      <c r="BO66" s="324"/>
      <c r="BP66" s="324"/>
      <c r="BQ66" s="324"/>
      <c r="BR66" s="324"/>
      <c r="BS66" s="324"/>
      <c r="BT66" s="324"/>
      <c r="BU66" s="324"/>
      <c r="BV66" s="324"/>
      <c r="BW66" s="324"/>
      <c r="BX66" s="324"/>
      <c r="BY66" s="324"/>
      <c r="BZ66" s="324"/>
      <c r="CA66" s="324"/>
      <c r="CB66" s="324"/>
      <c r="CC66" s="324"/>
      <c r="CD66" s="324"/>
      <c r="CE66" s="324"/>
      <c r="CF66" s="324"/>
      <c r="CG66" s="324"/>
      <c r="CH66" s="324"/>
      <c r="CI66" s="324"/>
      <c r="CJ66" s="324"/>
      <c r="CK66" s="324"/>
      <c r="CL66" s="324"/>
      <c r="CM66" s="324"/>
      <c r="CN66" s="324"/>
      <c r="CO66" s="324"/>
      <c r="CP66" s="324"/>
      <c r="CQ66" s="324"/>
      <c r="CR66" s="324"/>
      <c r="CS66" s="324"/>
      <c r="CT66" s="324"/>
      <c r="CU66" s="324"/>
      <c r="CV66" s="324"/>
      <c r="CW66" s="324"/>
      <c r="CX66" s="324"/>
      <c r="CY66" s="324"/>
      <c r="CZ66" s="324"/>
      <c r="DA66" s="324"/>
      <c r="DB66" s="324"/>
      <c r="DC66" s="324"/>
      <c r="DD66" s="324"/>
      <c r="DE66" s="324"/>
      <c r="DF66" s="324"/>
      <c r="DG66" s="324"/>
      <c r="DH66" s="324"/>
      <c r="DI66" s="324"/>
      <c r="DJ66" s="324"/>
      <c r="DK66" s="324"/>
      <c r="DL66" s="324"/>
      <c r="DM66" s="324"/>
      <c r="DN66" s="324"/>
      <c r="DO66" s="324"/>
      <c r="DP66" s="324"/>
      <c r="DQ66" s="324"/>
      <c r="DR66" s="324"/>
      <c r="DS66" s="324"/>
      <c r="DT66" s="324"/>
      <c r="DU66" s="324"/>
      <c r="DV66" s="324"/>
      <c r="DW66" s="324"/>
      <c r="DX66" s="324"/>
      <c r="DY66" s="324"/>
      <c r="DZ66" s="324"/>
      <c r="EA66" s="324"/>
      <c r="EB66" s="324"/>
      <c r="EC66" s="324"/>
      <c r="ED66" s="324"/>
      <c r="EE66" s="324"/>
      <c r="EF66" s="324"/>
      <c r="EG66" s="324"/>
      <c r="EH66" s="324"/>
      <c r="EI66" s="324"/>
      <c r="EJ66" s="324"/>
      <c r="EK66" s="324"/>
      <c r="EL66" s="324"/>
      <c r="EM66" s="324"/>
      <c r="EN66" s="324"/>
      <c r="EO66" s="324"/>
      <c r="EP66" s="324"/>
      <c r="EQ66" s="324"/>
      <c r="ER66" s="324"/>
      <c r="ES66" s="324"/>
      <c r="ET66" s="324"/>
      <c r="EU66" s="324"/>
      <c r="EV66" s="324"/>
      <c r="EW66" s="324"/>
      <c r="EX66" s="324"/>
      <c r="EY66" s="324"/>
      <c r="EZ66" s="324"/>
      <c r="FA66" s="324"/>
      <c r="FB66" s="324"/>
      <c r="FC66" s="324"/>
      <c r="FD66" s="324"/>
      <c r="FE66" s="324"/>
      <c r="FF66" s="324"/>
      <c r="FG66" s="324"/>
      <c r="FH66" s="324"/>
      <c r="FI66" s="324"/>
      <c r="FJ66" s="324"/>
      <c r="FK66" s="324"/>
      <c r="FL66" s="324"/>
      <c r="FM66" s="324"/>
      <c r="FN66" s="324"/>
      <c r="FO66" s="324"/>
      <c r="FP66" s="324"/>
      <c r="FQ66" s="324"/>
      <c r="FR66" s="324"/>
      <c r="FS66" s="324"/>
      <c r="FT66" s="324"/>
      <c r="FU66" s="324"/>
      <c r="FV66" s="324"/>
      <c r="FW66" s="324"/>
      <c r="FX66" s="324"/>
      <c r="FY66" s="324"/>
      <c r="FZ66" s="324"/>
      <c r="GA66" s="324"/>
      <c r="GB66" s="324"/>
      <c r="GC66" s="324"/>
      <c r="GD66" s="324"/>
      <c r="GE66" s="324"/>
      <c r="GF66" s="324"/>
      <c r="GG66" s="324"/>
      <c r="GH66" s="324"/>
      <c r="GI66" s="324"/>
      <c r="GJ66" s="324"/>
      <c r="GK66" s="324"/>
      <c r="GL66" s="324"/>
      <c r="GM66" s="324"/>
      <c r="GN66" s="324"/>
      <c r="GO66" s="324"/>
      <c r="GP66" s="324"/>
      <c r="GQ66" s="324"/>
      <c r="GR66" s="324"/>
      <c r="GS66" s="324"/>
      <c r="GT66" s="324"/>
      <c r="GU66" s="324"/>
      <c r="GV66" s="324"/>
      <c r="GW66" s="324"/>
      <c r="GX66" s="324"/>
      <c r="GY66" s="324"/>
      <c r="GZ66" s="324"/>
      <c r="HA66" s="324"/>
      <c r="HB66" s="324"/>
      <c r="HC66" s="324"/>
      <c r="HD66" s="324"/>
      <c r="HE66" s="324"/>
      <c r="HF66" s="324"/>
      <c r="HG66" s="324"/>
      <c r="HH66" s="324"/>
      <c r="HI66" s="324"/>
      <c r="HJ66" s="324"/>
      <c r="HK66" s="324"/>
      <c r="HL66" s="324"/>
      <c r="HM66" s="324"/>
      <c r="HN66" s="324"/>
      <c r="HO66" s="324"/>
      <c r="HP66" s="324"/>
      <c r="HQ66" s="324"/>
      <c r="HR66" s="324"/>
      <c r="HS66" s="324"/>
      <c r="HT66" s="324"/>
      <c r="HU66" s="324"/>
      <c r="HV66" s="324"/>
      <c r="HW66" s="324"/>
      <c r="HX66" s="324"/>
      <c r="HY66" s="324"/>
      <c r="HZ66" s="324"/>
      <c r="IA66" s="324"/>
      <c r="IB66" s="324"/>
      <c r="IC66" s="324"/>
      <c r="ID66" s="324"/>
      <c r="IE66" s="324"/>
      <c r="IF66" s="324"/>
      <c r="IG66" s="324"/>
      <c r="IH66" s="324"/>
      <c r="II66" s="324"/>
      <c r="IJ66" s="324"/>
      <c r="IK66" s="324"/>
      <c r="IL66" s="324"/>
      <c r="IM66" s="324"/>
    </row>
    <row r="67" spans="1:247" x14ac:dyDescent="0.35">
      <c r="A67" s="356">
        <v>2112</v>
      </c>
      <c r="B67" s="357" t="s">
        <v>76</v>
      </c>
      <c r="C67" s="172" t="s">
        <v>8</v>
      </c>
      <c r="D67" s="358" t="s">
        <v>2053</v>
      </c>
      <c r="E67" s="336"/>
      <c r="F67" s="331">
        <f t="shared" si="0"/>
        <v>1.0209999999999999</v>
      </c>
      <c r="G67" s="337">
        <f t="shared" ref="G67:G91" si="7">+$G$3</f>
        <v>1.0269999999999999</v>
      </c>
      <c r="H67" s="336">
        <f>+$H$3</f>
        <v>1.0029999999999999</v>
      </c>
      <c r="I67" s="338">
        <f>+$I$3</f>
        <v>1.0289999999999999</v>
      </c>
      <c r="J67" s="338">
        <f>+$J$3</f>
        <v>1.0049999999999999</v>
      </c>
      <c r="K67" s="338"/>
      <c r="L67" s="338"/>
      <c r="M67" s="338">
        <f>+$M$3</f>
        <v>1.0029999999999999</v>
      </c>
      <c r="N67" s="337">
        <f t="shared" ref="N67:N87" si="8">+$N$3</f>
        <v>1.0029999999999999</v>
      </c>
      <c r="O67" s="339">
        <f>+$O$3</f>
        <v>1.0209999999999999</v>
      </c>
      <c r="P67" s="336">
        <f t="shared" ref="P67:P81" si="9">+$P$3</f>
        <v>1.032</v>
      </c>
      <c r="Q67" s="337">
        <f t="shared" ref="Q67:Q81" si="10">+$Q$3</f>
        <v>1.0349999999999999</v>
      </c>
      <c r="R67" s="340">
        <f t="shared" si="1"/>
        <v>1.1932356231980656</v>
      </c>
      <c r="S67" s="324"/>
      <c r="T67" s="324"/>
      <c r="U67" s="324"/>
      <c r="V67" s="324"/>
      <c r="W67" s="324"/>
      <c r="X67" s="324"/>
      <c r="Y67" s="324"/>
      <c r="Z67" s="324"/>
      <c r="AA67" s="324"/>
      <c r="AB67" s="324"/>
      <c r="AC67" s="324"/>
      <c r="AD67" s="324"/>
      <c r="AE67" s="324"/>
      <c r="AF67" s="324"/>
      <c r="AG67" s="324"/>
      <c r="AH67" s="324"/>
      <c r="AI67" s="324"/>
      <c r="AJ67" s="324"/>
      <c r="AK67" s="324"/>
      <c r="AL67" s="324"/>
      <c r="AM67" s="324"/>
      <c r="AN67" s="324"/>
      <c r="AO67" s="324"/>
      <c r="AP67" s="324"/>
      <c r="AQ67" s="324"/>
      <c r="AR67" s="324"/>
      <c r="AS67" s="324"/>
      <c r="AT67" s="324"/>
      <c r="AU67" s="324"/>
      <c r="AV67" s="324"/>
      <c r="AW67" s="324"/>
      <c r="AX67" s="324"/>
      <c r="AY67" s="324"/>
      <c r="AZ67" s="324"/>
      <c r="BA67" s="324"/>
      <c r="BB67" s="324"/>
      <c r="BC67" s="324"/>
      <c r="BD67" s="324"/>
      <c r="BE67" s="324"/>
      <c r="BF67" s="324"/>
      <c r="BG67" s="324"/>
      <c r="BH67" s="324"/>
      <c r="BI67" s="324"/>
      <c r="BJ67" s="324"/>
      <c r="BK67" s="324"/>
      <c r="BL67" s="324"/>
      <c r="BM67" s="324"/>
      <c r="BN67" s="324"/>
      <c r="BO67" s="324"/>
      <c r="BP67" s="324"/>
      <c r="BQ67" s="324"/>
      <c r="BR67" s="324"/>
      <c r="BS67" s="324"/>
      <c r="BT67" s="324"/>
      <c r="BU67" s="324"/>
      <c r="BV67" s="324"/>
      <c r="BW67" s="324"/>
      <c r="BX67" s="324"/>
      <c r="BY67" s="324"/>
      <c r="BZ67" s="324"/>
      <c r="CA67" s="324"/>
      <c r="CB67" s="324"/>
      <c r="CC67" s="324"/>
      <c r="CD67" s="324"/>
      <c r="CE67" s="324"/>
      <c r="CF67" s="324"/>
      <c r="CG67" s="324"/>
      <c r="CH67" s="324"/>
      <c r="CI67" s="324"/>
      <c r="CJ67" s="324"/>
      <c r="CK67" s="324"/>
      <c r="CL67" s="324"/>
      <c r="CM67" s="324"/>
      <c r="CN67" s="324"/>
      <c r="CO67" s="324"/>
      <c r="CP67" s="324"/>
      <c r="CQ67" s="324"/>
      <c r="CR67" s="324"/>
      <c r="CS67" s="324"/>
      <c r="CT67" s="324"/>
      <c r="CU67" s="324"/>
      <c r="CV67" s="324"/>
      <c r="CW67" s="324"/>
      <c r="CX67" s="324"/>
      <c r="CY67" s="324"/>
      <c r="CZ67" s="324"/>
      <c r="DA67" s="324"/>
      <c r="DB67" s="324"/>
      <c r="DC67" s="324"/>
      <c r="DD67" s="324"/>
      <c r="DE67" s="324"/>
      <c r="DF67" s="324"/>
      <c r="DG67" s="324"/>
      <c r="DH67" s="324"/>
      <c r="DI67" s="324"/>
      <c r="DJ67" s="324"/>
      <c r="DK67" s="324"/>
      <c r="DL67" s="324"/>
      <c r="DM67" s="324"/>
      <c r="DN67" s="324"/>
      <c r="DO67" s="324"/>
      <c r="DP67" s="324"/>
      <c r="DQ67" s="324"/>
      <c r="DR67" s="324"/>
      <c r="DS67" s="324"/>
      <c r="DT67" s="324"/>
      <c r="DU67" s="324"/>
      <c r="DV67" s="324"/>
      <c r="DW67" s="324"/>
      <c r="DX67" s="324"/>
      <c r="DY67" s="324"/>
      <c r="DZ67" s="324"/>
      <c r="EA67" s="324"/>
      <c r="EB67" s="324"/>
      <c r="EC67" s="324"/>
      <c r="ED67" s="324"/>
      <c r="EE67" s="324"/>
      <c r="EF67" s="324"/>
      <c r="EG67" s="324"/>
      <c r="EH67" s="324"/>
      <c r="EI67" s="324"/>
      <c r="EJ67" s="324"/>
      <c r="EK67" s="324"/>
      <c r="EL67" s="324"/>
      <c r="EM67" s="324"/>
      <c r="EN67" s="324"/>
      <c r="EO67" s="324"/>
      <c r="EP67" s="324"/>
      <c r="EQ67" s="324"/>
      <c r="ER67" s="324"/>
      <c r="ES67" s="324"/>
      <c r="ET67" s="324"/>
      <c r="EU67" s="324"/>
      <c r="EV67" s="324"/>
      <c r="EW67" s="324"/>
      <c r="EX67" s="324"/>
      <c r="EY67" s="324"/>
      <c r="EZ67" s="324"/>
      <c r="FA67" s="324"/>
      <c r="FB67" s="324"/>
      <c r="FC67" s="324"/>
      <c r="FD67" s="324"/>
      <c r="FE67" s="324"/>
      <c r="FF67" s="324"/>
      <c r="FG67" s="324"/>
      <c r="FH67" s="324"/>
      <c r="FI67" s="324"/>
      <c r="FJ67" s="324"/>
      <c r="FK67" s="324"/>
      <c r="FL67" s="324"/>
      <c r="FM67" s="324"/>
      <c r="FN67" s="324"/>
      <c r="FO67" s="324"/>
      <c r="FP67" s="324"/>
      <c r="FQ67" s="324"/>
      <c r="FR67" s="324"/>
      <c r="FS67" s="324"/>
      <c r="FT67" s="324"/>
      <c r="FU67" s="324"/>
      <c r="FV67" s="324"/>
      <c r="FW67" s="324"/>
      <c r="FX67" s="324"/>
      <c r="FY67" s="324"/>
      <c r="FZ67" s="324"/>
      <c r="GA67" s="324"/>
      <c r="GB67" s="324"/>
      <c r="GC67" s="324"/>
      <c r="GD67" s="324"/>
      <c r="GE67" s="324"/>
      <c r="GF67" s="324"/>
      <c r="GG67" s="324"/>
      <c r="GH67" s="324"/>
      <c r="GI67" s="324"/>
      <c r="GJ67" s="324"/>
      <c r="GK67" s="324"/>
      <c r="GL67" s="324"/>
      <c r="GM67" s="324"/>
      <c r="GN67" s="324"/>
      <c r="GO67" s="324"/>
      <c r="GP67" s="324"/>
      <c r="GQ67" s="324"/>
      <c r="GR67" s="324"/>
      <c r="GS67" s="324"/>
      <c r="GT67" s="324"/>
      <c r="GU67" s="324"/>
      <c r="GV67" s="324"/>
      <c r="GW67" s="324"/>
      <c r="GX67" s="324"/>
      <c r="GY67" s="324"/>
      <c r="GZ67" s="324"/>
      <c r="HA67" s="324"/>
      <c r="HB67" s="324"/>
      <c r="HC67" s="324"/>
      <c r="HD67" s="324"/>
      <c r="HE67" s="324"/>
      <c r="HF67" s="324"/>
      <c r="HG67" s="324"/>
      <c r="HH67" s="324"/>
      <c r="HI67" s="324"/>
      <c r="HJ67" s="324"/>
      <c r="HK67" s="324"/>
      <c r="HL67" s="324"/>
      <c r="HM67" s="324"/>
      <c r="HN67" s="324"/>
      <c r="HO67" s="324"/>
      <c r="HP67" s="324"/>
      <c r="HQ67" s="324"/>
      <c r="HR67" s="324"/>
      <c r="HS67" s="324"/>
      <c r="HT67" s="324"/>
      <c r="HU67" s="324"/>
      <c r="HV67" s="324"/>
      <c r="HW67" s="324"/>
      <c r="HX67" s="324"/>
      <c r="HY67" s="324"/>
      <c r="HZ67" s="324"/>
      <c r="IA67" s="324"/>
      <c r="IB67" s="324"/>
      <c r="IC67" s="324"/>
      <c r="ID67" s="324"/>
      <c r="IE67" s="324"/>
      <c r="IF67" s="324"/>
      <c r="IG67" s="324"/>
      <c r="IH67" s="324"/>
      <c r="II67" s="324"/>
      <c r="IJ67" s="324"/>
      <c r="IK67" s="324"/>
      <c r="IL67" s="324"/>
      <c r="IM67" s="324"/>
    </row>
    <row r="68" spans="1:247" x14ac:dyDescent="0.35">
      <c r="A68" s="356">
        <v>2121</v>
      </c>
      <c r="B68" s="357" t="s">
        <v>77</v>
      </c>
      <c r="C68" s="172" t="s">
        <v>8</v>
      </c>
      <c r="D68" s="358" t="s">
        <v>2053</v>
      </c>
      <c r="E68" s="336"/>
      <c r="F68" s="331">
        <f t="shared" si="0"/>
        <v>1.0209999999999999</v>
      </c>
      <c r="G68" s="337">
        <f t="shared" si="7"/>
        <v>1.0269999999999999</v>
      </c>
      <c r="H68" s="336">
        <f>+$H$3</f>
        <v>1.0029999999999999</v>
      </c>
      <c r="I68" s="338">
        <f>+$I$3</f>
        <v>1.0289999999999999</v>
      </c>
      <c r="J68" s="338">
        <f>+$J$3</f>
        <v>1.0049999999999999</v>
      </c>
      <c r="K68" s="338"/>
      <c r="L68" s="338"/>
      <c r="M68" s="338">
        <f>+$M$3</f>
        <v>1.0029999999999999</v>
      </c>
      <c r="N68" s="337">
        <f t="shared" si="8"/>
        <v>1.0029999999999999</v>
      </c>
      <c r="O68" s="339">
        <f>+$O$3</f>
        <v>1.0209999999999999</v>
      </c>
      <c r="P68" s="336">
        <f t="shared" si="9"/>
        <v>1.032</v>
      </c>
      <c r="Q68" s="337">
        <f t="shared" si="10"/>
        <v>1.0349999999999999</v>
      </c>
      <c r="R68" s="340">
        <f t="shared" si="1"/>
        <v>1.1932356231980656</v>
      </c>
      <c r="S68" s="324"/>
      <c r="T68" s="324"/>
      <c r="U68" s="324"/>
      <c r="V68" s="324"/>
      <c r="W68" s="324"/>
      <c r="X68" s="324"/>
      <c r="Y68" s="324"/>
      <c r="Z68" s="324"/>
      <c r="AA68" s="324"/>
      <c r="AB68" s="324"/>
      <c r="AC68" s="324"/>
      <c r="AD68" s="324"/>
      <c r="AE68" s="324"/>
      <c r="AF68" s="324"/>
      <c r="AG68" s="324"/>
      <c r="AH68" s="324"/>
      <c r="AI68" s="324"/>
      <c r="AJ68" s="324"/>
      <c r="AK68" s="324"/>
      <c r="AL68" s="324"/>
      <c r="AM68" s="324"/>
      <c r="AN68" s="324"/>
      <c r="AO68" s="324"/>
      <c r="AP68" s="324"/>
      <c r="AQ68" s="324"/>
      <c r="AR68" s="324"/>
      <c r="AS68" s="324"/>
      <c r="AT68" s="324"/>
      <c r="AU68" s="324"/>
      <c r="AV68" s="324"/>
      <c r="AW68" s="324"/>
      <c r="AX68" s="324"/>
      <c r="AY68" s="324"/>
      <c r="AZ68" s="324"/>
      <c r="BA68" s="324"/>
      <c r="BB68" s="324"/>
      <c r="BC68" s="324"/>
      <c r="BD68" s="324"/>
      <c r="BE68" s="324"/>
      <c r="BF68" s="324"/>
      <c r="BG68" s="324"/>
      <c r="BH68" s="324"/>
      <c r="BI68" s="324"/>
      <c r="BJ68" s="324"/>
      <c r="BK68" s="324"/>
      <c r="BL68" s="324"/>
      <c r="BM68" s="324"/>
      <c r="BN68" s="324"/>
      <c r="BO68" s="324"/>
      <c r="BP68" s="324"/>
      <c r="BQ68" s="324"/>
      <c r="BR68" s="324"/>
      <c r="BS68" s="324"/>
      <c r="BT68" s="324"/>
      <c r="BU68" s="324"/>
      <c r="BV68" s="324"/>
      <c r="BW68" s="324"/>
      <c r="BX68" s="324"/>
      <c r="BY68" s="324"/>
      <c r="BZ68" s="324"/>
      <c r="CA68" s="324"/>
      <c r="CB68" s="324"/>
      <c r="CC68" s="324"/>
      <c r="CD68" s="324"/>
      <c r="CE68" s="324"/>
      <c r="CF68" s="324"/>
      <c r="CG68" s="324"/>
      <c r="CH68" s="324"/>
      <c r="CI68" s="324"/>
      <c r="CJ68" s="324"/>
      <c r="CK68" s="324"/>
      <c r="CL68" s="324"/>
      <c r="CM68" s="324"/>
      <c r="CN68" s="324"/>
      <c r="CO68" s="324"/>
      <c r="CP68" s="324"/>
      <c r="CQ68" s="324"/>
      <c r="CR68" s="324"/>
      <c r="CS68" s="324"/>
      <c r="CT68" s="324"/>
      <c r="CU68" s="324"/>
      <c r="CV68" s="324"/>
      <c r="CW68" s="324"/>
      <c r="CX68" s="324"/>
      <c r="CY68" s="324"/>
      <c r="CZ68" s="324"/>
      <c r="DA68" s="324"/>
      <c r="DB68" s="324"/>
      <c r="DC68" s="324"/>
      <c r="DD68" s="324"/>
      <c r="DE68" s="324"/>
      <c r="DF68" s="324"/>
      <c r="DG68" s="324"/>
      <c r="DH68" s="324"/>
      <c r="DI68" s="324"/>
      <c r="DJ68" s="324"/>
      <c r="DK68" s="324"/>
      <c r="DL68" s="324"/>
      <c r="DM68" s="324"/>
      <c r="DN68" s="324"/>
      <c r="DO68" s="324"/>
      <c r="DP68" s="324"/>
      <c r="DQ68" s="324"/>
      <c r="DR68" s="324"/>
      <c r="DS68" s="324"/>
      <c r="DT68" s="324"/>
      <c r="DU68" s="324"/>
      <c r="DV68" s="324"/>
      <c r="DW68" s="324"/>
      <c r="DX68" s="324"/>
      <c r="DY68" s="324"/>
      <c r="DZ68" s="324"/>
      <c r="EA68" s="324"/>
      <c r="EB68" s="324"/>
      <c r="EC68" s="324"/>
      <c r="ED68" s="324"/>
      <c r="EE68" s="324"/>
      <c r="EF68" s="324"/>
      <c r="EG68" s="324"/>
      <c r="EH68" s="324"/>
      <c r="EI68" s="324"/>
      <c r="EJ68" s="324"/>
      <c r="EK68" s="324"/>
      <c r="EL68" s="324"/>
      <c r="EM68" s="324"/>
      <c r="EN68" s="324"/>
      <c r="EO68" s="324"/>
      <c r="EP68" s="324"/>
      <c r="EQ68" s="324"/>
      <c r="ER68" s="324"/>
      <c r="ES68" s="324"/>
      <c r="ET68" s="324"/>
      <c r="EU68" s="324"/>
      <c r="EV68" s="324"/>
      <c r="EW68" s="324"/>
      <c r="EX68" s="324"/>
      <c r="EY68" s="324"/>
      <c r="EZ68" s="324"/>
      <c r="FA68" s="324"/>
      <c r="FB68" s="324"/>
      <c r="FC68" s="324"/>
      <c r="FD68" s="324"/>
      <c r="FE68" s="324"/>
      <c r="FF68" s="324"/>
      <c r="FG68" s="324"/>
      <c r="FH68" s="324"/>
      <c r="FI68" s="324"/>
      <c r="FJ68" s="324"/>
      <c r="FK68" s="324"/>
      <c r="FL68" s="324"/>
      <c r="FM68" s="324"/>
      <c r="FN68" s="324"/>
      <c r="FO68" s="324"/>
      <c r="FP68" s="324"/>
      <c r="FQ68" s="324"/>
      <c r="FR68" s="324"/>
      <c r="FS68" s="324"/>
      <c r="FT68" s="324"/>
      <c r="FU68" s="324"/>
      <c r="FV68" s="324"/>
      <c r="FW68" s="324"/>
      <c r="FX68" s="324"/>
      <c r="FY68" s="324"/>
      <c r="FZ68" s="324"/>
      <c r="GA68" s="324"/>
      <c r="GB68" s="324"/>
      <c r="GC68" s="324"/>
      <c r="GD68" s="324"/>
      <c r="GE68" s="324"/>
      <c r="GF68" s="324"/>
      <c r="GG68" s="324"/>
      <c r="GH68" s="324"/>
      <c r="GI68" s="324"/>
      <c r="GJ68" s="324"/>
      <c r="GK68" s="324"/>
      <c r="GL68" s="324"/>
      <c r="GM68" s="324"/>
      <c r="GN68" s="324"/>
      <c r="GO68" s="324"/>
      <c r="GP68" s="324"/>
      <c r="GQ68" s="324"/>
      <c r="GR68" s="324"/>
      <c r="GS68" s="324"/>
      <c r="GT68" s="324"/>
      <c r="GU68" s="324"/>
      <c r="GV68" s="324"/>
      <c r="GW68" s="324"/>
      <c r="GX68" s="324"/>
      <c r="GY68" s="324"/>
      <c r="GZ68" s="324"/>
      <c r="HA68" s="324"/>
      <c r="HB68" s="324"/>
      <c r="HC68" s="324"/>
      <c r="HD68" s="324"/>
      <c r="HE68" s="324"/>
      <c r="HF68" s="324"/>
      <c r="HG68" s="324"/>
      <c r="HH68" s="324"/>
      <c r="HI68" s="324"/>
      <c r="HJ68" s="324"/>
      <c r="HK68" s="324"/>
      <c r="HL68" s="324"/>
      <c r="HM68" s="324"/>
      <c r="HN68" s="324"/>
      <c r="HO68" s="324"/>
      <c r="HP68" s="324"/>
      <c r="HQ68" s="324"/>
      <c r="HR68" s="324"/>
      <c r="HS68" s="324"/>
      <c r="HT68" s="324"/>
      <c r="HU68" s="324"/>
      <c r="HV68" s="324"/>
      <c r="HW68" s="324"/>
      <c r="HX68" s="324"/>
      <c r="HY68" s="324"/>
      <c r="HZ68" s="324"/>
      <c r="IA68" s="324"/>
      <c r="IB68" s="324"/>
      <c r="IC68" s="324"/>
      <c r="ID68" s="324"/>
      <c r="IE68" s="324"/>
      <c r="IF68" s="324"/>
      <c r="IG68" s="324"/>
      <c r="IH68" s="324"/>
      <c r="II68" s="324"/>
      <c r="IJ68" s="324"/>
      <c r="IK68" s="324"/>
      <c r="IL68" s="324"/>
      <c r="IM68" s="324"/>
    </row>
    <row r="69" spans="1:247" x14ac:dyDescent="0.35">
      <c r="A69" s="356">
        <v>2123</v>
      </c>
      <c r="B69" s="357" t="s">
        <v>78</v>
      </c>
      <c r="C69" s="172" t="s">
        <v>8</v>
      </c>
      <c r="D69" s="358" t="s">
        <v>2053</v>
      </c>
      <c r="E69" s="336"/>
      <c r="F69" s="331">
        <f t="shared" si="0"/>
        <v>1.0209999999999999</v>
      </c>
      <c r="G69" s="337">
        <f t="shared" si="7"/>
        <v>1.0269999999999999</v>
      </c>
      <c r="H69" s="336">
        <f>+$H$3</f>
        <v>1.0029999999999999</v>
      </c>
      <c r="I69" s="338">
        <f>+$I$3</f>
        <v>1.0289999999999999</v>
      </c>
      <c r="J69" s="338">
        <f>+$J$3</f>
        <v>1.0049999999999999</v>
      </c>
      <c r="K69" s="338"/>
      <c r="L69" s="338"/>
      <c r="M69" s="338">
        <f>+$M$3</f>
        <v>1.0029999999999999</v>
      </c>
      <c r="N69" s="337">
        <f t="shared" si="8"/>
        <v>1.0029999999999999</v>
      </c>
      <c r="O69" s="339">
        <f>+$O$3</f>
        <v>1.0209999999999999</v>
      </c>
      <c r="P69" s="336">
        <f t="shared" si="9"/>
        <v>1.032</v>
      </c>
      <c r="Q69" s="337">
        <f t="shared" si="10"/>
        <v>1.0349999999999999</v>
      </c>
      <c r="R69" s="340">
        <f>PRODUCT(E69:Q69)</f>
        <v>1.1932356231980656</v>
      </c>
      <c r="S69" s="324"/>
      <c r="T69" s="324"/>
      <c r="U69" s="324"/>
      <c r="V69" s="324"/>
      <c r="W69" s="324"/>
      <c r="X69" s="324"/>
      <c r="Y69" s="324"/>
      <c r="Z69" s="324"/>
      <c r="AA69" s="324"/>
      <c r="AB69" s="324"/>
      <c r="AC69" s="324"/>
      <c r="AD69" s="324"/>
      <c r="AE69" s="324"/>
      <c r="AF69" s="324"/>
      <c r="AG69" s="324"/>
      <c r="AH69" s="324"/>
      <c r="AI69" s="324"/>
      <c r="AJ69" s="324"/>
      <c r="AK69" s="324"/>
      <c r="AL69" s="324"/>
      <c r="AM69" s="324"/>
      <c r="AN69" s="324"/>
      <c r="AO69" s="324"/>
      <c r="AP69" s="324"/>
      <c r="AQ69" s="324"/>
      <c r="AR69" s="324"/>
      <c r="AS69" s="324"/>
      <c r="AT69" s="324"/>
      <c r="AU69" s="324"/>
      <c r="AV69" s="324"/>
      <c r="AW69" s="324"/>
      <c r="AX69" s="324"/>
      <c r="AY69" s="324"/>
      <c r="AZ69" s="324"/>
      <c r="BA69" s="324"/>
      <c r="BB69" s="324"/>
      <c r="BC69" s="324"/>
      <c r="BD69" s="324"/>
      <c r="BE69" s="324"/>
      <c r="BF69" s="324"/>
      <c r="BG69" s="324"/>
      <c r="BH69" s="324"/>
      <c r="BI69" s="324"/>
      <c r="BJ69" s="324"/>
      <c r="BK69" s="324"/>
      <c r="BL69" s="324"/>
      <c r="BM69" s="324"/>
      <c r="BN69" s="324"/>
      <c r="BO69" s="324"/>
      <c r="BP69" s="324"/>
      <c r="BQ69" s="324"/>
      <c r="BR69" s="324"/>
      <c r="BS69" s="324"/>
      <c r="BT69" s="324"/>
      <c r="BU69" s="324"/>
      <c r="BV69" s="324"/>
      <c r="BW69" s="324"/>
      <c r="BX69" s="324"/>
      <c r="BY69" s="324"/>
      <c r="BZ69" s="324"/>
      <c r="CA69" s="324"/>
      <c r="CB69" s="324"/>
      <c r="CC69" s="324"/>
      <c r="CD69" s="324"/>
      <c r="CE69" s="324"/>
      <c r="CF69" s="324"/>
      <c r="CG69" s="324"/>
      <c r="CH69" s="324"/>
      <c r="CI69" s="324"/>
      <c r="CJ69" s="324"/>
      <c r="CK69" s="324"/>
      <c r="CL69" s="324"/>
      <c r="CM69" s="324"/>
      <c r="CN69" s="324"/>
      <c r="CO69" s="324"/>
      <c r="CP69" s="324"/>
      <c r="CQ69" s="324"/>
      <c r="CR69" s="324"/>
      <c r="CS69" s="324"/>
      <c r="CT69" s="324"/>
      <c r="CU69" s="324"/>
      <c r="CV69" s="324"/>
      <c r="CW69" s="324"/>
      <c r="CX69" s="324"/>
      <c r="CY69" s="324"/>
      <c r="CZ69" s="324"/>
      <c r="DA69" s="324"/>
      <c r="DB69" s="324"/>
      <c r="DC69" s="324"/>
      <c r="DD69" s="324"/>
      <c r="DE69" s="324"/>
      <c r="DF69" s="324"/>
      <c r="DG69" s="324"/>
      <c r="DH69" s="324"/>
      <c r="DI69" s="324"/>
      <c r="DJ69" s="324"/>
      <c r="DK69" s="324"/>
      <c r="DL69" s="324"/>
      <c r="DM69" s="324"/>
      <c r="DN69" s="324"/>
      <c r="DO69" s="324"/>
      <c r="DP69" s="324"/>
      <c r="DQ69" s="324"/>
      <c r="DR69" s="324"/>
      <c r="DS69" s="324"/>
      <c r="DT69" s="324"/>
      <c r="DU69" s="324"/>
      <c r="DV69" s="324"/>
      <c r="DW69" s="324"/>
      <c r="DX69" s="324"/>
      <c r="DY69" s="324"/>
      <c r="DZ69" s="324"/>
      <c r="EA69" s="324"/>
      <c r="EB69" s="324"/>
      <c r="EC69" s="324"/>
      <c r="ED69" s="324"/>
      <c r="EE69" s="324"/>
      <c r="EF69" s="324"/>
      <c r="EG69" s="324"/>
      <c r="EH69" s="324"/>
      <c r="EI69" s="324"/>
      <c r="EJ69" s="324"/>
      <c r="EK69" s="324"/>
      <c r="EL69" s="324"/>
      <c r="EM69" s="324"/>
      <c r="EN69" s="324"/>
      <c r="EO69" s="324"/>
      <c r="EP69" s="324"/>
      <c r="EQ69" s="324"/>
      <c r="ER69" s="324"/>
      <c r="ES69" s="324"/>
      <c r="ET69" s="324"/>
      <c r="EU69" s="324"/>
      <c r="EV69" s="324"/>
      <c r="EW69" s="324"/>
      <c r="EX69" s="324"/>
      <c r="EY69" s="324"/>
      <c r="EZ69" s="324"/>
      <c r="FA69" s="324"/>
      <c r="FB69" s="324"/>
      <c r="FC69" s="324"/>
      <c r="FD69" s="324"/>
      <c r="FE69" s="324"/>
      <c r="FF69" s="324"/>
      <c r="FG69" s="324"/>
      <c r="FH69" s="324"/>
      <c r="FI69" s="324"/>
      <c r="FJ69" s="324"/>
      <c r="FK69" s="324"/>
      <c r="FL69" s="324"/>
      <c r="FM69" s="324"/>
      <c r="FN69" s="324"/>
      <c r="FO69" s="324"/>
      <c r="FP69" s="324"/>
      <c r="FQ69" s="324"/>
      <c r="FR69" s="324"/>
      <c r="FS69" s="324"/>
      <c r="FT69" s="324"/>
      <c r="FU69" s="324"/>
      <c r="FV69" s="324"/>
      <c r="FW69" s="324"/>
      <c r="FX69" s="324"/>
      <c r="FY69" s="324"/>
      <c r="FZ69" s="324"/>
      <c r="GA69" s="324"/>
      <c r="GB69" s="324"/>
      <c r="GC69" s="324"/>
      <c r="GD69" s="324"/>
      <c r="GE69" s="324"/>
      <c r="GF69" s="324"/>
      <c r="GG69" s="324"/>
      <c r="GH69" s="324"/>
      <c r="GI69" s="324"/>
      <c r="GJ69" s="324"/>
      <c r="GK69" s="324"/>
      <c r="GL69" s="324"/>
      <c r="GM69" s="324"/>
      <c r="GN69" s="324"/>
      <c r="GO69" s="324"/>
      <c r="GP69" s="324"/>
      <c r="GQ69" s="324"/>
      <c r="GR69" s="324"/>
      <c r="GS69" s="324"/>
      <c r="GT69" s="324"/>
      <c r="GU69" s="324"/>
      <c r="GV69" s="324"/>
      <c r="GW69" s="324"/>
      <c r="GX69" s="324"/>
      <c r="GY69" s="324"/>
      <c r="GZ69" s="324"/>
      <c r="HA69" s="324"/>
      <c r="HB69" s="324"/>
      <c r="HC69" s="324"/>
      <c r="HD69" s="324"/>
      <c r="HE69" s="324"/>
      <c r="HF69" s="324"/>
      <c r="HG69" s="324"/>
      <c r="HH69" s="324"/>
      <c r="HI69" s="324"/>
      <c r="HJ69" s="324"/>
      <c r="HK69" s="324"/>
      <c r="HL69" s="324"/>
      <c r="HM69" s="324"/>
      <c r="HN69" s="324"/>
      <c r="HO69" s="324"/>
      <c r="HP69" s="324"/>
      <c r="HQ69" s="324"/>
      <c r="HR69" s="324"/>
      <c r="HS69" s="324"/>
      <c r="HT69" s="324"/>
      <c r="HU69" s="324"/>
      <c r="HV69" s="324"/>
      <c r="HW69" s="324"/>
      <c r="HX69" s="324"/>
      <c r="HY69" s="324"/>
      <c r="HZ69" s="324"/>
      <c r="IA69" s="324"/>
      <c r="IB69" s="324"/>
      <c r="IC69" s="324"/>
      <c r="ID69" s="324"/>
      <c r="IE69" s="324"/>
      <c r="IF69" s="324"/>
      <c r="IG69" s="324"/>
      <c r="IH69" s="324"/>
      <c r="II69" s="324"/>
      <c r="IJ69" s="324"/>
      <c r="IK69" s="324"/>
      <c r="IL69" s="324"/>
      <c r="IM69" s="324"/>
    </row>
    <row r="70" spans="1:247" x14ac:dyDescent="0.35">
      <c r="A70" s="356">
        <v>2124</v>
      </c>
      <c r="B70" s="357" t="s">
        <v>79</v>
      </c>
      <c r="C70" s="172" t="s">
        <v>10</v>
      </c>
      <c r="D70" s="358" t="s">
        <v>2051</v>
      </c>
      <c r="E70" s="336"/>
      <c r="F70" s="331">
        <f t="shared" si="0"/>
        <v>1.0209999999999999</v>
      </c>
      <c r="G70" s="337">
        <f t="shared" si="7"/>
        <v>1.0269999999999999</v>
      </c>
      <c r="H70" s="336"/>
      <c r="I70" s="338"/>
      <c r="J70" s="338"/>
      <c r="K70" s="338"/>
      <c r="L70" s="338"/>
      <c r="M70" s="338"/>
      <c r="N70" s="337">
        <f t="shared" si="8"/>
        <v>1.0029999999999999</v>
      </c>
      <c r="O70" s="339"/>
      <c r="P70" s="336">
        <f t="shared" si="9"/>
        <v>1.032</v>
      </c>
      <c r="Q70" s="337">
        <f t="shared" si="10"/>
        <v>1.0349999999999999</v>
      </c>
      <c r="R70" s="340">
        <f t="shared" si="1"/>
        <v>1.1233553701921195</v>
      </c>
      <c r="S70" s="324"/>
      <c r="T70" s="324"/>
      <c r="U70" s="324"/>
      <c r="V70" s="324"/>
      <c r="W70" s="324"/>
      <c r="X70" s="324"/>
      <c r="Y70" s="324"/>
      <c r="Z70" s="324"/>
      <c r="AA70" s="324"/>
      <c r="AB70" s="324"/>
      <c r="AC70" s="324"/>
      <c r="AD70" s="324"/>
      <c r="AE70" s="324"/>
      <c r="AF70" s="324"/>
      <c r="AG70" s="324"/>
      <c r="AH70" s="324"/>
      <c r="AI70" s="324"/>
      <c r="AJ70" s="324"/>
      <c r="AK70" s="324"/>
      <c r="AL70" s="324"/>
      <c r="AM70" s="324"/>
      <c r="AN70" s="324"/>
      <c r="AO70" s="324"/>
      <c r="AP70" s="324"/>
      <c r="AQ70" s="324"/>
      <c r="AR70" s="324"/>
      <c r="AS70" s="324"/>
      <c r="AT70" s="324"/>
      <c r="AU70" s="324"/>
      <c r="AV70" s="324"/>
      <c r="AW70" s="324"/>
      <c r="AX70" s="324"/>
      <c r="AY70" s="324"/>
      <c r="AZ70" s="324"/>
      <c r="BA70" s="324"/>
      <c r="BB70" s="324"/>
      <c r="BC70" s="324"/>
      <c r="BD70" s="324"/>
      <c r="BE70" s="324"/>
      <c r="BF70" s="324"/>
      <c r="BG70" s="324"/>
      <c r="BH70" s="324"/>
      <c r="BI70" s="324"/>
      <c r="BJ70" s="324"/>
      <c r="BK70" s="324"/>
      <c r="BL70" s="324"/>
      <c r="BM70" s="324"/>
      <c r="BN70" s="324"/>
      <c r="BO70" s="324"/>
      <c r="BP70" s="324"/>
      <c r="BQ70" s="324"/>
      <c r="BR70" s="324"/>
      <c r="BS70" s="324"/>
      <c r="BT70" s="324"/>
      <c r="BU70" s="324"/>
      <c r="BV70" s="324"/>
      <c r="BW70" s="324"/>
      <c r="BX70" s="324"/>
      <c r="BY70" s="324"/>
      <c r="BZ70" s="324"/>
      <c r="CA70" s="324"/>
      <c r="CB70" s="324"/>
      <c r="CC70" s="324"/>
      <c r="CD70" s="324"/>
      <c r="CE70" s="324"/>
      <c r="CF70" s="324"/>
      <c r="CG70" s="324"/>
      <c r="CH70" s="324"/>
      <c r="CI70" s="324"/>
      <c r="CJ70" s="324"/>
      <c r="CK70" s="324"/>
      <c r="CL70" s="324"/>
      <c r="CM70" s="324"/>
      <c r="CN70" s="324"/>
      <c r="CO70" s="324"/>
      <c r="CP70" s="324"/>
      <c r="CQ70" s="324"/>
      <c r="CR70" s="324"/>
      <c r="CS70" s="324"/>
      <c r="CT70" s="324"/>
      <c r="CU70" s="324"/>
      <c r="CV70" s="324"/>
      <c r="CW70" s="324"/>
      <c r="CX70" s="324"/>
      <c r="CY70" s="324"/>
      <c r="CZ70" s="324"/>
      <c r="DA70" s="324"/>
      <c r="DB70" s="324"/>
      <c r="DC70" s="324"/>
      <c r="DD70" s="324"/>
      <c r="DE70" s="324"/>
      <c r="DF70" s="324"/>
      <c r="DG70" s="324"/>
      <c r="DH70" s="324"/>
      <c r="DI70" s="324"/>
      <c r="DJ70" s="324"/>
      <c r="DK70" s="324"/>
      <c r="DL70" s="324"/>
      <c r="DM70" s="324"/>
      <c r="DN70" s="324"/>
      <c r="DO70" s="324"/>
      <c r="DP70" s="324"/>
      <c r="DQ70" s="324"/>
      <c r="DR70" s="324"/>
      <c r="DS70" s="324"/>
      <c r="DT70" s="324"/>
      <c r="DU70" s="324"/>
      <c r="DV70" s="324"/>
      <c r="DW70" s="324"/>
      <c r="DX70" s="324"/>
      <c r="DY70" s="324"/>
      <c r="DZ70" s="324"/>
      <c r="EA70" s="324"/>
      <c r="EB70" s="324"/>
      <c r="EC70" s="324"/>
      <c r="ED70" s="324"/>
      <c r="EE70" s="324"/>
      <c r="EF70" s="324"/>
      <c r="EG70" s="324"/>
      <c r="EH70" s="324"/>
      <c r="EI70" s="324"/>
      <c r="EJ70" s="324"/>
      <c r="EK70" s="324"/>
      <c r="EL70" s="324"/>
      <c r="EM70" s="324"/>
      <c r="EN70" s="324"/>
      <c r="EO70" s="324"/>
      <c r="EP70" s="324"/>
      <c r="EQ70" s="324"/>
      <c r="ER70" s="324"/>
      <c r="ES70" s="324"/>
      <c r="ET70" s="324"/>
      <c r="EU70" s="324"/>
      <c r="EV70" s="324"/>
      <c r="EW70" s="324"/>
      <c r="EX70" s="324"/>
      <c r="EY70" s="324"/>
      <c r="EZ70" s="324"/>
      <c r="FA70" s="324"/>
      <c r="FB70" s="324"/>
      <c r="FC70" s="324"/>
      <c r="FD70" s="324"/>
      <c r="FE70" s="324"/>
      <c r="FF70" s="324"/>
      <c r="FG70" s="324"/>
      <c r="FH70" s="324"/>
      <c r="FI70" s="324"/>
      <c r="FJ70" s="324"/>
      <c r="FK70" s="324"/>
      <c r="FL70" s="324"/>
      <c r="FM70" s="324"/>
      <c r="FN70" s="324"/>
      <c r="FO70" s="324"/>
      <c r="FP70" s="324"/>
      <c r="FQ70" s="324"/>
      <c r="FR70" s="324"/>
      <c r="FS70" s="324"/>
      <c r="FT70" s="324"/>
      <c r="FU70" s="324"/>
      <c r="FV70" s="324"/>
      <c r="FW70" s="324"/>
      <c r="FX70" s="324"/>
      <c r="FY70" s="324"/>
      <c r="FZ70" s="324"/>
      <c r="GA70" s="324"/>
      <c r="GB70" s="324"/>
      <c r="GC70" s="324"/>
      <c r="GD70" s="324"/>
      <c r="GE70" s="324"/>
      <c r="GF70" s="324"/>
      <c r="GG70" s="324"/>
      <c r="GH70" s="324"/>
      <c r="GI70" s="324"/>
      <c r="GJ70" s="324"/>
      <c r="GK70" s="324"/>
      <c r="GL70" s="324"/>
      <c r="GM70" s="324"/>
      <c r="GN70" s="324"/>
      <c r="GO70" s="324"/>
      <c r="GP70" s="324"/>
      <c r="GQ70" s="324"/>
      <c r="GR70" s="324"/>
      <c r="GS70" s="324"/>
      <c r="GT70" s="324"/>
      <c r="GU70" s="324"/>
      <c r="GV70" s="324"/>
      <c r="GW70" s="324"/>
      <c r="GX70" s="324"/>
      <c r="GY70" s="324"/>
      <c r="GZ70" s="324"/>
      <c r="HA70" s="324"/>
      <c r="HB70" s="324"/>
      <c r="HC70" s="324"/>
      <c r="HD70" s="324"/>
      <c r="HE70" s="324"/>
      <c r="HF70" s="324"/>
      <c r="HG70" s="324"/>
      <c r="HH70" s="324"/>
      <c r="HI70" s="324"/>
      <c r="HJ70" s="324"/>
      <c r="HK70" s="324"/>
      <c r="HL70" s="324"/>
      <c r="HM70" s="324"/>
      <c r="HN70" s="324"/>
      <c r="HO70" s="324"/>
      <c r="HP70" s="324"/>
      <c r="HQ70" s="324"/>
      <c r="HR70" s="324"/>
      <c r="HS70" s="324"/>
      <c r="HT70" s="324"/>
      <c r="HU70" s="324"/>
      <c r="HV70" s="324"/>
      <c r="HW70" s="324"/>
      <c r="HX70" s="324"/>
      <c r="HY70" s="324"/>
      <c r="HZ70" s="324"/>
      <c r="IA70" s="324"/>
      <c r="IB70" s="324"/>
      <c r="IC70" s="324"/>
      <c r="ID70" s="324"/>
      <c r="IE70" s="324"/>
      <c r="IF70" s="324"/>
      <c r="IG70" s="324"/>
      <c r="IH70" s="324"/>
      <c r="II70" s="324"/>
      <c r="IJ70" s="324"/>
      <c r="IK70" s="324"/>
      <c r="IL70" s="324"/>
      <c r="IM70" s="324"/>
    </row>
    <row r="71" spans="1:247" x14ac:dyDescent="0.35">
      <c r="A71" s="356">
        <v>2125</v>
      </c>
      <c r="B71" s="357" t="s">
        <v>80</v>
      </c>
      <c r="C71" s="172" t="s">
        <v>8</v>
      </c>
      <c r="D71" s="358" t="s">
        <v>2053</v>
      </c>
      <c r="E71" s="336"/>
      <c r="F71" s="331">
        <f t="shared" si="0"/>
        <v>1.0209999999999999</v>
      </c>
      <c r="G71" s="337">
        <f t="shared" si="7"/>
        <v>1.0269999999999999</v>
      </c>
      <c r="H71" s="336">
        <f>+$H$3</f>
        <v>1.0029999999999999</v>
      </c>
      <c r="I71" s="338">
        <f>+$I$3</f>
        <v>1.0289999999999999</v>
      </c>
      <c r="J71" s="338">
        <f t="shared" ref="J71:J81" si="11">+$J$3</f>
        <v>1.0049999999999999</v>
      </c>
      <c r="K71" s="338"/>
      <c r="L71" s="338"/>
      <c r="M71" s="338">
        <f>+$M$3</f>
        <v>1.0029999999999999</v>
      </c>
      <c r="N71" s="337">
        <f t="shared" si="8"/>
        <v>1.0029999999999999</v>
      </c>
      <c r="O71" s="339">
        <f>+$O$3</f>
        <v>1.0209999999999999</v>
      </c>
      <c r="P71" s="336">
        <f t="shared" si="9"/>
        <v>1.032</v>
      </c>
      <c r="Q71" s="337">
        <f t="shared" si="10"/>
        <v>1.0349999999999999</v>
      </c>
      <c r="R71" s="340">
        <f t="shared" si="1"/>
        <v>1.1932356231980656</v>
      </c>
      <c r="S71" s="324"/>
      <c r="T71" s="324"/>
      <c r="U71" s="324"/>
      <c r="V71" s="324"/>
      <c r="W71" s="324"/>
      <c r="X71" s="324"/>
      <c r="Y71" s="324"/>
      <c r="Z71" s="324"/>
      <c r="AA71" s="324"/>
      <c r="AB71" s="324"/>
      <c r="AC71" s="324"/>
      <c r="AD71" s="324"/>
      <c r="AE71" s="324"/>
      <c r="AF71" s="324"/>
      <c r="AG71" s="324"/>
      <c r="AH71" s="324"/>
      <c r="AI71" s="324"/>
      <c r="AJ71" s="324"/>
      <c r="AK71" s="324"/>
      <c r="AL71" s="324"/>
      <c r="AM71" s="324"/>
      <c r="AN71" s="324"/>
      <c r="AO71" s="324"/>
      <c r="AP71" s="324"/>
      <c r="AQ71" s="324"/>
      <c r="AR71" s="324"/>
      <c r="AS71" s="324"/>
      <c r="AT71" s="324"/>
      <c r="AU71" s="324"/>
      <c r="AV71" s="324"/>
      <c r="AW71" s="324"/>
      <c r="AX71" s="324"/>
      <c r="AY71" s="324"/>
      <c r="AZ71" s="324"/>
      <c r="BA71" s="324"/>
      <c r="BB71" s="324"/>
      <c r="BC71" s="324"/>
      <c r="BD71" s="324"/>
      <c r="BE71" s="324"/>
      <c r="BF71" s="324"/>
      <c r="BG71" s="324"/>
      <c r="BH71" s="324"/>
      <c r="BI71" s="324"/>
      <c r="BJ71" s="324"/>
      <c r="BK71" s="324"/>
      <c r="BL71" s="324"/>
      <c r="BM71" s="324"/>
      <c r="BN71" s="324"/>
      <c r="BO71" s="324"/>
      <c r="BP71" s="324"/>
      <c r="BQ71" s="324"/>
      <c r="BR71" s="324"/>
      <c r="BS71" s="324"/>
      <c r="BT71" s="324"/>
      <c r="BU71" s="324"/>
      <c r="BV71" s="324"/>
      <c r="BW71" s="324"/>
      <c r="BX71" s="324"/>
      <c r="BY71" s="324"/>
      <c r="BZ71" s="324"/>
      <c r="CA71" s="324"/>
      <c r="CB71" s="324"/>
      <c r="CC71" s="324"/>
      <c r="CD71" s="324"/>
      <c r="CE71" s="324"/>
      <c r="CF71" s="324"/>
      <c r="CG71" s="324"/>
      <c r="CH71" s="324"/>
      <c r="CI71" s="324"/>
      <c r="CJ71" s="324"/>
      <c r="CK71" s="324"/>
      <c r="CL71" s="324"/>
      <c r="CM71" s="324"/>
      <c r="CN71" s="324"/>
      <c r="CO71" s="324"/>
      <c r="CP71" s="324"/>
      <c r="CQ71" s="324"/>
      <c r="CR71" s="324"/>
      <c r="CS71" s="324"/>
      <c r="CT71" s="324"/>
      <c r="CU71" s="324"/>
      <c r="CV71" s="324"/>
      <c r="CW71" s="324"/>
      <c r="CX71" s="324"/>
      <c r="CY71" s="324"/>
      <c r="CZ71" s="324"/>
      <c r="DA71" s="324"/>
      <c r="DB71" s="324"/>
      <c r="DC71" s="324"/>
      <c r="DD71" s="324"/>
      <c r="DE71" s="324"/>
      <c r="DF71" s="324"/>
      <c r="DG71" s="324"/>
      <c r="DH71" s="324"/>
      <c r="DI71" s="324"/>
      <c r="DJ71" s="324"/>
      <c r="DK71" s="324"/>
      <c r="DL71" s="324"/>
      <c r="DM71" s="324"/>
      <c r="DN71" s="324"/>
      <c r="DO71" s="324"/>
      <c r="DP71" s="324"/>
      <c r="DQ71" s="324"/>
      <c r="DR71" s="324"/>
      <c r="DS71" s="324"/>
      <c r="DT71" s="324"/>
      <c r="DU71" s="324"/>
      <c r="DV71" s="324"/>
      <c r="DW71" s="324"/>
      <c r="DX71" s="324"/>
      <c r="DY71" s="324"/>
      <c r="DZ71" s="324"/>
      <c r="EA71" s="324"/>
      <c r="EB71" s="324"/>
      <c r="EC71" s="324"/>
      <c r="ED71" s="324"/>
      <c r="EE71" s="324"/>
      <c r="EF71" s="324"/>
      <c r="EG71" s="324"/>
      <c r="EH71" s="324"/>
      <c r="EI71" s="324"/>
      <c r="EJ71" s="324"/>
      <c r="EK71" s="324"/>
      <c r="EL71" s="324"/>
      <c r="EM71" s="324"/>
      <c r="EN71" s="324"/>
      <c r="EO71" s="324"/>
      <c r="EP71" s="324"/>
      <c r="EQ71" s="324"/>
      <c r="ER71" s="324"/>
      <c r="ES71" s="324"/>
      <c r="ET71" s="324"/>
      <c r="EU71" s="324"/>
      <c r="EV71" s="324"/>
      <c r="EW71" s="324"/>
      <c r="EX71" s="324"/>
      <c r="EY71" s="324"/>
      <c r="EZ71" s="324"/>
      <c r="FA71" s="324"/>
      <c r="FB71" s="324"/>
      <c r="FC71" s="324"/>
      <c r="FD71" s="324"/>
      <c r="FE71" s="324"/>
      <c r="FF71" s="324"/>
      <c r="FG71" s="324"/>
      <c r="FH71" s="324"/>
      <c r="FI71" s="324"/>
      <c r="FJ71" s="324"/>
      <c r="FK71" s="324"/>
      <c r="FL71" s="324"/>
      <c r="FM71" s="324"/>
      <c r="FN71" s="324"/>
      <c r="FO71" s="324"/>
      <c r="FP71" s="324"/>
      <c r="FQ71" s="324"/>
      <c r="FR71" s="324"/>
      <c r="FS71" s="324"/>
      <c r="FT71" s="324"/>
      <c r="FU71" s="324"/>
      <c r="FV71" s="324"/>
      <c r="FW71" s="324"/>
      <c r="FX71" s="324"/>
      <c r="FY71" s="324"/>
      <c r="FZ71" s="324"/>
      <c r="GA71" s="324"/>
      <c r="GB71" s="324"/>
      <c r="GC71" s="324"/>
      <c r="GD71" s="324"/>
      <c r="GE71" s="324"/>
      <c r="GF71" s="324"/>
      <c r="GG71" s="324"/>
      <c r="GH71" s="324"/>
      <c r="GI71" s="324"/>
      <c r="GJ71" s="324"/>
      <c r="GK71" s="324"/>
      <c r="GL71" s="324"/>
      <c r="GM71" s="324"/>
      <c r="GN71" s="324"/>
      <c r="GO71" s="324"/>
      <c r="GP71" s="324"/>
      <c r="GQ71" s="324"/>
      <c r="GR71" s="324"/>
      <c r="GS71" s="324"/>
      <c r="GT71" s="324"/>
      <c r="GU71" s="324"/>
      <c r="GV71" s="324"/>
      <c r="GW71" s="324"/>
      <c r="GX71" s="324"/>
      <c r="GY71" s="324"/>
      <c r="GZ71" s="324"/>
      <c r="HA71" s="324"/>
      <c r="HB71" s="324"/>
      <c r="HC71" s="324"/>
      <c r="HD71" s="324"/>
      <c r="HE71" s="324"/>
      <c r="HF71" s="324"/>
      <c r="HG71" s="324"/>
      <c r="HH71" s="324"/>
      <c r="HI71" s="324"/>
      <c r="HJ71" s="324"/>
      <c r="HK71" s="324"/>
      <c r="HL71" s="324"/>
      <c r="HM71" s="324"/>
      <c r="HN71" s="324"/>
      <c r="HO71" s="324"/>
      <c r="HP71" s="324"/>
      <c r="HQ71" s="324"/>
      <c r="HR71" s="324"/>
      <c r="HS71" s="324"/>
      <c r="HT71" s="324"/>
      <c r="HU71" s="324"/>
      <c r="HV71" s="324"/>
      <c r="HW71" s="324"/>
      <c r="HX71" s="324"/>
      <c r="HY71" s="324"/>
      <c r="HZ71" s="324"/>
      <c r="IA71" s="324"/>
      <c r="IB71" s="324"/>
      <c r="IC71" s="324"/>
      <c r="ID71" s="324"/>
      <c r="IE71" s="324"/>
      <c r="IF71" s="324"/>
      <c r="IG71" s="324"/>
      <c r="IH71" s="324"/>
      <c r="II71" s="324"/>
      <c r="IJ71" s="324"/>
      <c r="IK71" s="324"/>
      <c r="IL71" s="324"/>
      <c r="IM71" s="324"/>
    </row>
    <row r="72" spans="1:247" x14ac:dyDescent="0.35">
      <c r="A72" s="356">
        <v>2126</v>
      </c>
      <c r="B72" s="357" t="s">
        <v>2054</v>
      </c>
      <c r="C72" s="172" t="s">
        <v>8</v>
      </c>
      <c r="D72" s="358" t="s">
        <v>2053</v>
      </c>
      <c r="E72" s="336"/>
      <c r="F72" s="331">
        <f t="shared" si="0"/>
        <v>1.0209999999999999</v>
      </c>
      <c r="G72" s="337">
        <f t="shared" si="7"/>
        <v>1.0269999999999999</v>
      </c>
      <c r="H72" s="336">
        <f>+$H$3</f>
        <v>1.0029999999999999</v>
      </c>
      <c r="I72" s="338">
        <f>+$I$3</f>
        <v>1.0289999999999999</v>
      </c>
      <c r="J72" s="338">
        <f t="shared" si="11"/>
        <v>1.0049999999999999</v>
      </c>
      <c r="K72" s="338"/>
      <c r="L72" s="338"/>
      <c r="M72" s="338">
        <f>+$M$3</f>
        <v>1.0029999999999999</v>
      </c>
      <c r="N72" s="337">
        <f t="shared" si="8"/>
        <v>1.0029999999999999</v>
      </c>
      <c r="O72" s="339">
        <f>+$O$3</f>
        <v>1.0209999999999999</v>
      </c>
      <c r="P72" s="336">
        <f t="shared" si="9"/>
        <v>1.032</v>
      </c>
      <c r="Q72" s="337">
        <f t="shared" si="10"/>
        <v>1.0349999999999999</v>
      </c>
      <c r="R72" s="340">
        <f>PRODUCT(E72:Q72)</f>
        <v>1.1932356231980656</v>
      </c>
      <c r="S72" s="324"/>
      <c r="T72" s="324"/>
      <c r="U72" s="324"/>
      <c r="V72" s="324"/>
      <c r="W72" s="324"/>
      <c r="X72" s="324"/>
      <c r="Y72" s="324"/>
      <c r="Z72" s="324"/>
      <c r="AA72" s="324"/>
      <c r="AB72" s="324"/>
      <c r="AC72" s="324"/>
      <c r="AD72" s="324"/>
      <c r="AE72" s="324"/>
      <c r="AF72" s="324"/>
      <c r="AG72" s="324"/>
      <c r="AH72" s="324"/>
      <c r="AI72" s="324"/>
      <c r="AJ72" s="324"/>
      <c r="AK72" s="324"/>
      <c r="AL72" s="324"/>
      <c r="AM72" s="324"/>
      <c r="AN72" s="324"/>
      <c r="AO72" s="324"/>
      <c r="AP72" s="324"/>
      <c r="AQ72" s="324"/>
      <c r="AR72" s="324"/>
      <c r="AS72" s="324"/>
      <c r="AT72" s="324"/>
      <c r="AU72" s="324"/>
      <c r="AV72" s="324"/>
      <c r="AW72" s="324"/>
      <c r="AX72" s="324"/>
      <c r="AY72" s="324"/>
      <c r="AZ72" s="324"/>
      <c r="BA72" s="324"/>
      <c r="BB72" s="324"/>
      <c r="BC72" s="324"/>
      <c r="BD72" s="324"/>
      <c r="BE72" s="324"/>
      <c r="BF72" s="324"/>
      <c r="BG72" s="324"/>
      <c r="BH72" s="324"/>
      <c r="BI72" s="324"/>
      <c r="BJ72" s="324"/>
      <c r="BK72" s="324"/>
      <c r="BL72" s="324"/>
      <c r="BM72" s="324"/>
      <c r="BN72" s="324"/>
      <c r="BO72" s="324"/>
      <c r="BP72" s="324"/>
      <c r="BQ72" s="324"/>
      <c r="BR72" s="324"/>
      <c r="BS72" s="324"/>
      <c r="BT72" s="324"/>
      <c r="BU72" s="324"/>
      <c r="BV72" s="324"/>
      <c r="BW72" s="324"/>
      <c r="BX72" s="324"/>
      <c r="BY72" s="324"/>
      <c r="BZ72" s="324"/>
      <c r="CA72" s="324"/>
      <c r="CB72" s="324"/>
      <c r="CC72" s="324"/>
      <c r="CD72" s="324"/>
      <c r="CE72" s="324"/>
      <c r="CF72" s="324"/>
      <c r="CG72" s="324"/>
      <c r="CH72" s="324"/>
      <c r="CI72" s="324"/>
      <c r="CJ72" s="324"/>
      <c r="CK72" s="324"/>
      <c r="CL72" s="324"/>
      <c r="CM72" s="324"/>
      <c r="CN72" s="324"/>
      <c r="CO72" s="324"/>
      <c r="CP72" s="324"/>
      <c r="CQ72" s="324"/>
      <c r="CR72" s="324"/>
      <c r="CS72" s="324"/>
      <c r="CT72" s="324"/>
      <c r="CU72" s="324"/>
      <c r="CV72" s="324"/>
      <c r="CW72" s="324"/>
      <c r="CX72" s="324"/>
      <c r="CY72" s="324"/>
      <c r="CZ72" s="324"/>
      <c r="DA72" s="324"/>
      <c r="DB72" s="324"/>
      <c r="DC72" s="324"/>
      <c r="DD72" s="324"/>
      <c r="DE72" s="324"/>
      <c r="DF72" s="324"/>
      <c r="DG72" s="324"/>
      <c r="DH72" s="324"/>
      <c r="DI72" s="324"/>
      <c r="DJ72" s="324"/>
      <c r="DK72" s="324"/>
      <c r="DL72" s="324"/>
      <c r="DM72" s="324"/>
      <c r="DN72" s="324"/>
      <c r="DO72" s="324"/>
      <c r="DP72" s="324"/>
      <c r="DQ72" s="324"/>
      <c r="DR72" s="324"/>
      <c r="DS72" s="324"/>
      <c r="DT72" s="324"/>
      <c r="DU72" s="324"/>
      <c r="DV72" s="324"/>
      <c r="DW72" s="324"/>
      <c r="DX72" s="324"/>
      <c r="DY72" s="324"/>
      <c r="DZ72" s="324"/>
      <c r="EA72" s="324"/>
      <c r="EB72" s="324"/>
      <c r="EC72" s="324"/>
      <c r="ED72" s="324"/>
      <c r="EE72" s="324"/>
      <c r="EF72" s="324"/>
      <c r="EG72" s="324"/>
      <c r="EH72" s="324"/>
      <c r="EI72" s="324"/>
      <c r="EJ72" s="324"/>
      <c r="EK72" s="324"/>
      <c r="EL72" s="324"/>
      <c r="EM72" s="324"/>
      <c r="EN72" s="324"/>
      <c r="EO72" s="324"/>
      <c r="EP72" s="324"/>
      <c r="EQ72" s="324"/>
      <c r="ER72" s="324"/>
      <c r="ES72" s="324"/>
      <c r="ET72" s="324"/>
      <c r="EU72" s="324"/>
      <c r="EV72" s="324"/>
      <c r="EW72" s="324"/>
      <c r="EX72" s="324"/>
      <c r="EY72" s="324"/>
      <c r="EZ72" s="324"/>
      <c r="FA72" s="324"/>
      <c r="FB72" s="324"/>
      <c r="FC72" s="324"/>
      <c r="FD72" s="324"/>
      <c r="FE72" s="324"/>
      <c r="FF72" s="324"/>
      <c r="FG72" s="324"/>
      <c r="FH72" s="324"/>
      <c r="FI72" s="324"/>
      <c r="FJ72" s="324"/>
      <c r="FK72" s="324"/>
      <c r="FL72" s="324"/>
      <c r="FM72" s="324"/>
      <c r="FN72" s="324"/>
      <c r="FO72" s="324"/>
      <c r="FP72" s="324"/>
      <c r="FQ72" s="324"/>
      <c r="FR72" s="324"/>
      <c r="FS72" s="324"/>
      <c r="FT72" s="324"/>
      <c r="FU72" s="324"/>
      <c r="FV72" s="324"/>
      <c r="FW72" s="324"/>
      <c r="FX72" s="324"/>
      <c r="FY72" s="324"/>
      <c r="FZ72" s="324"/>
      <c r="GA72" s="324"/>
      <c r="GB72" s="324"/>
      <c r="GC72" s="324"/>
      <c r="GD72" s="324"/>
      <c r="GE72" s="324"/>
      <c r="GF72" s="324"/>
      <c r="GG72" s="324"/>
      <c r="GH72" s="324"/>
      <c r="GI72" s="324"/>
      <c r="GJ72" s="324"/>
      <c r="GK72" s="324"/>
      <c r="GL72" s="324"/>
      <c r="GM72" s="324"/>
      <c r="GN72" s="324"/>
      <c r="GO72" s="324"/>
      <c r="GP72" s="324"/>
      <c r="GQ72" s="324"/>
      <c r="GR72" s="324"/>
      <c r="GS72" s="324"/>
      <c r="GT72" s="324"/>
      <c r="GU72" s="324"/>
      <c r="GV72" s="324"/>
      <c r="GW72" s="324"/>
      <c r="GX72" s="324"/>
      <c r="GY72" s="324"/>
      <c r="GZ72" s="324"/>
      <c r="HA72" s="324"/>
      <c r="HB72" s="324"/>
      <c r="HC72" s="324"/>
      <c r="HD72" s="324"/>
      <c r="HE72" s="324"/>
      <c r="HF72" s="324"/>
      <c r="HG72" s="324"/>
      <c r="HH72" s="324"/>
      <c r="HI72" s="324"/>
      <c r="HJ72" s="324"/>
      <c r="HK72" s="324"/>
      <c r="HL72" s="324"/>
      <c r="HM72" s="324"/>
      <c r="HN72" s="324"/>
      <c r="HO72" s="324"/>
      <c r="HP72" s="324"/>
      <c r="HQ72" s="324"/>
      <c r="HR72" s="324"/>
      <c r="HS72" s="324"/>
      <c r="HT72" s="324"/>
      <c r="HU72" s="324"/>
      <c r="HV72" s="324"/>
      <c r="HW72" s="324"/>
      <c r="HX72" s="324"/>
      <c r="HY72" s="324"/>
      <c r="HZ72" s="324"/>
      <c r="IA72" s="324"/>
      <c r="IB72" s="324"/>
      <c r="IC72" s="324"/>
      <c r="ID72" s="324"/>
      <c r="IE72" s="324"/>
      <c r="IF72" s="324"/>
      <c r="IG72" s="324"/>
      <c r="IH72" s="324"/>
      <c r="II72" s="324"/>
      <c r="IJ72" s="324"/>
      <c r="IK72" s="324"/>
      <c r="IL72" s="324"/>
      <c r="IM72" s="324"/>
    </row>
    <row r="73" spans="1:247" x14ac:dyDescent="0.35">
      <c r="A73" s="356">
        <v>2131</v>
      </c>
      <c r="B73" s="357" t="s">
        <v>2055</v>
      </c>
      <c r="C73" s="172" t="s">
        <v>8</v>
      </c>
      <c r="D73" s="358" t="s">
        <v>2051</v>
      </c>
      <c r="E73" s="336"/>
      <c r="F73" s="331">
        <f t="shared" si="0"/>
        <v>1.0209999999999999</v>
      </c>
      <c r="G73" s="337">
        <f t="shared" si="7"/>
        <v>1.0269999999999999</v>
      </c>
      <c r="H73" s="336">
        <f>+$H$3</f>
        <v>1.0029999999999999</v>
      </c>
      <c r="I73" s="338"/>
      <c r="J73" s="338"/>
      <c r="K73" s="338"/>
      <c r="L73" s="338"/>
      <c r="M73" s="338"/>
      <c r="N73" s="337">
        <f t="shared" si="8"/>
        <v>1.0029999999999999</v>
      </c>
      <c r="O73" s="339">
        <f>+$O$3</f>
        <v>1.0209999999999999</v>
      </c>
      <c r="P73" s="336">
        <f t="shared" si="9"/>
        <v>1.032</v>
      </c>
      <c r="Q73" s="337">
        <f t="shared" si="10"/>
        <v>1.0349999999999999</v>
      </c>
      <c r="R73" s="340">
        <f>PRODUCT(E73:Q73)</f>
        <v>1.1503866704650523</v>
      </c>
      <c r="S73" s="324"/>
      <c r="T73" s="324"/>
      <c r="U73" s="324"/>
      <c r="V73" s="324"/>
      <c r="W73" s="324"/>
      <c r="X73" s="324"/>
      <c r="Y73" s="324"/>
      <c r="Z73" s="324"/>
      <c r="AA73" s="324"/>
      <c r="AB73" s="324"/>
      <c r="AC73" s="324"/>
      <c r="AD73" s="324"/>
      <c r="AE73" s="324"/>
      <c r="AF73" s="324"/>
      <c r="AG73" s="324"/>
      <c r="AH73" s="324"/>
      <c r="AI73" s="324"/>
      <c r="AJ73" s="324"/>
      <c r="AK73" s="324"/>
      <c r="AL73" s="324"/>
      <c r="AM73" s="324"/>
      <c r="AN73" s="324"/>
      <c r="AO73" s="324"/>
      <c r="AP73" s="324"/>
      <c r="AQ73" s="324"/>
      <c r="AR73" s="324"/>
      <c r="AS73" s="324"/>
      <c r="AT73" s="324"/>
      <c r="AU73" s="324"/>
      <c r="AV73" s="324"/>
      <c r="AW73" s="324"/>
      <c r="AX73" s="324"/>
      <c r="AY73" s="324"/>
      <c r="AZ73" s="324"/>
      <c r="BA73" s="324"/>
      <c r="BB73" s="324"/>
      <c r="BC73" s="324"/>
      <c r="BD73" s="324"/>
      <c r="BE73" s="324"/>
      <c r="BF73" s="324"/>
      <c r="BG73" s="324"/>
      <c r="BH73" s="324"/>
      <c r="BI73" s="324"/>
      <c r="BJ73" s="324"/>
      <c r="BK73" s="324"/>
      <c r="BL73" s="324"/>
      <c r="BM73" s="324"/>
      <c r="BN73" s="324"/>
      <c r="BO73" s="324"/>
      <c r="BP73" s="324"/>
      <c r="BQ73" s="324"/>
      <c r="BR73" s="324"/>
      <c r="BS73" s="324"/>
      <c r="BT73" s="324"/>
      <c r="BU73" s="324"/>
      <c r="BV73" s="324"/>
      <c r="BW73" s="324"/>
      <c r="BX73" s="324"/>
      <c r="BY73" s="324"/>
      <c r="BZ73" s="324"/>
      <c r="CA73" s="324"/>
      <c r="CB73" s="324"/>
      <c r="CC73" s="324"/>
      <c r="CD73" s="324"/>
      <c r="CE73" s="324"/>
      <c r="CF73" s="324"/>
      <c r="CG73" s="324"/>
      <c r="CH73" s="324"/>
      <c r="CI73" s="324"/>
      <c r="CJ73" s="324"/>
      <c r="CK73" s="324"/>
      <c r="CL73" s="324"/>
      <c r="CM73" s="324"/>
      <c r="CN73" s="324"/>
      <c r="CO73" s="324"/>
      <c r="CP73" s="324"/>
      <c r="CQ73" s="324"/>
      <c r="CR73" s="324"/>
      <c r="CS73" s="324"/>
      <c r="CT73" s="324"/>
      <c r="CU73" s="324"/>
      <c r="CV73" s="324"/>
      <c r="CW73" s="324"/>
      <c r="CX73" s="324"/>
      <c r="CY73" s="324"/>
      <c r="CZ73" s="324"/>
      <c r="DA73" s="324"/>
      <c r="DB73" s="324"/>
      <c r="DC73" s="324"/>
      <c r="DD73" s="324"/>
      <c r="DE73" s="324"/>
      <c r="DF73" s="324"/>
      <c r="DG73" s="324"/>
      <c r="DH73" s="324"/>
      <c r="DI73" s="324"/>
      <c r="DJ73" s="324"/>
      <c r="DK73" s="324"/>
      <c r="DL73" s="324"/>
      <c r="DM73" s="324"/>
      <c r="DN73" s="324"/>
      <c r="DO73" s="324"/>
      <c r="DP73" s="324"/>
      <c r="DQ73" s="324"/>
      <c r="DR73" s="324"/>
      <c r="DS73" s="324"/>
      <c r="DT73" s="324"/>
      <c r="DU73" s="324"/>
      <c r="DV73" s="324"/>
      <c r="DW73" s="324"/>
      <c r="DX73" s="324"/>
      <c r="DY73" s="324"/>
      <c r="DZ73" s="324"/>
      <c r="EA73" s="324"/>
      <c r="EB73" s="324"/>
      <c r="EC73" s="324"/>
      <c r="ED73" s="324"/>
      <c r="EE73" s="324"/>
      <c r="EF73" s="324"/>
      <c r="EG73" s="324"/>
      <c r="EH73" s="324"/>
      <c r="EI73" s="324"/>
      <c r="EJ73" s="324"/>
      <c r="EK73" s="324"/>
      <c r="EL73" s="324"/>
      <c r="EM73" s="324"/>
      <c r="EN73" s="324"/>
      <c r="EO73" s="324"/>
      <c r="EP73" s="324"/>
      <c r="EQ73" s="324"/>
      <c r="ER73" s="324"/>
      <c r="ES73" s="324"/>
      <c r="ET73" s="324"/>
      <c r="EU73" s="324"/>
      <c r="EV73" s="324"/>
      <c r="EW73" s="324"/>
      <c r="EX73" s="324"/>
      <c r="EY73" s="324"/>
      <c r="EZ73" s="324"/>
      <c r="FA73" s="324"/>
      <c r="FB73" s="324"/>
      <c r="FC73" s="324"/>
      <c r="FD73" s="324"/>
      <c r="FE73" s="324"/>
      <c r="FF73" s="324"/>
      <c r="FG73" s="324"/>
      <c r="FH73" s="324"/>
      <c r="FI73" s="324"/>
      <c r="FJ73" s="324"/>
      <c r="FK73" s="324"/>
      <c r="FL73" s="324"/>
      <c r="FM73" s="324"/>
      <c r="FN73" s="324"/>
      <c r="FO73" s="324"/>
      <c r="FP73" s="324"/>
      <c r="FQ73" s="324"/>
      <c r="FR73" s="324"/>
      <c r="FS73" s="324"/>
      <c r="FT73" s="324"/>
      <c r="FU73" s="324"/>
      <c r="FV73" s="324"/>
      <c r="FW73" s="324"/>
      <c r="FX73" s="324"/>
      <c r="FY73" s="324"/>
      <c r="FZ73" s="324"/>
      <c r="GA73" s="324"/>
      <c r="GB73" s="324"/>
      <c r="GC73" s="324"/>
      <c r="GD73" s="324"/>
      <c r="GE73" s="324"/>
      <c r="GF73" s="324"/>
      <c r="GG73" s="324"/>
      <c r="GH73" s="324"/>
      <c r="GI73" s="324"/>
      <c r="GJ73" s="324"/>
      <c r="GK73" s="324"/>
      <c r="GL73" s="324"/>
      <c r="GM73" s="324"/>
      <c r="GN73" s="324"/>
      <c r="GO73" s="324"/>
      <c r="GP73" s="324"/>
      <c r="GQ73" s="324"/>
      <c r="GR73" s="324"/>
      <c r="GS73" s="324"/>
      <c r="GT73" s="324"/>
      <c r="GU73" s="324"/>
      <c r="GV73" s="324"/>
      <c r="GW73" s="324"/>
      <c r="GX73" s="324"/>
      <c r="GY73" s="324"/>
      <c r="GZ73" s="324"/>
      <c r="HA73" s="324"/>
      <c r="HB73" s="324"/>
      <c r="HC73" s="324"/>
      <c r="HD73" s="324"/>
      <c r="HE73" s="324"/>
      <c r="HF73" s="324"/>
      <c r="HG73" s="324"/>
      <c r="HH73" s="324"/>
      <c r="HI73" s="324"/>
      <c r="HJ73" s="324"/>
      <c r="HK73" s="324"/>
      <c r="HL73" s="324"/>
      <c r="HM73" s="324"/>
      <c r="HN73" s="324"/>
      <c r="HO73" s="324"/>
      <c r="HP73" s="324"/>
      <c r="HQ73" s="324"/>
      <c r="HR73" s="324"/>
      <c r="HS73" s="324"/>
      <c r="HT73" s="324"/>
      <c r="HU73" s="324"/>
      <c r="HV73" s="324"/>
      <c r="HW73" s="324"/>
      <c r="HX73" s="324"/>
      <c r="HY73" s="324"/>
      <c r="HZ73" s="324"/>
      <c r="IA73" s="324"/>
      <c r="IB73" s="324"/>
      <c r="IC73" s="324"/>
      <c r="ID73" s="324"/>
      <c r="IE73" s="324"/>
      <c r="IF73" s="324"/>
      <c r="IG73" s="324"/>
      <c r="IH73" s="324"/>
      <c r="II73" s="324"/>
      <c r="IJ73" s="324"/>
      <c r="IK73" s="324"/>
      <c r="IL73" s="324"/>
      <c r="IM73" s="324"/>
    </row>
    <row r="74" spans="1:247" x14ac:dyDescent="0.35">
      <c r="A74" s="356">
        <v>2134</v>
      </c>
      <c r="B74" s="357" t="s">
        <v>82</v>
      </c>
      <c r="C74" s="172" t="s">
        <v>8</v>
      </c>
      <c r="D74" s="358" t="s">
        <v>2053</v>
      </c>
      <c r="E74" s="336"/>
      <c r="F74" s="331">
        <f t="shared" si="0"/>
        <v>1.0209999999999999</v>
      </c>
      <c r="G74" s="337">
        <f t="shared" si="7"/>
        <v>1.0269999999999999</v>
      </c>
      <c r="H74" s="336"/>
      <c r="I74" s="338"/>
      <c r="J74" s="338">
        <f t="shared" si="11"/>
        <v>1.0049999999999999</v>
      </c>
      <c r="K74" s="338"/>
      <c r="L74" s="338"/>
      <c r="M74" s="338"/>
      <c r="N74" s="337">
        <f t="shared" si="8"/>
        <v>1.0029999999999999</v>
      </c>
      <c r="O74" s="339"/>
      <c r="P74" s="336">
        <f t="shared" si="9"/>
        <v>1.032</v>
      </c>
      <c r="Q74" s="337">
        <f t="shared" si="10"/>
        <v>1.0349999999999999</v>
      </c>
      <c r="R74" s="340">
        <f t="shared" si="1"/>
        <v>1.12897214704308</v>
      </c>
      <c r="S74" s="324"/>
      <c r="T74" s="324"/>
      <c r="U74" s="324"/>
      <c r="V74" s="324"/>
      <c r="W74" s="324"/>
      <c r="X74" s="324"/>
      <c r="Y74" s="324"/>
      <c r="Z74" s="324"/>
      <c r="AA74" s="324"/>
      <c r="AB74" s="324"/>
      <c r="AC74" s="324"/>
      <c r="AD74" s="324"/>
      <c r="AE74" s="324"/>
      <c r="AF74" s="324"/>
      <c r="AG74" s="324"/>
      <c r="AH74" s="324"/>
      <c r="AI74" s="324"/>
      <c r="AJ74" s="324"/>
      <c r="AK74" s="324"/>
      <c r="AL74" s="324"/>
      <c r="AM74" s="324"/>
      <c r="AN74" s="324"/>
      <c r="AO74" s="324"/>
      <c r="AP74" s="324"/>
      <c r="AQ74" s="324"/>
      <c r="AR74" s="324"/>
      <c r="AS74" s="324"/>
      <c r="AT74" s="324"/>
      <c r="AU74" s="324"/>
      <c r="AV74" s="324"/>
      <c r="AW74" s="324"/>
      <c r="AX74" s="324"/>
      <c r="AY74" s="324"/>
      <c r="AZ74" s="324"/>
      <c r="BA74" s="324"/>
      <c r="BB74" s="324"/>
      <c r="BC74" s="324"/>
      <c r="BD74" s="324"/>
      <c r="BE74" s="324"/>
      <c r="BF74" s="324"/>
      <c r="BG74" s="324"/>
      <c r="BH74" s="324"/>
      <c r="BI74" s="324"/>
      <c r="BJ74" s="324"/>
      <c r="BK74" s="324"/>
      <c r="BL74" s="324"/>
      <c r="BM74" s="324"/>
      <c r="BN74" s="324"/>
      <c r="BO74" s="324"/>
      <c r="BP74" s="324"/>
      <c r="BQ74" s="324"/>
      <c r="BR74" s="324"/>
      <c r="BS74" s="324"/>
      <c r="BT74" s="324"/>
      <c r="BU74" s="324"/>
      <c r="BV74" s="324"/>
      <c r="BW74" s="324"/>
      <c r="BX74" s="324"/>
      <c r="BY74" s="324"/>
      <c r="BZ74" s="324"/>
      <c r="CA74" s="324"/>
      <c r="CB74" s="324"/>
      <c r="CC74" s="324"/>
      <c r="CD74" s="324"/>
      <c r="CE74" s="324"/>
      <c r="CF74" s="324"/>
      <c r="CG74" s="324"/>
      <c r="CH74" s="324"/>
      <c r="CI74" s="324"/>
      <c r="CJ74" s="324"/>
      <c r="CK74" s="324"/>
      <c r="CL74" s="324"/>
      <c r="CM74" s="324"/>
      <c r="CN74" s="324"/>
      <c r="CO74" s="324"/>
      <c r="CP74" s="324"/>
      <c r="CQ74" s="324"/>
      <c r="CR74" s="324"/>
      <c r="CS74" s="324"/>
      <c r="CT74" s="324"/>
      <c r="CU74" s="324"/>
      <c r="CV74" s="324"/>
      <c r="CW74" s="324"/>
      <c r="CX74" s="324"/>
      <c r="CY74" s="324"/>
      <c r="CZ74" s="324"/>
      <c r="DA74" s="324"/>
      <c r="DB74" s="324"/>
      <c r="DC74" s="324"/>
      <c r="DD74" s="324"/>
      <c r="DE74" s="324"/>
      <c r="DF74" s="324"/>
      <c r="DG74" s="324"/>
      <c r="DH74" s="324"/>
      <c r="DI74" s="324"/>
      <c r="DJ74" s="324"/>
      <c r="DK74" s="324"/>
      <c r="DL74" s="324"/>
      <c r="DM74" s="324"/>
      <c r="DN74" s="324"/>
      <c r="DO74" s="324"/>
      <c r="DP74" s="324"/>
      <c r="DQ74" s="324"/>
      <c r="DR74" s="324"/>
      <c r="DS74" s="324"/>
      <c r="DT74" s="324"/>
      <c r="DU74" s="324"/>
      <c r="DV74" s="324"/>
      <c r="DW74" s="324"/>
      <c r="DX74" s="324"/>
      <c r="DY74" s="324"/>
      <c r="DZ74" s="324"/>
      <c r="EA74" s="324"/>
      <c r="EB74" s="324"/>
      <c r="EC74" s="324"/>
      <c r="ED74" s="324"/>
      <c r="EE74" s="324"/>
      <c r="EF74" s="324"/>
      <c r="EG74" s="324"/>
      <c r="EH74" s="324"/>
      <c r="EI74" s="324"/>
      <c r="EJ74" s="324"/>
      <c r="EK74" s="324"/>
      <c r="EL74" s="324"/>
      <c r="EM74" s="324"/>
      <c r="EN74" s="324"/>
      <c r="EO74" s="324"/>
      <c r="EP74" s="324"/>
      <c r="EQ74" s="324"/>
      <c r="ER74" s="324"/>
      <c r="ES74" s="324"/>
      <c r="ET74" s="324"/>
      <c r="EU74" s="324"/>
      <c r="EV74" s="324"/>
      <c r="EW74" s="324"/>
      <c r="EX74" s="324"/>
      <c r="EY74" s="324"/>
      <c r="EZ74" s="324"/>
      <c r="FA74" s="324"/>
      <c r="FB74" s="324"/>
      <c r="FC74" s="324"/>
      <c r="FD74" s="324"/>
      <c r="FE74" s="324"/>
      <c r="FF74" s="324"/>
      <c r="FG74" s="324"/>
      <c r="FH74" s="324"/>
      <c r="FI74" s="324"/>
      <c r="FJ74" s="324"/>
      <c r="FK74" s="324"/>
      <c r="FL74" s="324"/>
      <c r="FM74" s="324"/>
      <c r="FN74" s="324"/>
      <c r="FO74" s="324"/>
      <c r="FP74" s="324"/>
      <c r="FQ74" s="324"/>
      <c r="FR74" s="324"/>
      <c r="FS74" s="324"/>
      <c r="FT74" s="324"/>
      <c r="FU74" s="324"/>
      <c r="FV74" s="324"/>
      <c r="FW74" s="324"/>
      <c r="FX74" s="324"/>
      <c r="FY74" s="324"/>
      <c r="FZ74" s="324"/>
      <c r="GA74" s="324"/>
      <c r="GB74" s="324"/>
      <c r="GC74" s="324"/>
      <c r="GD74" s="324"/>
      <c r="GE74" s="324"/>
      <c r="GF74" s="324"/>
      <c r="GG74" s="324"/>
      <c r="GH74" s="324"/>
      <c r="GI74" s="324"/>
      <c r="GJ74" s="324"/>
      <c r="GK74" s="324"/>
      <c r="GL74" s="324"/>
      <c r="GM74" s="324"/>
      <c r="GN74" s="324"/>
      <c r="GO74" s="324"/>
      <c r="GP74" s="324"/>
      <c r="GQ74" s="324"/>
      <c r="GR74" s="324"/>
      <c r="GS74" s="324"/>
      <c r="GT74" s="324"/>
      <c r="GU74" s="324"/>
      <c r="GV74" s="324"/>
      <c r="GW74" s="324"/>
      <c r="GX74" s="324"/>
      <c r="GY74" s="324"/>
      <c r="GZ74" s="324"/>
      <c r="HA74" s="324"/>
      <c r="HB74" s="324"/>
      <c r="HC74" s="324"/>
      <c r="HD74" s="324"/>
      <c r="HE74" s="324"/>
      <c r="HF74" s="324"/>
      <c r="HG74" s="324"/>
      <c r="HH74" s="324"/>
      <c r="HI74" s="324"/>
      <c r="HJ74" s="324"/>
      <c r="HK74" s="324"/>
      <c r="HL74" s="324"/>
      <c r="HM74" s="324"/>
      <c r="HN74" s="324"/>
      <c r="HO74" s="324"/>
      <c r="HP74" s="324"/>
      <c r="HQ74" s="324"/>
      <c r="HR74" s="324"/>
      <c r="HS74" s="324"/>
      <c r="HT74" s="324"/>
      <c r="HU74" s="324"/>
      <c r="HV74" s="324"/>
      <c r="HW74" s="324"/>
      <c r="HX74" s="324"/>
      <c r="HY74" s="324"/>
      <c r="HZ74" s="324"/>
      <c r="IA74" s="324"/>
      <c r="IB74" s="324"/>
      <c r="IC74" s="324"/>
      <c r="ID74" s="324"/>
      <c r="IE74" s="324"/>
      <c r="IF74" s="324"/>
      <c r="IG74" s="324"/>
      <c r="IH74" s="324"/>
      <c r="II74" s="324"/>
      <c r="IJ74" s="324"/>
      <c r="IK74" s="324"/>
      <c r="IL74" s="324"/>
      <c r="IM74" s="324"/>
    </row>
    <row r="75" spans="1:247" x14ac:dyDescent="0.35">
      <c r="A75" s="356">
        <v>2152</v>
      </c>
      <c r="B75" s="357" t="s">
        <v>83</v>
      </c>
      <c r="C75" s="172" t="s">
        <v>8</v>
      </c>
      <c r="D75" s="358" t="s">
        <v>2053</v>
      </c>
      <c r="E75" s="336"/>
      <c r="F75" s="331">
        <f t="shared" si="0"/>
        <v>1.0209999999999999</v>
      </c>
      <c r="G75" s="337">
        <f t="shared" si="7"/>
        <v>1.0269999999999999</v>
      </c>
      <c r="H75" s="336">
        <f>+$H$3</f>
        <v>1.0029999999999999</v>
      </c>
      <c r="I75" s="338">
        <f>+$I$3</f>
        <v>1.0289999999999999</v>
      </c>
      <c r="J75" s="338">
        <f t="shared" si="11"/>
        <v>1.0049999999999999</v>
      </c>
      <c r="K75" s="338"/>
      <c r="L75" s="338"/>
      <c r="M75" s="338">
        <f t="shared" ref="M75:M81" si="12">+$M$3</f>
        <v>1.0029999999999999</v>
      </c>
      <c r="N75" s="337">
        <f t="shared" si="8"/>
        <v>1.0029999999999999</v>
      </c>
      <c r="O75" s="339">
        <f t="shared" ref="O75:O81" si="13">+$O$3</f>
        <v>1.0209999999999999</v>
      </c>
      <c r="P75" s="336">
        <v>1.032</v>
      </c>
      <c r="Q75" s="337">
        <f t="shared" si="10"/>
        <v>1.0349999999999999</v>
      </c>
      <c r="R75" s="340">
        <f t="shared" si="1"/>
        <v>1.1932356231980656</v>
      </c>
      <c r="S75" s="324"/>
      <c r="T75" s="324"/>
      <c r="U75" s="324"/>
      <c r="V75" s="324"/>
      <c r="W75" s="324"/>
      <c r="X75" s="324"/>
      <c r="Y75" s="324"/>
      <c r="Z75" s="324"/>
      <c r="AA75" s="324"/>
      <c r="AB75" s="324"/>
      <c r="AC75" s="324"/>
      <c r="AD75" s="324"/>
      <c r="AE75" s="324"/>
      <c r="AF75" s="324"/>
      <c r="AG75" s="324"/>
      <c r="AH75" s="324"/>
      <c r="AI75" s="324"/>
      <c r="AJ75" s="324"/>
      <c r="AK75" s="324"/>
      <c r="AL75" s="324"/>
      <c r="AM75" s="324"/>
      <c r="AN75" s="324"/>
      <c r="AO75" s="324"/>
      <c r="AP75" s="324"/>
      <c r="AQ75" s="324"/>
      <c r="AR75" s="324"/>
      <c r="AS75" s="324"/>
      <c r="AT75" s="324"/>
      <c r="AU75" s="324"/>
      <c r="AV75" s="324"/>
      <c r="AW75" s="324"/>
      <c r="AX75" s="324"/>
      <c r="AY75" s="324"/>
      <c r="AZ75" s="324"/>
      <c r="BA75" s="324"/>
      <c r="BB75" s="324"/>
      <c r="BC75" s="324"/>
      <c r="BD75" s="324"/>
      <c r="BE75" s="324"/>
      <c r="BF75" s="324"/>
      <c r="BG75" s="324"/>
      <c r="BH75" s="324"/>
      <c r="BI75" s="324"/>
      <c r="BJ75" s="324"/>
      <c r="BK75" s="324"/>
      <c r="BL75" s="324"/>
      <c r="BM75" s="324"/>
      <c r="BN75" s="324"/>
      <c r="BO75" s="324"/>
      <c r="BP75" s="324"/>
      <c r="BQ75" s="324"/>
      <c r="BR75" s="324"/>
      <c r="BS75" s="324"/>
      <c r="BT75" s="324"/>
      <c r="BU75" s="324"/>
      <c r="BV75" s="324"/>
      <c r="BW75" s="324"/>
      <c r="BX75" s="324"/>
      <c r="BY75" s="324"/>
      <c r="BZ75" s="324"/>
      <c r="CA75" s="324"/>
      <c r="CB75" s="324"/>
      <c r="CC75" s="324"/>
      <c r="CD75" s="324"/>
      <c r="CE75" s="324"/>
      <c r="CF75" s="324"/>
      <c r="CG75" s="324"/>
      <c r="CH75" s="324"/>
      <c r="CI75" s="324"/>
      <c r="CJ75" s="324"/>
      <c r="CK75" s="324"/>
      <c r="CL75" s="324"/>
      <c r="CM75" s="324"/>
      <c r="CN75" s="324"/>
      <c r="CO75" s="324"/>
      <c r="CP75" s="324"/>
      <c r="CQ75" s="324"/>
      <c r="CR75" s="324"/>
      <c r="CS75" s="324"/>
      <c r="CT75" s="324"/>
      <c r="CU75" s="324"/>
      <c r="CV75" s="324"/>
      <c r="CW75" s="324"/>
      <c r="CX75" s="324"/>
      <c r="CY75" s="324"/>
      <c r="CZ75" s="324"/>
      <c r="DA75" s="324"/>
      <c r="DB75" s="324"/>
      <c r="DC75" s="324"/>
      <c r="DD75" s="324"/>
      <c r="DE75" s="324"/>
      <c r="DF75" s="324"/>
      <c r="DG75" s="324"/>
      <c r="DH75" s="324"/>
      <c r="DI75" s="324"/>
      <c r="DJ75" s="324"/>
      <c r="DK75" s="324"/>
      <c r="DL75" s="324"/>
      <c r="DM75" s="324"/>
      <c r="DN75" s="324"/>
      <c r="DO75" s="324"/>
      <c r="DP75" s="324"/>
      <c r="DQ75" s="324"/>
      <c r="DR75" s="324"/>
      <c r="DS75" s="324"/>
      <c r="DT75" s="324"/>
      <c r="DU75" s="324"/>
      <c r="DV75" s="324"/>
      <c r="DW75" s="324"/>
      <c r="DX75" s="324"/>
      <c r="DY75" s="324"/>
      <c r="DZ75" s="324"/>
      <c r="EA75" s="324"/>
      <c r="EB75" s="324"/>
      <c r="EC75" s="324"/>
      <c r="ED75" s="324"/>
      <c r="EE75" s="324"/>
      <c r="EF75" s="324"/>
      <c r="EG75" s="324"/>
      <c r="EH75" s="324"/>
      <c r="EI75" s="324"/>
      <c r="EJ75" s="324"/>
      <c r="EK75" s="324"/>
      <c r="EL75" s="324"/>
      <c r="EM75" s="324"/>
      <c r="EN75" s="324"/>
      <c r="EO75" s="324"/>
      <c r="EP75" s="324"/>
      <c r="EQ75" s="324"/>
      <c r="ER75" s="324"/>
      <c r="ES75" s="324"/>
      <c r="ET75" s="324"/>
      <c r="EU75" s="324"/>
      <c r="EV75" s="324"/>
      <c r="EW75" s="324"/>
      <c r="EX75" s="324"/>
      <c r="EY75" s="324"/>
      <c r="EZ75" s="324"/>
      <c r="FA75" s="324"/>
      <c r="FB75" s="324"/>
      <c r="FC75" s="324"/>
      <c r="FD75" s="324"/>
      <c r="FE75" s="324"/>
      <c r="FF75" s="324"/>
      <c r="FG75" s="324"/>
      <c r="FH75" s="324"/>
      <c r="FI75" s="324"/>
      <c r="FJ75" s="324"/>
      <c r="FK75" s="324"/>
      <c r="FL75" s="324"/>
      <c r="FM75" s="324"/>
      <c r="FN75" s="324"/>
      <c r="FO75" s="324"/>
      <c r="FP75" s="324"/>
      <c r="FQ75" s="324"/>
      <c r="FR75" s="324"/>
      <c r="FS75" s="324"/>
      <c r="FT75" s="324"/>
      <c r="FU75" s="324"/>
      <c r="FV75" s="324"/>
      <c r="FW75" s="324"/>
      <c r="FX75" s="324"/>
      <c r="FY75" s="324"/>
      <c r="FZ75" s="324"/>
      <c r="GA75" s="324"/>
      <c r="GB75" s="324"/>
      <c r="GC75" s="324"/>
      <c r="GD75" s="324"/>
      <c r="GE75" s="324"/>
      <c r="GF75" s="324"/>
      <c r="GG75" s="324"/>
      <c r="GH75" s="324"/>
      <c r="GI75" s="324"/>
      <c r="GJ75" s="324"/>
      <c r="GK75" s="324"/>
      <c r="GL75" s="324"/>
      <c r="GM75" s="324"/>
      <c r="GN75" s="324"/>
      <c r="GO75" s="324"/>
      <c r="GP75" s="324"/>
      <c r="GQ75" s="324"/>
      <c r="GR75" s="324"/>
      <c r="GS75" s="324"/>
      <c r="GT75" s="324"/>
      <c r="GU75" s="324"/>
      <c r="GV75" s="324"/>
      <c r="GW75" s="324"/>
      <c r="GX75" s="324"/>
      <c r="GY75" s="324"/>
      <c r="GZ75" s="324"/>
      <c r="HA75" s="324"/>
      <c r="HB75" s="324"/>
      <c r="HC75" s="324"/>
      <c r="HD75" s="324"/>
      <c r="HE75" s="324"/>
      <c r="HF75" s="324"/>
      <c r="HG75" s="324"/>
      <c r="HH75" s="324"/>
      <c r="HI75" s="324"/>
      <c r="HJ75" s="324"/>
      <c r="HK75" s="324"/>
      <c r="HL75" s="324"/>
      <c r="HM75" s="324"/>
      <c r="HN75" s="324"/>
      <c r="HO75" s="324"/>
      <c r="HP75" s="324"/>
      <c r="HQ75" s="324"/>
      <c r="HR75" s="324"/>
      <c r="HS75" s="324"/>
      <c r="HT75" s="324"/>
      <c r="HU75" s="324"/>
      <c r="HV75" s="324"/>
      <c r="HW75" s="324"/>
      <c r="HX75" s="324"/>
      <c r="HY75" s="324"/>
      <c r="HZ75" s="324"/>
      <c r="IA75" s="324"/>
      <c r="IB75" s="324"/>
      <c r="IC75" s="324"/>
      <c r="ID75" s="324"/>
      <c r="IE75" s="324"/>
      <c r="IF75" s="324"/>
      <c r="IG75" s="324"/>
      <c r="IH75" s="324"/>
      <c r="II75" s="324"/>
      <c r="IJ75" s="324"/>
      <c r="IK75" s="324"/>
      <c r="IL75" s="324"/>
      <c r="IM75" s="324"/>
    </row>
    <row r="76" spans="1:247" x14ac:dyDescent="0.35">
      <c r="A76" s="356">
        <v>2154</v>
      </c>
      <c r="B76" s="357" t="s">
        <v>84</v>
      </c>
      <c r="C76" s="172" t="s">
        <v>8</v>
      </c>
      <c r="D76" s="358" t="s">
        <v>2051</v>
      </c>
      <c r="E76" s="336"/>
      <c r="F76" s="331">
        <f t="shared" si="0"/>
        <v>1.0209999999999999</v>
      </c>
      <c r="G76" s="337">
        <f t="shared" si="7"/>
        <v>1.0269999999999999</v>
      </c>
      <c r="H76" s="336"/>
      <c r="I76" s="338"/>
      <c r="J76" s="338">
        <f t="shared" si="11"/>
        <v>1.0049999999999999</v>
      </c>
      <c r="K76" s="338"/>
      <c r="L76" s="338"/>
      <c r="M76" s="338">
        <f t="shared" si="12"/>
        <v>1.0029999999999999</v>
      </c>
      <c r="N76" s="337">
        <f t="shared" si="8"/>
        <v>1.0029999999999999</v>
      </c>
      <c r="O76" s="339">
        <f t="shared" si="13"/>
        <v>1.0209999999999999</v>
      </c>
      <c r="P76" s="341">
        <v>1.032</v>
      </c>
      <c r="Q76" s="337">
        <f t="shared" si="10"/>
        <v>1.0349999999999999</v>
      </c>
      <c r="R76" s="340">
        <f t="shared" si="1"/>
        <v>1.1561386038173773</v>
      </c>
      <c r="S76" s="324"/>
      <c r="T76" s="324"/>
      <c r="U76" s="324"/>
      <c r="V76" s="324"/>
      <c r="W76" s="324"/>
      <c r="X76" s="324"/>
      <c r="Y76" s="324"/>
      <c r="Z76" s="324"/>
      <c r="AA76" s="324"/>
      <c r="AB76" s="324"/>
      <c r="AC76" s="324"/>
      <c r="AD76" s="324"/>
      <c r="AE76" s="324"/>
      <c r="AF76" s="324"/>
      <c r="AG76" s="324"/>
      <c r="AH76" s="324"/>
      <c r="AI76" s="324"/>
      <c r="AJ76" s="324"/>
      <c r="AK76" s="324"/>
      <c r="AL76" s="324"/>
      <c r="AM76" s="324"/>
      <c r="AN76" s="324"/>
      <c r="AO76" s="324"/>
      <c r="AP76" s="324"/>
      <c r="AQ76" s="324"/>
      <c r="AR76" s="324"/>
      <c r="AS76" s="324"/>
      <c r="AT76" s="324"/>
      <c r="AU76" s="324"/>
      <c r="AV76" s="324"/>
      <c r="AW76" s="324"/>
      <c r="AX76" s="324"/>
      <c r="AY76" s="324"/>
      <c r="AZ76" s="324"/>
      <c r="BA76" s="324"/>
      <c r="BB76" s="324"/>
      <c r="BC76" s="324"/>
      <c r="BD76" s="324"/>
      <c r="BE76" s="324"/>
      <c r="BF76" s="324"/>
      <c r="BG76" s="324"/>
      <c r="BH76" s="324"/>
      <c r="BI76" s="324"/>
      <c r="BJ76" s="324"/>
      <c r="BK76" s="324"/>
      <c r="BL76" s="324"/>
      <c r="BM76" s="324"/>
      <c r="BN76" s="324"/>
      <c r="BO76" s="324"/>
      <c r="BP76" s="324"/>
      <c r="BQ76" s="324"/>
      <c r="BR76" s="324"/>
      <c r="BS76" s="324"/>
      <c r="BT76" s="324"/>
      <c r="BU76" s="324"/>
      <c r="BV76" s="324"/>
      <c r="BW76" s="324"/>
      <c r="BX76" s="324"/>
      <c r="BY76" s="324"/>
      <c r="BZ76" s="324"/>
      <c r="CA76" s="324"/>
      <c r="CB76" s="324"/>
      <c r="CC76" s="324"/>
      <c r="CD76" s="324"/>
      <c r="CE76" s="324"/>
      <c r="CF76" s="324"/>
      <c r="CG76" s="324"/>
      <c r="CH76" s="324"/>
      <c r="CI76" s="324"/>
      <c r="CJ76" s="324"/>
      <c r="CK76" s="324"/>
      <c r="CL76" s="324"/>
      <c r="CM76" s="324"/>
      <c r="CN76" s="324"/>
      <c r="CO76" s="324"/>
      <c r="CP76" s="324"/>
      <c r="CQ76" s="324"/>
      <c r="CR76" s="324"/>
      <c r="CS76" s="324"/>
      <c r="CT76" s="324"/>
      <c r="CU76" s="324"/>
      <c r="CV76" s="324"/>
      <c r="CW76" s="324"/>
      <c r="CX76" s="324"/>
      <c r="CY76" s="324"/>
      <c r="CZ76" s="324"/>
      <c r="DA76" s="324"/>
      <c r="DB76" s="324"/>
      <c r="DC76" s="324"/>
      <c r="DD76" s="324"/>
      <c r="DE76" s="324"/>
      <c r="DF76" s="324"/>
      <c r="DG76" s="324"/>
      <c r="DH76" s="324"/>
      <c r="DI76" s="324"/>
      <c r="DJ76" s="324"/>
      <c r="DK76" s="324"/>
      <c r="DL76" s="324"/>
      <c r="DM76" s="324"/>
      <c r="DN76" s="324"/>
      <c r="DO76" s="324"/>
      <c r="DP76" s="324"/>
      <c r="DQ76" s="324"/>
      <c r="DR76" s="324"/>
      <c r="DS76" s="324"/>
      <c r="DT76" s="324"/>
      <c r="DU76" s="324"/>
      <c r="DV76" s="324"/>
      <c r="DW76" s="324"/>
      <c r="DX76" s="324"/>
      <c r="DY76" s="324"/>
      <c r="DZ76" s="324"/>
      <c r="EA76" s="324"/>
      <c r="EB76" s="324"/>
      <c r="EC76" s="324"/>
      <c r="ED76" s="324"/>
      <c r="EE76" s="324"/>
      <c r="EF76" s="324"/>
      <c r="EG76" s="324"/>
      <c r="EH76" s="324"/>
      <c r="EI76" s="324"/>
      <c r="EJ76" s="324"/>
      <c r="EK76" s="324"/>
      <c r="EL76" s="324"/>
      <c r="EM76" s="324"/>
      <c r="EN76" s="324"/>
      <c r="EO76" s="324"/>
      <c r="EP76" s="324"/>
      <c r="EQ76" s="324"/>
      <c r="ER76" s="324"/>
      <c r="ES76" s="324"/>
      <c r="ET76" s="324"/>
      <c r="EU76" s="324"/>
      <c r="EV76" s="324"/>
      <c r="EW76" s="324"/>
      <c r="EX76" s="324"/>
      <c r="EY76" s="324"/>
      <c r="EZ76" s="324"/>
      <c r="FA76" s="324"/>
      <c r="FB76" s="324"/>
      <c r="FC76" s="324"/>
      <c r="FD76" s="324"/>
      <c r="FE76" s="324"/>
      <c r="FF76" s="324"/>
      <c r="FG76" s="324"/>
      <c r="FH76" s="324"/>
      <c r="FI76" s="324"/>
      <c r="FJ76" s="324"/>
      <c r="FK76" s="324"/>
      <c r="FL76" s="324"/>
      <c r="FM76" s="324"/>
      <c r="FN76" s="324"/>
      <c r="FO76" s="324"/>
      <c r="FP76" s="324"/>
      <c r="FQ76" s="324"/>
      <c r="FR76" s="324"/>
      <c r="FS76" s="324"/>
      <c r="FT76" s="324"/>
      <c r="FU76" s="324"/>
      <c r="FV76" s="324"/>
      <c r="FW76" s="324"/>
      <c r="FX76" s="324"/>
      <c r="FY76" s="324"/>
      <c r="FZ76" s="324"/>
      <c r="GA76" s="324"/>
      <c r="GB76" s="324"/>
      <c r="GC76" s="324"/>
      <c r="GD76" s="324"/>
      <c r="GE76" s="324"/>
      <c r="GF76" s="324"/>
      <c r="GG76" s="324"/>
      <c r="GH76" s="324"/>
      <c r="GI76" s="324"/>
      <c r="GJ76" s="324"/>
      <c r="GK76" s="324"/>
      <c r="GL76" s="324"/>
      <c r="GM76" s="324"/>
      <c r="GN76" s="324"/>
      <c r="GO76" s="324"/>
      <c r="GP76" s="324"/>
      <c r="GQ76" s="324"/>
      <c r="GR76" s="324"/>
      <c r="GS76" s="324"/>
      <c r="GT76" s="324"/>
      <c r="GU76" s="324"/>
      <c r="GV76" s="324"/>
      <c r="GW76" s="324"/>
      <c r="GX76" s="324"/>
      <c r="GY76" s="324"/>
      <c r="GZ76" s="324"/>
      <c r="HA76" s="324"/>
      <c r="HB76" s="324"/>
      <c r="HC76" s="324"/>
      <c r="HD76" s="324"/>
      <c r="HE76" s="324"/>
      <c r="HF76" s="324"/>
      <c r="HG76" s="324"/>
      <c r="HH76" s="324"/>
      <c r="HI76" s="324"/>
      <c r="HJ76" s="324"/>
      <c r="HK76" s="324"/>
      <c r="HL76" s="324"/>
      <c r="HM76" s="324"/>
      <c r="HN76" s="324"/>
      <c r="HO76" s="324"/>
      <c r="HP76" s="324"/>
      <c r="HQ76" s="324"/>
      <c r="HR76" s="324"/>
      <c r="HS76" s="324"/>
      <c r="HT76" s="324"/>
      <c r="HU76" s="324"/>
      <c r="HV76" s="324"/>
      <c r="HW76" s="324"/>
      <c r="HX76" s="324"/>
      <c r="HY76" s="324"/>
      <c r="HZ76" s="324"/>
      <c r="IA76" s="324"/>
      <c r="IB76" s="324"/>
      <c r="IC76" s="324"/>
      <c r="ID76" s="324"/>
      <c r="IE76" s="324"/>
      <c r="IF76" s="324"/>
      <c r="IG76" s="324"/>
      <c r="IH76" s="324"/>
      <c r="II76" s="324"/>
      <c r="IJ76" s="324"/>
      <c r="IK76" s="324"/>
      <c r="IL76" s="324"/>
      <c r="IM76" s="324"/>
    </row>
    <row r="77" spans="1:247" x14ac:dyDescent="0.35">
      <c r="A77" s="356">
        <v>2161</v>
      </c>
      <c r="B77" s="357" t="s">
        <v>85</v>
      </c>
      <c r="C77" s="172" t="s">
        <v>8</v>
      </c>
      <c r="D77" s="358" t="s">
        <v>2051</v>
      </c>
      <c r="E77" s="336"/>
      <c r="F77" s="331">
        <f t="shared" si="0"/>
        <v>1.0209999999999999</v>
      </c>
      <c r="G77" s="337">
        <f t="shared" si="7"/>
        <v>1.0269999999999999</v>
      </c>
      <c r="H77" s="336"/>
      <c r="I77" s="338"/>
      <c r="J77" s="338">
        <f t="shared" si="11"/>
        <v>1.0049999999999999</v>
      </c>
      <c r="K77" s="338"/>
      <c r="L77" s="338"/>
      <c r="M77" s="338">
        <f t="shared" si="12"/>
        <v>1.0029999999999999</v>
      </c>
      <c r="N77" s="337">
        <f t="shared" si="8"/>
        <v>1.0029999999999999</v>
      </c>
      <c r="O77" s="339">
        <f t="shared" si="13"/>
        <v>1.0209999999999999</v>
      </c>
      <c r="P77" s="336">
        <f t="shared" si="9"/>
        <v>1.032</v>
      </c>
      <c r="Q77" s="337">
        <f t="shared" si="10"/>
        <v>1.0349999999999999</v>
      </c>
      <c r="R77" s="340">
        <f>PRODUCT(E77:Q77)</f>
        <v>1.1561386038173773</v>
      </c>
      <c r="S77" s="324"/>
      <c r="T77" s="324"/>
      <c r="U77" s="324"/>
      <c r="V77" s="324"/>
      <c r="W77" s="324"/>
      <c r="X77" s="324"/>
      <c r="Y77" s="324"/>
      <c r="Z77" s="324"/>
      <c r="AA77" s="324"/>
      <c r="AB77" s="324"/>
      <c r="AC77" s="324"/>
      <c r="AD77" s="324"/>
      <c r="AE77" s="324"/>
      <c r="AF77" s="324"/>
      <c r="AG77" s="324"/>
      <c r="AH77" s="324"/>
      <c r="AI77" s="324"/>
      <c r="AJ77" s="324"/>
      <c r="AK77" s="324"/>
      <c r="AL77" s="324"/>
      <c r="AM77" s="324"/>
      <c r="AN77" s="324"/>
      <c r="AO77" s="324"/>
      <c r="AP77" s="324"/>
      <c r="AQ77" s="324"/>
      <c r="AR77" s="324"/>
      <c r="AS77" s="324"/>
      <c r="AT77" s="324"/>
      <c r="AU77" s="324"/>
      <c r="AV77" s="324"/>
      <c r="AW77" s="324"/>
      <c r="AX77" s="324"/>
      <c r="AY77" s="324"/>
      <c r="AZ77" s="324"/>
      <c r="BA77" s="324"/>
      <c r="BB77" s="324"/>
      <c r="BC77" s="324"/>
      <c r="BD77" s="324"/>
      <c r="BE77" s="324"/>
      <c r="BF77" s="324"/>
      <c r="BG77" s="324"/>
      <c r="BH77" s="324"/>
      <c r="BI77" s="324"/>
      <c r="BJ77" s="324"/>
      <c r="BK77" s="324"/>
      <c r="BL77" s="324"/>
      <c r="BM77" s="324"/>
      <c r="BN77" s="324"/>
      <c r="BO77" s="324"/>
      <c r="BP77" s="324"/>
      <c r="BQ77" s="324"/>
      <c r="BR77" s="324"/>
      <c r="BS77" s="324"/>
      <c r="BT77" s="324"/>
      <c r="BU77" s="324"/>
      <c r="BV77" s="324"/>
      <c r="BW77" s="324"/>
      <c r="BX77" s="324"/>
      <c r="BY77" s="324"/>
      <c r="BZ77" s="324"/>
      <c r="CA77" s="324"/>
      <c r="CB77" s="324"/>
      <c r="CC77" s="324"/>
      <c r="CD77" s="324"/>
      <c r="CE77" s="324"/>
      <c r="CF77" s="324"/>
      <c r="CG77" s="324"/>
      <c r="CH77" s="324"/>
      <c r="CI77" s="324"/>
      <c r="CJ77" s="324"/>
      <c r="CK77" s="324"/>
      <c r="CL77" s="324"/>
      <c r="CM77" s="324"/>
      <c r="CN77" s="324"/>
      <c r="CO77" s="324"/>
      <c r="CP77" s="324"/>
      <c r="CQ77" s="324"/>
      <c r="CR77" s="324"/>
      <c r="CS77" s="324"/>
      <c r="CT77" s="324"/>
      <c r="CU77" s="324"/>
      <c r="CV77" s="324"/>
      <c r="CW77" s="324"/>
      <c r="CX77" s="324"/>
      <c r="CY77" s="324"/>
      <c r="CZ77" s="324"/>
      <c r="DA77" s="324"/>
      <c r="DB77" s="324"/>
      <c r="DC77" s="324"/>
      <c r="DD77" s="324"/>
      <c r="DE77" s="324"/>
      <c r="DF77" s="324"/>
      <c r="DG77" s="324"/>
      <c r="DH77" s="324"/>
      <c r="DI77" s="324"/>
      <c r="DJ77" s="324"/>
      <c r="DK77" s="324"/>
      <c r="DL77" s="324"/>
      <c r="DM77" s="324"/>
      <c r="DN77" s="324"/>
      <c r="DO77" s="324"/>
      <c r="DP77" s="324"/>
      <c r="DQ77" s="324"/>
      <c r="DR77" s="324"/>
      <c r="DS77" s="324"/>
      <c r="DT77" s="324"/>
      <c r="DU77" s="324"/>
      <c r="DV77" s="324"/>
      <c r="DW77" s="324"/>
      <c r="DX77" s="324"/>
      <c r="DY77" s="324"/>
      <c r="DZ77" s="324"/>
      <c r="EA77" s="324"/>
      <c r="EB77" s="324"/>
      <c r="EC77" s="324"/>
      <c r="ED77" s="324"/>
      <c r="EE77" s="324"/>
      <c r="EF77" s="324"/>
      <c r="EG77" s="324"/>
      <c r="EH77" s="324"/>
      <c r="EI77" s="324"/>
      <c r="EJ77" s="324"/>
      <c r="EK77" s="324"/>
      <c r="EL77" s="324"/>
      <c r="EM77" s="324"/>
      <c r="EN77" s="324"/>
      <c r="EO77" s="324"/>
      <c r="EP77" s="324"/>
      <c r="EQ77" s="324"/>
      <c r="ER77" s="324"/>
      <c r="ES77" s="324"/>
      <c r="ET77" s="324"/>
      <c r="EU77" s="324"/>
      <c r="EV77" s="324"/>
      <c r="EW77" s="324"/>
      <c r="EX77" s="324"/>
      <c r="EY77" s="324"/>
      <c r="EZ77" s="324"/>
      <c r="FA77" s="324"/>
      <c r="FB77" s="324"/>
      <c r="FC77" s="324"/>
      <c r="FD77" s="324"/>
      <c r="FE77" s="324"/>
      <c r="FF77" s="324"/>
      <c r="FG77" s="324"/>
      <c r="FH77" s="324"/>
      <c r="FI77" s="324"/>
      <c r="FJ77" s="324"/>
      <c r="FK77" s="324"/>
      <c r="FL77" s="324"/>
      <c r="FM77" s="324"/>
      <c r="FN77" s="324"/>
      <c r="FO77" s="324"/>
      <c r="FP77" s="324"/>
      <c r="FQ77" s="324"/>
      <c r="FR77" s="324"/>
      <c r="FS77" s="324"/>
      <c r="FT77" s="324"/>
      <c r="FU77" s="324"/>
      <c r="FV77" s="324"/>
      <c r="FW77" s="324"/>
      <c r="FX77" s="324"/>
      <c r="FY77" s="324"/>
      <c r="FZ77" s="324"/>
      <c r="GA77" s="324"/>
      <c r="GB77" s="324"/>
      <c r="GC77" s="324"/>
      <c r="GD77" s="324"/>
      <c r="GE77" s="324"/>
      <c r="GF77" s="324"/>
      <c r="GG77" s="324"/>
      <c r="GH77" s="324"/>
      <c r="GI77" s="324"/>
      <c r="GJ77" s="324"/>
      <c r="GK77" s="324"/>
      <c r="GL77" s="324"/>
      <c r="GM77" s="324"/>
      <c r="GN77" s="324"/>
      <c r="GO77" s="324"/>
      <c r="GP77" s="324"/>
      <c r="GQ77" s="324"/>
      <c r="GR77" s="324"/>
      <c r="GS77" s="324"/>
      <c r="GT77" s="324"/>
      <c r="GU77" s="324"/>
      <c r="GV77" s="324"/>
      <c r="GW77" s="324"/>
      <c r="GX77" s="324"/>
      <c r="GY77" s="324"/>
      <c r="GZ77" s="324"/>
      <c r="HA77" s="324"/>
      <c r="HB77" s="324"/>
      <c r="HC77" s="324"/>
      <c r="HD77" s="324"/>
      <c r="HE77" s="324"/>
      <c r="HF77" s="324"/>
      <c r="HG77" s="324"/>
      <c r="HH77" s="324"/>
      <c r="HI77" s="324"/>
      <c r="HJ77" s="324"/>
      <c r="HK77" s="324"/>
      <c r="HL77" s="324"/>
      <c r="HM77" s="324"/>
      <c r="HN77" s="324"/>
      <c r="HO77" s="324"/>
      <c r="HP77" s="324"/>
      <c r="HQ77" s="324"/>
      <c r="HR77" s="324"/>
      <c r="HS77" s="324"/>
      <c r="HT77" s="324"/>
      <c r="HU77" s="324"/>
      <c r="HV77" s="324"/>
      <c r="HW77" s="324"/>
      <c r="HX77" s="324"/>
      <c r="HY77" s="324"/>
      <c r="HZ77" s="324"/>
      <c r="IA77" s="324"/>
      <c r="IB77" s="324"/>
      <c r="IC77" s="324"/>
      <c r="ID77" s="324"/>
      <c r="IE77" s="324"/>
      <c r="IF77" s="324"/>
      <c r="IG77" s="324"/>
      <c r="IH77" s="324"/>
      <c r="II77" s="324"/>
      <c r="IJ77" s="324"/>
      <c r="IK77" s="324"/>
      <c r="IL77" s="324"/>
      <c r="IM77" s="324"/>
    </row>
    <row r="78" spans="1:247" x14ac:dyDescent="0.35">
      <c r="A78" s="356">
        <v>2162</v>
      </c>
      <c r="B78" s="357" t="s">
        <v>86</v>
      </c>
      <c r="C78" s="172" t="s">
        <v>8</v>
      </c>
      <c r="D78" s="358" t="s">
        <v>2051</v>
      </c>
      <c r="E78" s="336"/>
      <c r="F78" s="331">
        <f t="shared" si="0"/>
        <v>1.0209999999999999</v>
      </c>
      <c r="G78" s="337">
        <f t="shared" si="7"/>
        <v>1.0269999999999999</v>
      </c>
      <c r="H78" s="336"/>
      <c r="I78" s="338"/>
      <c r="J78" s="338">
        <f t="shared" si="11"/>
        <v>1.0049999999999999</v>
      </c>
      <c r="K78" s="338"/>
      <c r="L78" s="338"/>
      <c r="M78" s="338">
        <f t="shared" si="12"/>
        <v>1.0029999999999999</v>
      </c>
      <c r="N78" s="337">
        <f t="shared" si="8"/>
        <v>1.0029999999999999</v>
      </c>
      <c r="O78" s="339">
        <f t="shared" si="13"/>
        <v>1.0209999999999999</v>
      </c>
      <c r="P78" s="336">
        <f t="shared" si="9"/>
        <v>1.032</v>
      </c>
      <c r="Q78" s="337">
        <f t="shared" si="10"/>
        <v>1.0349999999999999</v>
      </c>
      <c r="R78" s="340">
        <f>PRODUCT(E78:Q78)</f>
        <v>1.1561386038173773</v>
      </c>
      <c r="S78" s="324"/>
      <c r="T78" s="324"/>
      <c r="U78" s="324"/>
      <c r="V78" s="324"/>
      <c r="W78" s="324"/>
      <c r="X78" s="324"/>
      <c r="Y78" s="324"/>
      <c r="Z78" s="324"/>
      <c r="AA78" s="324"/>
      <c r="AB78" s="324"/>
      <c r="AC78" s="324"/>
      <c r="AD78" s="324"/>
      <c r="AE78" s="324"/>
      <c r="AF78" s="324"/>
      <c r="AG78" s="324"/>
      <c r="AH78" s="324"/>
      <c r="AI78" s="324"/>
      <c r="AJ78" s="324"/>
      <c r="AK78" s="324"/>
      <c r="AL78" s="324"/>
      <c r="AM78" s="324"/>
      <c r="AN78" s="324"/>
      <c r="AO78" s="324"/>
      <c r="AP78" s="324"/>
      <c r="AQ78" s="324"/>
      <c r="AR78" s="324"/>
      <c r="AS78" s="324"/>
      <c r="AT78" s="324"/>
      <c r="AU78" s="324"/>
      <c r="AV78" s="324"/>
      <c r="AW78" s="324"/>
      <c r="AX78" s="324"/>
      <c r="AY78" s="324"/>
      <c r="AZ78" s="324"/>
      <c r="BA78" s="324"/>
      <c r="BB78" s="324"/>
      <c r="BC78" s="324"/>
      <c r="BD78" s="324"/>
      <c r="BE78" s="324"/>
      <c r="BF78" s="324"/>
      <c r="BG78" s="324"/>
      <c r="BH78" s="324"/>
      <c r="BI78" s="324"/>
      <c r="BJ78" s="324"/>
      <c r="BK78" s="324"/>
      <c r="BL78" s="324"/>
      <c r="BM78" s="324"/>
      <c r="BN78" s="324"/>
      <c r="BO78" s="324"/>
      <c r="BP78" s="324"/>
      <c r="BQ78" s="324"/>
      <c r="BR78" s="324"/>
      <c r="BS78" s="324"/>
      <c r="BT78" s="324"/>
      <c r="BU78" s="324"/>
      <c r="BV78" s="324"/>
      <c r="BW78" s="324"/>
      <c r="BX78" s="324"/>
      <c r="BY78" s="324"/>
      <c r="BZ78" s="324"/>
      <c r="CA78" s="324"/>
      <c r="CB78" s="324"/>
      <c r="CC78" s="324"/>
      <c r="CD78" s="324"/>
      <c r="CE78" s="324"/>
      <c r="CF78" s="324"/>
      <c r="CG78" s="324"/>
      <c r="CH78" s="324"/>
      <c r="CI78" s="324"/>
      <c r="CJ78" s="324"/>
      <c r="CK78" s="324"/>
      <c r="CL78" s="324"/>
      <c r="CM78" s="324"/>
      <c r="CN78" s="324"/>
      <c r="CO78" s="324"/>
      <c r="CP78" s="324"/>
      <c r="CQ78" s="324"/>
      <c r="CR78" s="324"/>
      <c r="CS78" s="324"/>
      <c r="CT78" s="324"/>
      <c r="CU78" s="324"/>
      <c r="CV78" s="324"/>
      <c r="CW78" s="324"/>
      <c r="CX78" s="324"/>
      <c r="CY78" s="324"/>
      <c r="CZ78" s="324"/>
      <c r="DA78" s="324"/>
      <c r="DB78" s="324"/>
      <c r="DC78" s="324"/>
      <c r="DD78" s="324"/>
      <c r="DE78" s="324"/>
      <c r="DF78" s="324"/>
      <c r="DG78" s="324"/>
      <c r="DH78" s="324"/>
      <c r="DI78" s="324"/>
      <c r="DJ78" s="324"/>
      <c r="DK78" s="324"/>
      <c r="DL78" s="324"/>
      <c r="DM78" s="324"/>
      <c r="DN78" s="324"/>
      <c r="DO78" s="324"/>
      <c r="DP78" s="324"/>
      <c r="DQ78" s="324"/>
      <c r="DR78" s="324"/>
      <c r="DS78" s="324"/>
      <c r="DT78" s="324"/>
      <c r="DU78" s="324"/>
      <c r="DV78" s="324"/>
      <c r="DW78" s="324"/>
      <c r="DX78" s="324"/>
      <c r="DY78" s="324"/>
      <c r="DZ78" s="324"/>
      <c r="EA78" s="324"/>
      <c r="EB78" s="324"/>
      <c r="EC78" s="324"/>
      <c r="ED78" s="324"/>
      <c r="EE78" s="324"/>
      <c r="EF78" s="324"/>
      <c r="EG78" s="324"/>
      <c r="EH78" s="324"/>
      <c r="EI78" s="324"/>
      <c r="EJ78" s="324"/>
      <c r="EK78" s="324"/>
      <c r="EL78" s="324"/>
      <c r="EM78" s="324"/>
      <c r="EN78" s="324"/>
      <c r="EO78" s="324"/>
      <c r="EP78" s="324"/>
      <c r="EQ78" s="324"/>
      <c r="ER78" s="324"/>
      <c r="ES78" s="324"/>
      <c r="ET78" s="324"/>
      <c r="EU78" s="324"/>
      <c r="EV78" s="324"/>
      <c r="EW78" s="324"/>
      <c r="EX78" s="324"/>
      <c r="EY78" s="324"/>
      <c r="EZ78" s="324"/>
      <c r="FA78" s="324"/>
      <c r="FB78" s="324"/>
      <c r="FC78" s="324"/>
      <c r="FD78" s="324"/>
      <c r="FE78" s="324"/>
      <c r="FF78" s="324"/>
      <c r="FG78" s="324"/>
      <c r="FH78" s="324"/>
      <c r="FI78" s="324"/>
      <c r="FJ78" s="324"/>
      <c r="FK78" s="324"/>
      <c r="FL78" s="324"/>
      <c r="FM78" s="324"/>
      <c r="FN78" s="324"/>
      <c r="FO78" s="324"/>
      <c r="FP78" s="324"/>
      <c r="FQ78" s="324"/>
      <c r="FR78" s="324"/>
      <c r="FS78" s="324"/>
      <c r="FT78" s="324"/>
      <c r="FU78" s="324"/>
      <c r="FV78" s="324"/>
      <c r="FW78" s="324"/>
      <c r="FX78" s="324"/>
      <c r="FY78" s="324"/>
      <c r="FZ78" s="324"/>
      <c r="GA78" s="324"/>
      <c r="GB78" s="324"/>
      <c r="GC78" s="324"/>
      <c r="GD78" s="324"/>
      <c r="GE78" s="324"/>
      <c r="GF78" s="324"/>
      <c r="GG78" s="324"/>
      <c r="GH78" s="324"/>
      <c r="GI78" s="324"/>
      <c r="GJ78" s="324"/>
      <c r="GK78" s="324"/>
      <c r="GL78" s="324"/>
      <c r="GM78" s="324"/>
      <c r="GN78" s="324"/>
      <c r="GO78" s="324"/>
      <c r="GP78" s="324"/>
      <c r="GQ78" s="324"/>
      <c r="GR78" s="324"/>
      <c r="GS78" s="324"/>
      <c r="GT78" s="324"/>
      <c r="GU78" s="324"/>
      <c r="GV78" s="324"/>
      <c r="GW78" s="324"/>
      <c r="GX78" s="324"/>
      <c r="GY78" s="324"/>
      <c r="GZ78" s="324"/>
      <c r="HA78" s="324"/>
      <c r="HB78" s="324"/>
      <c r="HC78" s="324"/>
      <c r="HD78" s="324"/>
      <c r="HE78" s="324"/>
      <c r="HF78" s="324"/>
      <c r="HG78" s="324"/>
      <c r="HH78" s="324"/>
      <c r="HI78" s="324"/>
      <c r="HJ78" s="324"/>
      <c r="HK78" s="324"/>
      <c r="HL78" s="324"/>
      <c r="HM78" s="324"/>
      <c r="HN78" s="324"/>
      <c r="HO78" s="324"/>
      <c r="HP78" s="324"/>
      <c r="HQ78" s="324"/>
      <c r="HR78" s="324"/>
      <c r="HS78" s="324"/>
      <c r="HT78" s="324"/>
      <c r="HU78" s="324"/>
      <c r="HV78" s="324"/>
      <c r="HW78" s="324"/>
      <c r="HX78" s="324"/>
      <c r="HY78" s="324"/>
      <c r="HZ78" s="324"/>
      <c r="IA78" s="324"/>
      <c r="IB78" s="324"/>
      <c r="IC78" s="324"/>
      <c r="ID78" s="324"/>
      <c r="IE78" s="324"/>
      <c r="IF78" s="324"/>
      <c r="IG78" s="324"/>
      <c r="IH78" s="324"/>
      <c r="II78" s="324"/>
      <c r="IJ78" s="324"/>
      <c r="IK78" s="324"/>
      <c r="IL78" s="324"/>
      <c r="IM78" s="324"/>
    </row>
    <row r="79" spans="1:247" x14ac:dyDescent="0.35">
      <c r="A79" s="356">
        <v>2163</v>
      </c>
      <c r="B79" s="357" t="s">
        <v>87</v>
      </c>
      <c r="C79" s="172" t="s">
        <v>8</v>
      </c>
      <c r="D79" s="358" t="s">
        <v>2051</v>
      </c>
      <c r="E79" s="336"/>
      <c r="F79" s="331">
        <f t="shared" si="0"/>
        <v>1.0209999999999999</v>
      </c>
      <c r="G79" s="337">
        <f t="shared" si="7"/>
        <v>1.0269999999999999</v>
      </c>
      <c r="H79" s="336"/>
      <c r="I79" s="338"/>
      <c r="J79" s="338">
        <f t="shared" si="11"/>
        <v>1.0049999999999999</v>
      </c>
      <c r="K79" s="338"/>
      <c r="L79" s="338"/>
      <c r="M79" s="338">
        <f t="shared" si="12"/>
        <v>1.0029999999999999</v>
      </c>
      <c r="N79" s="337">
        <f t="shared" si="8"/>
        <v>1.0029999999999999</v>
      </c>
      <c r="O79" s="339">
        <f t="shared" si="13"/>
        <v>1.0209999999999999</v>
      </c>
      <c r="P79" s="336">
        <f t="shared" si="9"/>
        <v>1.032</v>
      </c>
      <c r="Q79" s="337">
        <f t="shared" si="10"/>
        <v>1.0349999999999999</v>
      </c>
      <c r="R79" s="340">
        <f>PRODUCT(E79:Q79)</f>
        <v>1.1561386038173773</v>
      </c>
      <c r="S79" s="324"/>
      <c r="T79" s="324"/>
      <c r="U79" s="324"/>
      <c r="V79" s="324"/>
      <c r="W79" s="324"/>
      <c r="X79" s="324"/>
      <c r="Y79" s="324"/>
      <c r="Z79" s="324"/>
      <c r="AA79" s="324"/>
      <c r="AB79" s="324"/>
      <c r="AC79" s="324"/>
      <c r="AD79" s="324"/>
      <c r="AE79" s="324"/>
      <c r="AF79" s="324"/>
      <c r="AG79" s="324"/>
      <c r="AH79" s="324"/>
      <c r="AI79" s="324"/>
      <c r="AJ79" s="324"/>
      <c r="AK79" s="324"/>
      <c r="AL79" s="324"/>
      <c r="AM79" s="324"/>
      <c r="AN79" s="324"/>
      <c r="AO79" s="324"/>
      <c r="AP79" s="324"/>
      <c r="AQ79" s="324"/>
      <c r="AR79" s="324"/>
      <c r="AS79" s="324"/>
      <c r="AT79" s="324"/>
      <c r="AU79" s="324"/>
      <c r="AV79" s="324"/>
      <c r="AW79" s="324"/>
      <c r="AX79" s="324"/>
      <c r="AY79" s="324"/>
      <c r="AZ79" s="324"/>
      <c r="BA79" s="324"/>
      <c r="BB79" s="324"/>
      <c r="BC79" s="324"/>
      <c r="BD79" s="324"/>
      <c r="BE79" s="324"/>
      <c r="BF79" s="324"/>
      <c r="BG79" s="324"/>
      <c r="BH79" s="324"/>
      <c r="BI79" s="324"/>
      <c r="BJ79" s="324"/>
      <c r="BK79" s="324"/>
      <c r="BL79" s="324"/>
      <c r="BM79" s="324"/>
      <c r="BN79" s="324"/>
      <c r="BO79" s="324"/>
      <c r="BP79" s="324"/>
      <c r="BQ79" s="324"/>
      <c r="BR79" s="324"/>
      <c r="BS79" s="324"/>
      <c r="BT79" s="324"/>
      <c r="BU79" s="324"/>
      <c r="BV79" s="324"/>
      <c r="BW79" s="324"/>
      <c r="BX79" s="324"/>
      <c r="BY79" s="324"/>
      <c r="BZ79" s="324"/>
      <c r="CA79" s="324"/>
      <c r="CB79" s="324"/>
      <c r="CC79" s="324"/>
      <c r="CD79" s="324"/>
      <c r="CE79" s="324"/>
      <c r="CF79" s="324"/>
      <c r="CG79" s="324"/>
      <c r="CH79" s="324"/>
      <c r="CI79" s="324"/>
      <c r="CJ79" s="324"/>
      <c r="CK79" s="324"/>
      <c r="CL79" s="324"/>
      <c r="CM79" s="324"/>
      <c r="CN79" s="324"/>
      <c r="CO79" s="324"/>
      <c r="CP79" s="324"/>
      <c r="CQ79" s="324"/>
      <c r="CR79" s="324"/>
      <c r="CS79" s="324"/>
      <c r="CT79" s="324"/>
      <c r="CU79" s="324"/>
      <c r="CV79" s="324"/>
      <c r="CW79" s="324"/>
      <c r="CX79" s="324"/>
      <c r="CY79" s="324"/>
      <c r="CZ79" s="324"/>
      <c r="DA79" s="324"/>
      <c r="DB79" s="324"/>
      <c r="DC79" s="324"/>
      <c r="DD79" s="324"/>
      <c r="DE79" s="324"/>
      <c r="DF79" s="324"/>
      <c r="DG79" s="324"/>
      <c r="DH79" s="324"/>
      <c r="DI79" s="324"/>
      <c r="DJ79" s="324"/>
      <c r="DK79" s="324"/>
      <c r="DL79" s="324"/>
      <c r="DM79" s="324"/>
      <c r="DN79" s="324"/>
      <c r="DO79" s="324"/>
      <c r="DP79" s="324"/>
      <c r="DQ79" s="324"/>
      <c r="DR79" s="324"/>
      <c r="DS79" s="324"/>
      <c r="DT79" s="324"/>
      <c r="DU79" s="324"/>
      <c r="DV79" s="324"/>
      <c r="DW79" s="324"/>
      <c r="DX79" s="324"/>
      <c r="DY79" s="324"/>
      <c r="DZ79" s="324"/>
      <c r="EA79" s="324"/>
      <c r="EB79" s="324"/>
      <c r="EC79" s="324"/>
      <c r="ED79" s="324"/>
      <c r="EE79" s="324"/>
      <c r="EF79" s="324"/>
      <c r="EG79" s="324"/>
      <c r="EH79" s="324"/>
      <c r="EI79" s="324"/>
      <c r="EJ79" s="324"/>
      <c r="EK79" s="324"/>
      <c r="EL79" s="324"/>
      <c r="EM79" s="324"/>
      <c r="EN79" s="324"/>
      <c r="EO79" s="324"/>
      <c r="EP79" s="324"/>
      <c r="EQ79" s="324"/>
      <c r="ER79" s="324"/>
      <c r="ES79" s="324"/>
      <c r="ET79" s="324"/>
      <c r="EU79" s="324"/>
      <c r="EV79" s="324"/>
      <c r="EW79" s="324"/>
      <c r="EX79" s="324"/>
      <c r="EY79" s="324"/>
      <c r="EZ79" s="324"/>
      <c r="FA79" s="324"/>
      <c r="FB79" s="324"/>
      <c r="FC79" s="324"/>
      <c r="FD79" s="324"/>
      <c r="FE79" s="324"/>
      <c r="FF79" s="324"/>
      <c r="FG79" s="324"/>
      <c r="FH79" s="324"/>
      <c r="FI79" s="324"/>
      <c r="FJ79" s="324"/>
      <c r="FK79" s="324"/>
      <c r="FL79" s="324"/>
      <c r="FM79" s="324"/>
      <c r="FN79" s="324"/>
      <c r="FO79" s="324"/>
      <c r="FP79" s="324"/>
      <c r="FQ79" s="324"/>
      <c r="FR79" s="324"/>
      <c r="FS79" s="324"/>
      <c r="FT79" s="324"/>
      <c r="FU79" s="324"/>
      <c r="FV79" s="324"/>
      <c r="FW79" s="324"/>
      <c r="FX79" s="324"/>
      <c r="FY79" s="324"/>
      <c r="FZ79" s="324"/>
      <c r="GA79" s="324"/>
      <c r="GB79" s="324"/>
      <c r="GC79" s="324"/>
      <c r="GD79" s="324"/>
      <c r="GE79" s="324"/>
      <c r="GF79" s="324"/>
      <c r="GG79" s="324"/>
      <c r="GH79" s="324"/>
      <c r="GI79" s="324"/>
      <c r="GJ79" s="324"/>
      <c r="GK79" s="324"/>
      <c r="GL79" s="324"/>
      <c r="GM79" s="324"/>
      <c r="GN79" s="324"/>
      <c r="GO79" s="324"/>
      <c r="GP79" s="324"/>
      <c r="GQ79" s="324"/>
      <c r="GR79" s="324"/>
      <c r="GS79" s="324"/>
      <c r="GT79" s="324"/>
      <c r="GU79" s="324"/>
      <c r="GV79" s="324"/>
      <c r="GW79" s="324"/>
      <c r="GX79" s="324"/>
      <c r="GY79" s="324"/>
      <c r="GZ79" s="324"/>
      <c r="HA79" s="324"/>
      <c r="HB79" s="324"/>
      <c r="HC79" s="324"/>
      <c r="HD79" s="324"/>
      <c r="HE79" s="324"/>
      <c r="HF79" s="324"/>
      <c r="HG79" s="324"/>
      <c r="HH79" s="324"/>
      <c r="HI79" s="324"/>
      <c r="HJ79" s="324"/>
      <c r="HK79" s="324"/>
      <c r="HL79" s="324"/>
      <c r="HM79" s="324"/>
      <c r="HN79" s="324"/>
      <c r="HO79" s="324"/>
      <c r="HP79" s="324"/>
      <c r="HQ79" s="324"/>
      <c r="HR79" s="324"/>
      <c r="HS79" s="324"/>
      <c r="HT79" s="324"/>
      <c r="HU79" s="324"/>
      <c r="HV79" s="324"/>
      <c r="HW79" s="324"/>
      <c r="HX79" s="324"/>
      <c r="HY79" s="324"/>
      <c r="HZ79" s="324"/>
      <c r="IA79" s="324"/>
      <c r="IB79" s="324"/>
      <c r="IC79" s="324"/>
      <c r="ID79" s="324"/>
      <c r="IE79" s="324"/>
      <c r="IF79" s="324"/>
      <c r="IG79" s="324"/>
      <c r="IH79" s="324"/>
      <c r="II79" s="324"/>
      <c r="IJ79" s="324"/>
      <c r="IK79" s="324"/>
      <c r="IL79" s="324"/>
      <c r="IM79" s="324"/>
    </row>
    <row r="80" spans="1:247" x14ac:dyDescent="0.35">
      <c r="A80" s="356">
        <v>2173</v>
      </c>
      <c r="B80" s="357" t="s">
        <v>88</v>
      </c>
      <c r="C80" s="172" t="s">
        <v>10</v>
      </c>
      <c r="D80" s="358" t="s">
        <v>2051</v>
      </c>
      <c r="E80" s="336"/>
      <c r="F80" s="331">
        <f t="shared" si="0"/>
        <v>1.0209999999999999</v>
      </c>
      <c r="G80" s="337">
        <f t="shared" si="7"/>
        <v>1.0269999999999999</v>
      </c>
      <c r="H80" s="336"/>
      <c r="I80" s="338"/>
      <c r="J80" s="338"/>
      <c r="K80" s="338"/>
      <c r="L80" s="338"/>
      <c r="M80" s="338"/>
      <c r="N80" s="337"/>
      <c r="O80" s="339"/>
      <c r="P80" s="336"/>
      <c r="Q80" s="337"/>
      <c r="R80" s="340">
        <f>PRODUCT(E80:Q80)</f>
        <v>1.0485669999999998</v>
      </c>
      <c r="S80" s="324"/>
      <c r="T80" s="324"/>
      <c r="U80" s="324"/>
      <c r="V80" s="324"/>
      <c r="W80" s="324"/>
      <c r="X80" s="324"/>
      <c r="Y80" s="324"/>
      <c r="Z80" s="324"/>
      <c r="AA80" s="324"/>
      <c r="AB80" s="324"/>
      <c r="AC80" s="324"/>
      <c r="AD80" s="324"/>
      <c r="AE80" s="324"/>
      <c r="AF80" s="324"/>
      <c r="AG80" s="324"/>
      <c r="AH80" s="324"/>
      <c r="AI80" s="324"/>
      <c r="AJ80" s="324"/>
      <c r="AK80" s="324"/>
      <c r="AL80" s="324"/>
      <c r="AM80" s="324"/>
      <c r="AN80" s="324"/>
      <c r="AO80" s="324"/>
      <c r="AP80" s="324"/>
      <c r="AQ80" s="324"/>
      <c r="AR80" s="324"/>
      <c r="AS80" s="324"/>
      <c r="AT80" s="324"/>
      <c r="AU80" s="324"/>
      <c r="AV80" s="324"/>
      <c r="AW80" s="324"/>
      <c r="AX80" s="324"/>
      <c r="AY80" s="324"/>
      <c r="AZ80" s="324"/>
      <c r="BA80" s="324"/>
      <c r="BB80" s="324"/>
      <c r="BC80" s="324"/>
      <c r="BD80" s="324"/>
      <c r="BE80" s="324"/>
      <c r="BF80" s="324"/>
      <c r="BG80" s="324"/>
      <c r="BH80" s="324"/>
      <c r="BI80" s="324"/>
      <c r="BJ80" s="324"/>
      <c r="BK80" s="324"/>
      <c r="BL80" s="324"/>
      <c r="BM80" s="324"/>
      <c r="BN80" s="324"/>
      <c r="BO80" s="324"/>
      <c r="BP80" s="324"/>
      <c r="BQ80" s="324"/>
      <c r="BR80" s="324"/>
      <c r="BS80" s="324"/>
      <c r="BT80" s="324"/>
      <c r="BU80" s="324"/>
      <c r="BV80" s="324"/>
      <c r="BW80" s="324"/>
      <c r="BX80" s="324"/>
      <c r="BY80" s="324"/>
      <c r="BZ80" s="324"/>
      <c r="CA80" s="324"/>
      <c r="CB80" s="324"/>
      <c r="CC80" s="324"/>
      <c r="CD80" s="324"/>
      <c r="CE80" s="324"/>
      <c r="CF80" s="324"/>
      <c r="CG80" s="324"/>
      <c r="CH80" s="324"/>
      <c r="CI80" s="324"/>
      <c r="CJ80" s="324"/>
      <c r="CK80" s="324"/>
      <c r="CL80" s="324"/>
      <c r="CM80" s="324"/>
      <c r="CN80" s="324"/>
      <c r="CO80" s="324"/>
      <c r="CP80" s="324"/>
      <c r="CQ80" s="324"/>
      <c r="CR80" s="324"/>
      <c r="CS80" s="324"/>
      <c r="CT80" s="324"/>
      <c r="CU80" s="324"/>
      <c r="CV80" s="324"/>
      <c r="CW80" s="324"/>
      <c r="CX80" s="324"/>
      <c r="CY80" s="324"/>
      <c r="CZ80" s="324"/>
      <c r="DA80" s="324"/>
      <c r="DB80" s="324"/>
      <c r="DC80" s="324"/>
      <c r="DD80" s="324"/>
      <c r="DE80" s="324"/>
      <c r="DF80" s="324"/>
      <c r="DG80" s="324"/>
      <c r="DH80" s="324"/>
      <c r="DI80" s="324"/>
      <c r="DJ80" s="324"/>
      <c r="DK80" s="324"/>
      <c r="DL80" s="324"/>
      <c r="DM80" s="324"/>
      <c r="DN80" s="324"/>
      <c r="DO80" s="324"/>
      <c r="DP80" s="324"/>
      <c r="DQ80" s="324"/>
      <c r="DR80" s="324"/>
      <c r="DS80" s="324"/>
      <c r="DT80" s="324"/>
      <c r="DU80" s="324"/>
      <c r="DV80" s="324"/>
      <c r="DW80" s="324"/>
      <c r="DX80" s="324"/>
      <c r="DY80" s="324"/>
      <c r="DZ80" s="324"/>
      <c r="EA80" s="324"/>
      <c r="EB80" s="324"/>
      <c r="EC80" s="324"/>
      <c r="ED80" s="324"/>
      <c r="EE80" s="324"/>
      <c r="EF80" s="324"/>
      <c r="EG80" s="324"/>
      <c r="EH80" s="324"/>
      <c r="EI80" s="324"/>
      <c r="EJ80" s="324"/>
      <c r="EK80" s="324"/>
      <c r="EL80" s="324"/>
      <c r="EM80" s="324"/>
      <c r="EN80" s="324"/>
      <c r="EO80" s="324"/>
      <c r="EP80" s="324"/>
      <c r="EQ80" s="324"/>
      <c r="ER80" s="324"/>
      <c r="ES80" s="324"/>
      <c r="ET80" s="324"/>
      <c r="EU80" s="324"/>
      <c r="EV80" s="324"/>
      <c r="EW80" s="324"/>
      <c r="EX80" s="324"/>
      <c r="EY80" s="324"/>
      <c r="EZ80" s="324"/>
      <c r="FA80" s="324"/>
      <c r="FB80" s="324"/>
      <c r="FC80" s="324"/>
      <c r="FD80" s="324"/>
      <c r="FE80" s="324"/>
      <c r="FF80" s="324"/>
      <c r="FG80" s="324"/>
      <c r="FH80" s="324"/>
      <c r="FI80" s="324"/>
      <c r="FJ80" s="324"/>
      <c r="FK80" s="324"/>
      <c r="FL80" s="324"/>
      <c r="FM80" s="324"/>
      <c r="FN80" s="324"/>
      <c r="FO80" s="324"/>
      <c r="FP80" s="324"/>
      <c r="FQ80" s="324"/>
      <c r="FR80" s="324"/>
      <c r="FS80" s="324"/>
      <c r="FT80" s="324"/>
      <c r="FU80" s="324"/>
      <c r="FV80" s="324"/>
      <c r="FW80" s="324"/>
      <c r="FX80" s="324"/>
      <c r="FY80" s="324"/>
      <c r="FZ80" s="324"/>
      <c r="GA80" s="324"/>
      <c r="GB80" s="324"/>
      <c r="GC80" s="324"/>
      <c r="GD80" s="324"/>
      <c r="GE80" s="324"/>
      <c r="GF80" s="324"/>
      <c r="GG80" s="324"/>
      <c r="GH80" s="324"/>
      <c r="GI80" s="324"/>
      <c r="GJ80" s="324"/>
      <c r="GK80" s="324"/>
      <c r="GL80" s="324"/>
      <c r="GM80" s="324"/>
      <c r="GN80" s="324"/>
      <c r="GO80" s="324"/>
      <c r="GP80" s="324"/>
      <c r="GQ80" s="324"/>
      <c r="GR80" s="324"/>
      <c r="GS80" s="324"/>
      <c r="GT80" s="324"/>
      <c r="GU80" s="324"/>
      <c r="GV80" s="324"/>
      <c r="GW80" s="324"/>
      <c r="GX80" s="324"/>
      <c r="GY80" s="324"/>
      <c r="GZ80" s="324"/>
      <c r="HA80" s="324"/>
      <c r="HB80" s="324"/>
      <c r="HC80" s="324"/>
      <c r="HD80" s="324"/>
      <c r="HE80" s="324"/>
      <c r="HF80" s="324"/>
      <c r="HG80" s="324"/>
      <c r="HH80" s="324"/>
      <c r="HI80" s="324"/>
      <c r="HJ80" s="324"/>
      <c r="HK80" s="324"/>
      <c r="HL80" s="324"/>
      <c r="HM80" s="324"/>
      <c r="HN80" s="324"/>
      <c r="HO80" s="324"/>
      <c r="HP80" s="324"/>
      <c r="HQ80" s="324"/>
      <c r="HR80" s="324"/>
      <c r="HS80" s="324"/>
      <c r="HT80" s="324"/>
      <c r="HU80" s="324"/>
      <c r="HV80" s="324"/>
      <c r="HW80" s="324"/>
      <c r="HX80" s="324"/>
      <c r="HY80" s="324"/>
      <c r="HZ80" s="324"/>
      <c r="IA80" s="324"/>
      <c r="IB80" s="324"/>
      <c r="IC80" s="324"/>
      <c r="ID80" s="324"/>
      <c r="IE80" s="324"/>
      <c r="IF80" s="324"/>
      <c r="IG80" s="324"/>
      <c r="IH80" s="324"/>
      <c r="II80" s="324"/>
      <c r="IJ80" s="324"/>
      <c r="IK80" s="324"/>
      <c r="IL80" s="324"/>
      <c r="IM80" s="324"/>
    </row>
    <row r="81" spans="1:247" x14ac:dyDescent="0.35">
      <c r="A81" s="356">
        <v>2191</v>
      </c>
      <c r="B81" s="357" t="s">
        <v>89</v>
      </c>
      <c r="C81" s="172" t="s">
        <v>8</v>
      </c>
      <c r="D81" s="358" t="s">
        <v>2053</v>
      </c>
      <c r="E81" s="336">
        <f>+$E$3</f>
        <v>1.0740000000000001</v>
      </c>
      <c r="F81" s="331">
        <f t="shared" si="0"/>
        <v>1.0209999999999999</v>
      </c>
      <c r="G81" s="337">
        <f t="shared" si="7"/>
        <v>1.0269999999999999</v>
      </c>
      <c r="H81" s="336"/>
      <c r="I81" s="338"/>
      <c r="J81" s="338">
        <f t="shared" si="11"/>
        <v>1.0049999999999999</v>
      </c>
      <c r="K81" s="338"/>
      <c r="L81" s="338"/>
      <c r="M81" s="338">
        <f t="shared" si="12"/>
        <v>1.0029999999999999</v>
      </c>
      <c r="N81" s="337">
        <f t="shared" si="8"/>
        <v>1.0029999999999999</v>
      </c>
      <c r="O81" s="339">
        <f t="shared" si="13"/>
        <v>1.0209999999999999</v>
      </c>
      <c r="P81" s="336">
        <f t="shared" si="9"/>
        <v>1.032</v>
      </c>
      <c r="Q81" s="337">
        <f t="shared" si="10"/>
        <v>1.0349999999999999</v>
      </c>
      <c r="R81" s="340">
        <f t="shared" si="1"/>
        <v>1.2416928604998634</v>
      </c>
      <c r="S81" s="324"/>
      <c r="T81" s="324"/>
      <c r="U81" s="324"/>
      <c r="V81" s="324"/>
      <c r="W81" s="324"/>
      <c r="X81" s="324"/>
      <c r="Y81" s="324"/>
      <c r="Z81" s="324"/>
      <c r="AA81" s="324"/>
      <c r="AB81" s="324"/>
      <c r="AC81" s="324"/>
      <c r="AD81" s="324"/>
      <c r="AE81" s="324"/>
      <c r="AF81" s="324"/>
      <c r="AG81" s="324"/>
      <c r="AH81" s="324"/>
      <c r="AI81" s="324"/>
      <c r="AJ81" s="324"/>
      <c r="AK81" s="324"/>
      <c r="AL81" s="324"/>
      <c r="AM81" s="324"/>
      <c r="AN81" s="324"/>
      <c r="AO81" s="324"/>
      <c r="AP81" s="324"/>
      <c r="AQ81" s="324"/>
      <c r="AR81" s="324"/>
      <c r="AS81" s="324"/>
      <c r="AT81" s="324"/>
      <c r="AU81" s="324"/>
      <c r="AV81" s="324"/>
      <c r="AW81" s="324"/>
      <c r="AX81" s="324"/>
      <c r="AY81" s="324"/>
      <c r="AZ81" s="324"/>
      <c r="BA81" s="324"/>
      <c r="BB81" s="324"/>
      <c r="BC81" s="324"/>
      <c r="BD81" s="324"/>
      <c r="BE81" s="324"/>
      <c r="BF81" s="324"/>
      <c r="BG81" s="324"/>
      <c r="BH81" s="324"/>
      <c r="BI81" s="324"/>
      <c r="BJ81" s="324"/>
      <c r="BK81" s="324"/>
      <c r="BL81" s="324"/>
      <c r="BM81" s="324"/>
      <c r="BN81" s="324"/>
      <c r="BO81" s="324"/>
      <c r="BP81" s="324"/>
      <c r="BQ81" s="324"/>
      <c r="BR81" s="324"/>
      <c r="BS81" s="324"/>
      <c r="BT81" s="324"/>
      <c r="BU81" s="324"/>
      <c r="BV81" s="324"/>
      <c r="BW81" s="324"/>
      <c r="BX81" s="324"/>
      <c r="BY81" s="324"/>
      <c r="BZ81" s="324"/>
      <c r="CA81" s="324"/>
      <c r="CB81" s="324"/>
      <c r="CC81" s="324"/>
      <c r="CD81" s="324"/>
      <c r="CE81" s="324"/>
      <c r="CF81" s="324"/>
      <c r="CG81" s="324"/>
      <c r="CH81" s="324"/>
      <c r="CI81" s="324"/>
      <c r="CJ81" s="324"/>
      <c r="CK81" s="324"/>
      <c r="CL81" s="324"/>
      <c r="CM81" s="324"/>
      <c r="CN81" s="324"/>
      <c r="CO81" s="324"/>
      <c r="CP81" s="324"/>
      <c r="CQ81" s="324"/>
      <c r="CR81" s="324"/>
      <c r="CS81" s="324"/>
      <c r="CT81" s="324"/>
      <c r="CU81" s="324"/>
      <c r="CV81" s="324"/>
      <c r="CW81" s="324"/>
      <c r="CX81" s="324"/>
      <c r="CY81" s="324"/>
      <c r="CZ81" s="324"/>
      <c r="DA81" s="324"/>
      <c r="DB81" s="324"/>
      <c r="DC81" s="324"/>
      <c r="DD81" s="324"/>
      <c r="DE81" s="324"/>
      <c r="DF81" s="324"/>
      <c r="DG81" s="324"/>
      <c r="DH81" s="324"/>
      <c r="DI81" s="324"/>
      <c r="DJ81" s="324"/>
      <c r="DK81" s="324"/>
      <c r="DL81" s="324"/>
      <c r="DM81" s="324"/>
      <c r="DN81" s="324"/>
      <c r="DO81" s="324"/>
      <c r="DP81" s="324"/>
      <c r="DQ81" s="324"/>
      <c r="DR81" s="324"/>
      <c r="DS81" s="324"/>
      <c r="DT81" s="324"/>
      <c r="DU81" s="324"/>
      <c r="DV81" s="324"/>
      <c r="DW81" s="324"/>
      <c r="DX81" s="324"/>
      <c r="DY81" s="324"/>
      <c r="DZ81" s="324"/>
      <c r="EA81" s="324"/>
      <c r="EB81" s="324"/>
      <c r="EC81" s="324"/>
      <c r="ED81" s="324"/>
      <c r="EE81" s="324"/>
      <c r="EF81" s="324"/>
      <c r="EG81" s="324"/>
      <c r="EH81" s="324"/>
      <c r="EI81" s="324"/>
      <c r="EJ81" s="324"/>
      <c r="EK81" s="324"/>
      <c r="EL81" s="324"/>
      <c r="EM81" s="324"/>
      <c r="EN81" s="324"/>
      <c r="EO81" s="324"/>
      <c r="EP81" s="324"/>
      <c r="EQ81" s="324"/>
      <c r="ER81" s="324"/>
      <c r="ES81" s="324"/>
      <c r="ET81" s="324"/>
      <c r="EU81" s="324"/>
      <c r="EV81" s="324"/>
      <c r="EW81" s="324"/>
      <c r="EX81" s="324"/>
      <c r="EY81" s="324"/>
      <c r="EZ81" s="324"/>
      <c r="FA81" s="324"/>
      <c r="FB81" s="324"/>
      <c r="FC81" s="324"/>
      <c r="FD81" s="324"/>
      <c r="FE81" s="324"/>
      <c r="FF81" s="324"/>
      <c r="FG81" s="324"/>
      <c r="FH81" s="324"/>
      <c r="FI81" s="324"/>
      <c r="FJ81" s="324"/>
      <c r="FK81" s="324"/>
      <c r="FL81" s="324"/>
      <c r="FM81" s="324"/>
      <c r="FN81" s="324"/>
      <c r="FO81" s="324"/>
      <c r="FP81" s="324"/>
      <c r="FQ81" s="324"/>
      <c r="FR81" s="324"/>
      <c r="FS81" s="324"/>
      <c r="FT81" s="324"/>
      <c r="FU81" s="324"/>
      <c r="FV81" s="324"/>
      <c r="FW81" s="324"/>
      <c r="FX81" s="324"/>
      <c r="FY81" s="324"/>
      <c r="FZ81" s="324"/>
      <c r="GA81" s="324"/>
      <c r="GB81" s="324"/>
      <c r="GC81" s="324"/>
      <c r="GD81" s="324"/>
      <c r="GE81" s="324"/>
      <c r="GF81" s="324"/>
      <c r="GG81" s="324"/>
      <c r="GH81" s="324"/>
      <c r="GI81" s="324"/>
      <c r="GJ81" s="324"/>
      <c r="GK81" s="324"/>
      <c r="GL81" s="324"/>
      <c r="GM81" s="324"/>
      <c r="GN81" s="324"/>
      <c r="GO81" s="324"/>
      <c r="GP81" s="324"/>
      <c r="GQ81" s="324"/>
      <c r="GR81" s="324"/>
      <c r="GS81" s="324"/>
      <c r="GT81" s="324"/>
      <c r="GU81" s="324"/>
      <c r="GV81" s="324"/>
      <c r="GW81" s="324"/>
      <c r="GX81" s="324"/>
      <c r="GY81" s="324"/>
      <c r="GZ81" s="324"/>
      <c r="HA81" s="324"/>
      <c r="HB81" s="324"/>
      <c r="HC81" s="324"/>
      <c r="HD81" s="324"/>
      <c r="HE81" s="324"/>
      <c r="HF81" s="324"/>
      <c r="HG81" s="324"/>
      <c r="HH81" s="324"/>
      <c r="HI81" s="324"/>
      <c r="HJ81" s="324"/>
      <c r="HK81" s="324"/>
      <c r="HL81" s="324"/>
      <c r="HM81" s="324"/>
      <c r="HN81" s="324"/>
      <c r="HO81" s="324"/>
      <c r="HP81" s="324"/>
      <c r="HQ81" s="324"/>
      <c r="HR81" s="324"/>
      <c r="HS81" s="324"/>
      <c r="HT81" s="324"/>
      <c r="HU81" s="324"/>
      <c r="HV81" s="324"/>
      <c r="HW81" s="324"/>
      <c r="HX81" s="324"/>
      <c r="HY81" s="324"/>
      <c r="HZ81" s="324"/>
      <c r="IA81" s="324"/>
      <c r="IB81" s="324"/>
      <c r="IC81" s="324"/>
      <c r="ID81" s="324"/>
      <c r="IE81" s="324"/>
      <c r="IF81" s="324"/>
      <c r="IG81" s="324"/>
      <c r="IH81" s="324"/>
      <c r="II81" s="324"/>
      <c r="IJ81" s="324"/>
      <c r="IK81" s="324"/>
      <c r="IL81" s="324"/>
      <c r="IM81" s="324"/>
    </row>
    <row r="82" spans="1:247" x14ac:dyDescent="0.35">
      <c r="A82" s="356">
        <v>2192</v>
      </c>
      <c r="B82" s="357" t="s">
        <v>90</v>
      </c>
      <c r="C82" s="172" t="s">
        <v>10</v>
      </c>
      <c r="D82" s="358" t="s">
        <v>2051</v>
      </c>
      <c r="E82" s="336"/>
      <c r="F82" s="331">
        <f t="shared" si="0"/>
        <v>1.0209999999999999</v>
      </c>
      <c r="G82" s="337">
        <f t="shared" si="7"/>
        <v>1.0269999999999999</v>
      </c>
      <c r="H82" s="336"/>
      <c r="I82" s="338"/>
      <c r="J82" s="338"/>
      <c r="K82" s="338"/>
      <c r="L82" s="338"/>
      <c r="M82" s="338"/>
      <c r="N82" s="337">
        <f t="shared" si="8"/>
        <v>1.0029999999999999</v>
      </c>
      <c r="O82" s="339"/>
      <c r="P82" s="336"/>
      <c r="Q82" s="337"/>
      <c r="R82" s="340">
        <f t="shared" si="1"/>
        <v>1.0517127009999996</v>
      </c>
      <c r="S82" s="324"/>
      <c r="T82" s="324"/>
      <c r="U82" s="324"/>
      <c r="V82" s="324"/>
      <c r="W82" s="324"/>
      <c r="X82" s="324"/>
      <c r="Y82" s="324"/>
      <c r="Z82" s="324"/>
      <c r="AA82" s="324"/>
      <c r="AB82" s="324"/>
      <c r="AC82" s="324"/>
      <c r="AD82" s="324"/>
      <c r="AE82" s="324"/>
      <c r="AF82" s="324"/>
      <c r="AG82" s="324"/>
      <c r="AH82" s="324"/>
      <c r="AI82" s="324"/>
      <c r="AJ82" s="324"/>
      <c r="AK82" s="324"/>
      <c r="AL82" s="324"/>
      <c r="AM82" s="324"/>
      <c r="AN82" s="324"/>
      <c r="AO82" s="324"/>
      <c r="AP82" s="324"/>
      <c r="AQ82" s="324"/>
      <c r="AR82" s="324"/>
      <c r="AS82" s="324"/>
      <c r="AT82" s="324"/>
      <c r="AU82" s="324"/>
      <c r="AV82" s="324"/>
      <c r="AW82" s="324"/>
      <c r="AX82" s="324"/>
      <c r="AY82" s="324"/>
      <c r="AZ82" s="324"/>
      <c r="BA82" s="324"/>
      <c r="BB82" s="324"/>
      <c r="BC82" s="324"/>
      <c r="BD82" s="324"/>
      <c r="BE82" s="324"/>
      <c r="BF82" s="324"/>
      <c r="BG82" s="324"/>
      <c r="BH82" s="324"/>
      <c r="BI82" s="324"/>
      <c r="BJ82" s="324"/>
      <c r="BK82" s="324"/>
      <c r="BL82" s="324"/>
      <c r="BM82" s="324"/>
      <c r="BN82" s="324"/>
      <c r="BO82" s="324"/>
      <c r="BP82" s="324"/>
      <c r="BQ82" s="324"/>
      <c r="BR82" s="324"/>
      <c r="BS82" s="324"/>
      <c r="BT82" s="324"/>
      <c r="BU82" s="324"/>
      <c r="BV82" s="324"/>
      <c r="BW82" s="324"/>
      <c r="BX82" s="324"/>
      <c r="BY82" s="324"/>
      <c r="BZ82" s="324"/>
      <c r="CA82" s="324"/>
      <c r="CB82" s="324"/>
      <c r="CC82" s="324"/>
      <c r="CD82" s="324"/>
      <c r="CE82" s="324"/>
      <c r="CF82" s="324"/>
      <c r="CG82" s="324"/>
      <c r="CH82" s="324"/>
      <c r="CI82" s="324"/>
      <c r="CJ82" s="324"/>
      <c r="CK82" s="324"/>
      <c r="CL82" s="324"/>
      <c r="CM82" s="324"/>
      <c r="CN82" s="324"/>
      <c r="CO82" s="324"/>
      <c r="CP82" s="324"/>
      <c r="CQ82" s="324"/>
      <c r="CR82" s="324"/>
      <c r="CS82" s="324"/>
      <c r="CT82" s="324"/>
      <c r="CU82" s="324"/>
      <c r="CV82" s="324"/>
      <c r="CW82" s="324"/>
      <c r="CX82" s="324"/>
      <c r="CY82" s="324"/>
      <c r="CZ82" s="324"/>
      <c r="DA82" s="324"/>
      <c r="DB82" s="324"/>
      <c r="DC82" s="324"/>
      <c r="DD82" s="324"/>
      <c r="DE82" s="324"/>
      <c r="DF82" s="324"/>
      <c r="DG82" s="324"/>
      <c r="DH82" s="324"/>
      <c r="DI82" s="324"/>
      <c r="DJ82" s="324"/>
      <c r="DK82" s="324"/>
      <c r="DL82" s="324"/>
      <c r="DM82" s="324"/>
      <c r="DN82" s="324"/>
      <c r="DO82" s="324"/>
      <c r="DP82" s="324"/>
      <c r="DQ82" s="324"/>
      <c r="DR82" s="324"/>
      <c r="DS82" s="324"/>
      <c r="DT82" s="324"/>
      <c r="DU82" s="324"/>
      <c r="DV82" s="324"/>
      <c r="DW82" s="324"/>
      <c r="DX82" s="324"/>
      <c r="DY82" s="324"/>
      <c r="DZ82" s="324"/>
      <c r="EA82" s="324"/>
      <c r="EB82" s="324"/>
      <c r="EC82" s="324"/>
      <c r="ED82" s="324"/>
      <c r="EE82" s="324"/>
      <c r="EF82" s="324"/>
      <c r="EG82" s="324"/>
      <c r="EH82" s="324"/>
      <c r="EI82" s="324"/>
      <c r="EJ82" s="324"/>
      <c r="EK82" s="324"/>
      <c r="EL82" s="324"/>
      <c r="EM82" s="324"/>
      <c r="EN82" s="324"/>
      <c r="EO82" s="324"/>
      <c r="EP82" s="324"/>
      <c r="EQ82" s="324"/>
      <c r="ER82" s="324"/>
      <c r="ES82" s="324"/>
      <c r="ET82" s="324"/>
      <c r="EU82" s="324"/>
      <c r="EV82" s="324"/>
      <c r="EW82" s="324"/>
      <c r="EX82" s="324"/>
      <c r="EY82" s="324"/>
      <c r="EZ82" s="324"/>
      <c r="FA82" s="324"/>
      <c r="FB82" s="324"/>
      <c r="FC82" s="324"/>
      <c r="FD82" s="324"/>
      <c r="FE82" s="324"/>
      <c r="FF82" s="324"/>
      <c r="FG82" s="324"/>
      <c r="FH82" s="324"/>
      <c r="FI82" s="324"/>
      <c r="FJ82" s="324"/>
      <c r="FK82" s="324"/>
      <c r="FL82" s="324"/>
      <c r="FM82" s="324"/>
      <c r="FN82" s="324"/>
      <c r="FO82" s="324"/>
      <c r="FP82" s="324"/>
      <c r="FQ82" s="324"/>
      <c r="FR82" s="324"/>
      <c r="FS82" s="324"/>
      <c r="FT82" s="324"/>
      <c r="FU82" s="324"/>
      <c r="FV82" s="324"/>
      <c r="FW82" s="324"/>
      <c r="FX82" s="324"/>
      <c r="FY82" s="324"/>
      <c r="FZ82" s="324"/>
      <c r="GA82" s="324"/>
      <c r="GB82" s="324"/>
      <c r="GC82" s="324"/>
      <c r="GD82" s="324"/>
      <c r="GE82" s="324"/>
      <c r="GF82" s="324"/>
      <c r="GG82" s="324"/>
      <c r="GH82" s="324"/>
      <c r="GI82" s="324"/>
      <c r="GJ82" s="324"/>
      <c r="GK82" s="324"/>
      <c r="GL82" s="324"/>
      <c r="GM82" s="324"/>
      <c r="GN82" s="324"/>
      <c r="GO82" s="324"/>
      <c r="GP82" s="324"/>
      <c r="GQ82" s="324"/>
      <c r="GR82" s="324"/>
      <c r="GS82" s="324"/>
      <c r="GT82" s="324"/>
      <c r="GU82" s="324"/>
      <c r="GV82" s="324"/>
      <c r="GW82" s="324"/>
      <c r="GX82" s="324"/>
      <c r="GY82" s="324"/>
      <c r="GZ82" s="324"/>
      <c r="HA82" s="324"/>
      <c r="HB82" s="324"/>
      <c r="HC82" s="324"/>
      <c r="HD82" s="324"/>
      <c r="HE82" s="324"/>
      <c r="HF82" s="324"/>
      <c r="HG82" s="324"/>
      <c r="HH82" s="324"/>
      <c r="HI82" s="324"/>
      <c r="HJ82" s="324"/>
      <c r="HK82" s="324"/>
      <c r="HL82" s="324"/>
      <c r="HM82" s="324"/>
      <c r="HN82" s="324"/>
      <c r="HO82" s="324"/>
      <c r="HP82" s="324"/>
      <c r="HQ82" s="324"/>
      <c r="HR82" s="324"/>
      <c r="HS82" s="324"/>
      <c r="HT82" s="324"/>
      <c r="HU82" s="324"/>
      <c r="HV82" s="324"/>
      <c r="HW82" s="324"/>
      <c r="HX82" s="324"/>
      <c r="HY82" s="324"/>
      <c r="HZ82" s="324"/>
      <c r="IA82" s="324"/>
      <c r="IB82" s="324"/>
      <c r="IC82" s="324"/>
      <c r="ID82" s="324"/>
      <c r="IE82" s="324"/>
      <c r="IF82" s="324"/>
      <c r="IG82" s="324"/>
      <c r="IH82" s="324"/>
      <c r="II82" s="324"/>
      <c r="IJ82" s="324"/>
      <c r="IK82" s="324"/>
      <c r="IL82" s="324"/>
      <c r="IM82" s="324"/>
    </row>
    <row r="83" spans="1:247" x14ac:dyDescent="0.35">
      <c r="A83" s="356">
        <v>2211</v>
      </c>
      <c r="B83" s="357" t="s">
        <v>91</v>
      </c>
      <c r="C83" s="172" t="s">
        <v>8</v>
      </c>
      <c r="D83" s="358" t="s">
        <v>2053</v>
      </c>
      <c r="E83" s="336"/>
      <c r="F83" s="331">
        <f t="shared" si="0"/>
        <v>1.0209999999999999</v>
      </c>
      <c r="G83" s="337">
        <f t="shared" si="7"/>
        <v>1.0269999999999999</v>
      </c>
      <c r="H83" s="336">
        <f>+$H$3</f>
        <v>1.0029999999999999</v>
      </c>
      <c r="I83" s="338">
        <f>+$I$3</f>
        <v>1.0289999999999999</v>
      </c>
      <c r="J83" s="338">
        <f>+$J$3</f>
        <v>1.0049999999999999</v>
      </c>
      <c r="K83" s="338"/>
      <c r="L83" s="338"/>
      <c r="M83" s="338">
        <f>+$M$3</f>
        <v>1.0029999999999999</v>
      </c>
      <c r="N83" s="337">
        <f t="shared" si="8"/>
        <v>1.0029999999999999</v>
      </c>
      <c r="O83" s="339">
        <f>+$O$3</f>
        <v>1.0209999999999999</v>
      </c>
      <c r="P83" s="336">
        <f t="shared" ref="P83:P107" si="14">+$P$3</f>
        <v>1.032</v>
      </c>
      <c r="Q83" s="337">
        <f t="shared" ref="Q83:Q107" si="15">+$Q$3</f>
        <v>1.0349999999999999</v>
      </c>
      <c r="R83" s="340">
        <f t="shared" si="1"/>
        <v>1.1932356231980656</v>
      </c>
      <c r="S83" s="324"/>
      <c r="T83" s="324"/>
      <c r="U83" s="324"/>
      <c r="V83" s="324"/>
      <c r="W83" s="324"/>
      <c r="X83" s="324"/>
      <c r="Y83" s="324"/>
      <c r="Z83" s="324"/>
      <c r="AA83" s="324"/>
      <c r="AB83" s="324"/>
      <c r="AC83" s="324"/>
      <c r="AD83" s="324"/>
      <c r="AE83" s="324"/>
      <c r="AF83" s="324"/>
      <c r="AG83" s="324"/>
      <c r="AH83" s="324"/>
      <c r="AI83" s="324"/>
      <c r="AJ83" s="324"/>
      <c r="AK83" s="324"/>
      <c r="AL83" s="324"/>
      <c r="AM83" s="324"/>
      <c r="AN83" s="324"/>
      <c r="AO83" s="324"/>
      <c r="AP83" s="324"/>
      <c r="AQ83" s="324"/>
      <c r="AR83" s="324"/>
      <c r="AS83" s="324"/>
      <c r="AT83" s="324"/>
      <c r="AU83" s="324"/>
      <c r="AV83" s="324"/>
      <c r="AW83" s="324"/>
      <c r="AX83" s="324"/>
      <c r="AY83" s="324"/>
      <c r="AZ83" s="324"/>
      <c r="BA83" s="324"/>
      <c r="BB83" s="324"/>
      <c r="BC83" s="324"/>
      <c r="BD83" s="324"/>
      <c r="BE83" s="324"/>
      <c r="BF83" s="324"/>
      <c r="BG83" s="324"/>
      <c r="BH83" s="324"/>
      <c r="BI83" s="324"/>
      <c r="BJ83" s="324"/>
      <c r="BK83" s="324"/>
      <c r="BL83" s="324"/>
      <c r="BM83" s="324"/>
      <c r="BN83" s="324"/>
      <c r="BO83" s="324"/>
      <c r="BP83" s="324"/>
      <c r="BQ83" s="324"/>
      <c r="BR83" s="324"/>
      <c r="BS83" s="324"/>
      <c r="BT83" s="324"/>
      <c r="BU83" s="324"/>
      <c r="BV83" s="324"/>
      <c r="BW83" s="324"/>
      <c r="BX83" s="324"/>
      <c r="BY83" s="324"/>
      <c r="BZ83" s="324"/>
      <c r="CA83" s="324"/>
      <c r="CB83" s="324"/>
      <c r="CC83" s="324"/>
      <c r="CD83" s="324"/>
      <c r="CE83" s="324"/>
      <c r="CF83" s="324"/>
      <c r="CG83" s="324"/>
      <c r="CH83" s="324"/>
      <c r="CI83" s="324"/>
      <c r="CJ83" s="324"/>
      <c r="CK83" s="324"/>
      <c r="CL83" s="324"/>
      <c r="CM83" s="324"/>
      <c r="CN83" s="324"/>
      <c r="CO83" s="324"/>
      <c r="CP83" s="324"/>
      <c r="CQ83" s="324"/>
      <c r="CR83" s="324"/>
      <c r="CS83" s="324"/>
      <c r="CT83" s="324"/>
      <c r="CU83" s="324"/>
      <c r="CV83" s="324"/>
      <c r="CW83" s="324"/>
      <c r="CX83" s="324"/>
      <c r="CY83" s="324"/>
      <c r="CZ83" s="324"/>
      <c r="DA83" s="324"/>
      <c r="DB83" s="324"/>
      <c r="DC83" s="324"/>
      <c r="DD83" s="324"/>
      <c r="DE83" s="324"/>
      <c r="DF83" s="324"/>
      <c r="DG83" s="324"/>
      <c r="DH83" s="324"/>
      <c r="DI83" s="324"/>
      <c r="DJ83" s="324"/>
      <c r="DK83" s="324"/>
      <c r="DL83" s="324"/>
      <c r="DM83" s="324"/>
      <c r="DN83" s="324"/>
      <c r="DO83" s="324"/>
      <c r="DP83" s="324"/>
      <c r="DQ83" s="324"/>
      <c r="DR83" s="324"/>
      <c r="DS83" s="324"/>
      <c r="DT83" s="324"/>
      <c r="DU83" s="324"/>
      <c r="DV83" s="324"/>
      <c r="DW83" s="324"/>
      <c r="DX83" s="324"/>
      <c r="DY83" s="324"/>
      <c r="DZ83" s="324"/>
      <c r="EA83" s="324"/>
      <c r="EB83" s="324"/>
      <c r="EC83" s="324"/>
      <c r="ED83" s="324"/>
      <c r="EE83" s="324"/>
      <c r="EF83" s="324"/>
      <c r="EG83" s="324"/>
      <c r="EH83" s="324"/>
      <c r="EI83" s="324"/>
      <c r="EJ83" s="324"/>
      <c r="EK83" s="324"/>
      <c r="EL83" s="324"/>
      <c r="EM83" s="324"/>
      <c r="EN83" s="324"/>
      <c r="EO83" s="324"/>
      <c r="EP83" s="324"/>
      <c r="EQ83" s="324"/>
      <c r="ER83" s="324"/>
      <c r="ES83" s="324"/>
      <c r="ET83" s="324"/>
      <c r="EU83" s="324"/>
      <c r="EV83" s="324"/>
      <c r="EW83" s="324"/>
      <c r="EX83" s="324"/>
      <c r="EY83" s="324"/>
      <c r="EZ83" s="324"/>
      <c r="FA83" s="324"/>
      <c r="FB83" s="324"/>
      <c r="FC83" s="324"/>
      <c r="FD83" s="324"/>
      <c r="FE83" s="324"/>
      <c r="FF83" s="324"/>
      <c r="FG83" s="324"/>
      <c r="FH83" s="324"/>
      <c r="FI83" s="324"/>
      <c r="FJ83" s="324"/>
      <c r="FK83" s="324"/>
      <c r="FL83" s="324"/>
      <c r="FM83" s="324"/>
      <c r="FN83" s="324"/>
      <c r="FO83" s="324"/>
      <c r="FP83" s="324"/>
      <c r="FQ83" s="324"/>
      <c r="FR83" s="324"/>
      <c r="FS83" s="324"/>
      <c r="FT83" s="324"/>
      <c r="FU83" s="324"/>
      <c r="FV83" s="324"/>
      <c r="FW83" s="324"/>
      <c r="FX83" s="324"/>
      <c r="FY83" s="324"/>
      <c r="FZ83" s="324"/>
      <c r="GA83" s="324"/>
      <c r="GB83" s="324"/>
      <c r="GC83" s="324"/>
      <c r="GD83" s="324"/>
      <c r="GE83" s="324"/>
      <c r="GF83" s="324"/>
      <c r="GG83" s="324"/>
      <c r="GH83" s="324"/>
      <c r="GI83" s="324"/>
      <c r="GJ83" s="324"/>
      <c r="GK83" s="324"/>
      <c r="GL83" s="324"/>
      <c r="GM83" s="324"/>
      <c r="GN83" s="324"/>
      <c r="GO83" s="324"/>
      <c r="GP83" s="324"/>
      <c r="GQ83" s="324"/>
      <c r="GR83" s="324"/>
      <c r="GS83" s="324"/>
      <c r="GT83" s="324"/>
      <c r="GU83" s="324"/>
      <c r="GV83" s="324"/>
      <c r="GW83" s="324"/>
      <c r="GX83" s="324"/>
      <c r="GY83" s="324"/>
      <c r="GZ83" s="324"/>
      <c r="HA83" s="324"/>
      <c r="HB83" s="324"/>
      <c r="HC83" s="324"/>
      <c r="HD83" s="324"/>
      <c r="HE83" s="324"/>
      <c r="HF83" s="324"/>
      <c r="HG83" s="324"/>
      <c r="HH83" s="324"/>
      <c r="HI83" s="324"/>
      <c r="HJ83" s="324"/>
      <c r="HK83" s="324"/>
      <c r="HL83" s="324"/>
      <c r="HM83" s="324"/>
      <c r="HN83" s="324"/>
      <c r="HO83" s="324"/>
      <c r="HP83" s="324"/>
      <c r="HQ83" s="324"/>
      <c r="HR83" s="324"/>
      <c r="HS83" s="324"/>
      <c r="HT83" s="324"/>
      <c r="HU83" s="324"/>
      <c r="HV83" s="324"/>
      <c r="HW83" s="324"/>
      <c r="HX83" s="324"/>
      <c r="HY83" s="324"/>
      <c r="HZ83" s="324"/>
      <c r="IA83" s="324"/>
      <c r="IB83" s="324"/>
      <c r="IC83" s="324"/>
      <c r="ID83" s="324"/>
      <c r="IE83" s="324"/>
      <c r="IF83" s="324"/>
      <c r="IG83" s="324"/>
      <c r="IH83" s="324"/>
      <c r="II83" s="324"/>
      <c r="IJ83" s="324"/>
      <c r="IK83" s="324"/>
      <c r="IL83" s="324"/>
      <c r="IM83" s="324"/>
    </row>
    <row r="84" spans="1:247" x14ac:dyDescent="0.35">
      <c r="A84" s="356">
        <v>2213</v>
      </c>
      <c r="B84" s="402" t="s">
        <v>2958</v>
      </c>
      <c r="C84" s="403" t="s">
        <v>8</v>
      </c>
      <c r="D84" s="358" t="s">
        <v>2051</v>
      </c>
      <c r="E84" s="404"/>
      <c r="F84" s="331">
        <f t="shared" si="0"/>
        <v>1.0209999999999999</v>
      </c>
      <c r="G84" s="337">
        <f t="shared" si="7"/>
        <v>1.0269999999999999</v>
      </c>
      <c r="H84" s="404">
        <f>+$H$3</f>
        <v>1.0029999999999999</v>
      </c>
      <c r="I84" s="405">
        <f>+$I$3</f>
        <v>1.0289999999999999</v>
      </c>
      <c r="J84" s="405"/>
      <c r="K84" s="405"/>
      <c r="L84" s="405"/>
      <c r="M84" s="405"/>
      <c r="N84" s="337">
        <f t="shared" si="8"/>
        <v>1.0029999999999999</v>
      </c>
      <c r="O84" s="339">
        <f>+$O$3</f>
        <v>1.0209999999999999</v>
      </c>
      <c r="P84" s="404">
        <f t="shared" si="14"/>
        <v>1.032</v>
      </c>
      <c r="Q84" s="337">
        <f t="shared" si="15"/>
        <v>1.0349999999999999</v>
      </c>
      <c r="R84" s="340">
        <f t="shared" si="1"/>
        <v>1.1837478839085387</v>
      </c>
      <c r="S84" s="324"/>
      <c r="T84" s="324"/>
      <c r="U84" s="324"/>
      <c r="V84" s="324"/>
      <c r="W84" s="324"/>
      <c r="X84" s="324"/>
      <c r="Y84" s="324"/>
      <c r="Z84" s="324"/>
      <c r="AA84" s="324"/>
      <c r="AB84" s="324"/>
      <c r="AC84" s="324"/>
      <c r="AD84" s="324"/>
      <c r="AE84" s="324"/>
      <c r="AF84" s="324"/>
      <c r="AG84" s="324"/>
      <c r="AH84" s="324"/>
      <c r="AI84" s="324"/>
      <c r="AJ84" s="324"/>
      <c r="AK84" s="324"/>
      <c r="AL84" s="324"/>
      <c r="AM84" s="324"/>
      <c r="AN84" s="324"/>
      <c r="AO84" s="324"/>
      <c r="AP84" s="324"/>
      <c r="AQ84" s="324"/>
      <c r="AR84" s="324"/>
      <c r="AS84" s="324"/>
      <c r="AT84" s="324"/>
      <c r="AU84" s="324"/>
      <c r="AV84" s="324"/>
      <c r="AW84" s="324"/>
      <c r="AX84" s="324"/>
      <c r="AY84" s="324"/>
      <c r="AZ84" s="324"/>
      <c r="BA84" s="324"/>
      <c r="BB84" s="324"/>
      <c r="BC84" s="324"/>
      <c r="BD84" s="324"/>
      <c r="BE84" s="324"/>
      <c r="BF84" s="324"/>
      <c r="BG84" s="324"/>
      <c r="BH84" s="324"/>
      <c r="BI84" s="324"/>
      <c r="BJ84" s="324"/>
      <c r="BK84" s="324"/>
      <c r="BL84" s="324"/>
      <c r="BM84" s="324"/>
      <c r="BN84" s="324"/>
      <c r="BO84" s="324"/>
      <c r="BP84" s="324"/>
      <c r="BQ84" s="324"/>
      <c r="BR84" s="324"/>
      <c r="BS84" s="324"/>
      <c r="BT84" s="324"/>
      <c r="BU84" s="324"/>
      <c r="BV84" s="324"/>
      <c r="BW84" s="324"/>
      <c r="BX84" s="324"/>
      <c r="BY84" s="324"/>
      <c r="BZ84" s="324"/>
      <c r="CA84" s="324"/>
      <c r="CB84" s="324"/>
      <c r="CC84" s="324"/>
      <c r="CD84" s="324"/>
      <c r="CE84" s="324"/>
      <c r="CF84" s="324"/>
      <c r="CG84" s="324"/>
      <c r="CH84" s="324"/>
      <c r="CI84" s="324"/>
      <c r="CJ84" s="324"/>
      <c r="CK84" s="324"/>
      <c r="CL84" s="324"/>
      <c r="CM84" s="324"/>
      <c r="CN84" s="324"/>
      <c r="CO84" s="324"/>
      <c r="CP84" s="324"/>
      <c r="CQ84" s="324"/>
      <c r="CR84" s="324"/>
      <c r="CS84" s="324"/>
      <c r="CT84" s="324"/>
      <c r="CU84" s="324"/>
      <c r="CV84" s="324"/>
      <c r="CW84" s="324"/>
      <c r="CX84" s="324"/>
      <c r="CY84" s="324"/>
      <c r="CZ84" s="324"/>
      <c r="DA84" s="324"/>
      <c r="DB84" s="324"/>
      <c r="DC84" s="324"/>
      <c r="DD84" s="324"/>
      <c r="DE84" s="324"/>
      <c r="DF84" s="324"/>
      <c r="DG84" s="324"/>
      <c r="DH84" s="324"/>
      <c r="DI84" s="324"/>
      <c r="DJ84" s="324"/>
      <c r="DK84" s="324"/>
      <c r="DL84" s="324"/>
      <c r="DM84" s="324"/>
      <c r="DN84" s="324"/>
      <c r="DO84" s="324"/>
      <c r="DP84" s="324"/>
      <c r="DQ84" s="324"/>
      <c r="DR84" s="324"/>
      <c r="DS84" s="324"/>
      <c r="DT84" s="324"/>
      <c r="DU84" s="324"/>
      <c r="DV84" s="324"/>
      <c r="DW84" s="324"/>
      <c r="DX84" s="324"/>
      <c r="DY84" s="324"/>
      <c r="DZ84" s="324"/>
      <c r="EA84" s="324"/>
      <c r="EB84" s="324"/>
      <c r="EC84" s="324"/>
      <c r="ED84" s="324"/>
      <c r="EE84" s="324"/>
      <c r="EF84" s="324"/>
      <c r="EG84" s="324"/>
      <c r="EH84" s="324"/>
      <c r="EI84" s="324"/>
      <c r="EJ84" s="324"/>
      <c r="EK84" s="324"/>
      <c r="EL84" s="324"/>
      <c r="EM84" s="324"/>
      <c r="EN84" s="324"/>
      <c r="EO84" s="324"/>
      <c r="EP84" s="324"/>
      <c r="EQ84" s="324"/>
      <c r="ER84" s="324"/>
      <c r="ES84" s="324"/>
      <c r="ET84" s="324"/>
      <c r="EU84" s="324"/>
      <c r="EV84" s="324"/>
      <c r="EW84" s="324"/>
      <c r="EX84" s="324"/>
      <c r="EY84" s="324"/>
      <c r="EZ84" s="324"/>
      <c r="FA84" s="324"/>
      <c r="FB84" s="324"/>
      <c r="FC84" s="324"/>
      <c r="FD84" s="324"/>
      <c r="FE84" s="324"/>
      <c r="FF84" s="324"/>
      <c r="FG84" s="324"/>
      <c r="FH84" s="324"/>
      <c r="FI84" s="324"/>
      <c r="FJ84" s="324"/>
      <c r="FK84" s="324"/>
      <c r="FL84" s="324"/>
      <c r="FM84" s="324"/>
      <c r="FN84" s="324"/>
      <c r="FO84" s="324"/>
      <c r="FP84" s="324"/>
      <c r="FQ84" s="324"/>
      <c r="FR84" s="324"/>
      <c r="FS84" s="324"/>
      <c r="FT84" s="324"/>
      <c r="FU84" s="324"/>
      <c r="FV84" s="324"/>
      <c r="FW84" s="324"/>
      <c r="FX84" s="324"/>
      <c r="FY84" s="324"/>
      <c r="FZ84" s="324"/>
      <c r="GA84" s="324"/>
      <c r="GB84" s="324"/>
      <c r="GC84" s="324"/>
      <c r="GD84" s="324"/>
      <c r="GE84" s="324"/>
      <c r="GF84" s="324"/>
      <c r="GG84" s="324"/>
      <c r="GH84" s="324"/>
      <c r="GI84" s="324"/>
      <c r="GJ84" s="324"/>
      <c r="GK84" s="324"/>
      <c r="GL84" s="324"/>
      <c r="GM84" s="324"/>
      <c r="GN84" s="324"/>
      <c r="GO84" s="324"/>
      <c r="GP84" s="324"/>
      <c r="GQ84" s="324"/>
      <c r="GR84" s="324"/>
      <c r="GS84" s="324"/>
      <c r="GT84" s="324"/>
      <c r="GU84" s="324"/>
      <c r="GV84" s="324"/>
      <c r="GW84" s="324"/>
      <c r="GX84" s="324"/>
      <c r="GY84" s="324"/>
      <c r="GZ84" s="324"/>
      <c r="HA84" s="324"/>
      <c r="HB84" s="324"/>
      <c r="HC84" s="324"/>
      <c r="HD84" s="324"/>
      <c r="HE84" s="324"/>
      <c r="HF84" s="324"/>
      <c r="HG84" s="324"/>
      <c r="HH84" s="324"/>
      <c r="HI84" s="324"/>
      <c r="HJ84" s="324"/>
      <c r="HK84" s="324"/>
      <c r="HL84" s="324"/>
      <c r="HM84" s="324"/>
      <c r="HN84" s="324"/>
      <c r="HO84" s="324"/>
      <c r="HP84" s="324"/>
      <c r="HQ84" s="324"/>
      <c r="HR84" s="324"/>
      <c r="HS84" s="324"/>
      <c r="HT84" s="324"/>
      <c r="HU84" s="324"/>
      <c r="HV84" s="324"/>
      <c r="HW84" s="324"/>
      <c r="HX84" s="324"/>
      <c r="HY84" s="324"/>
      <c r="HZ84" s="324"/>
      <c r="IA84" s="324"/>
      <c r="IB84" s="324"/>
      <c r="IC84" s="324"/>
      <c r="ID84" s="324"/>
      <c r="IE84" s="324"/>
      <c r="IF84" s="324"/>
      <c r="IG84" s="324"/>
      <c r="IH84" s="324"/>
      <c r="II84" s="324"/>
      <c r="IJ84" s="324"/>
      <c r="IK84" s="324"/>
      <c r="IL84" s="324"/>
      <c r="IM84" s="324"/>
    </row>
    <row r="85" spans="1:247" x14ac:dyDescent="0.35">
      <c r="A85" s="356">
        <v>2221</v>
      </c>
      <c r="B85" s="357" t="s">
        <v>92</v>
      </c>
      <c r="C85" s="172" t="s">
        <v>8</v>
      </c>
      <c r="D85" s="358" t="s">
        <v>2053</v>
      </c>
      <c r="E85" s="336"/>
      <c r="F85" s="331">
        <f t="shared" si="0"/>
        <v>1.0209999999999999</v>
      </c>
      <c r="G85" s="337">
        <f t="shared" si="7"/>
        <v>1.0269999999999999</v>
      </c>
      <c r="H85" s="336">
        <f>+$H$3</f>
        <v>1.0029999999999999</v>
      </c>
      <c r="I85" s="338">
        <f>+$I$3</f>
        <v>1.0289999999999999</v>
      </c>
      <c r="J85" s="338">
        <f>+$J$3</f>
        <v>1.0049999999999999</v>
      </c>
      <c r="K85" s="338"/>
      <c r="L85" s="338"/>
      <c r="M85" s="338">
        <f>+$M$3</f>
        <v>1.0029999999999999</v>
      </c>
      <c r="N85" s="337">
        <f t="shared" si="8"/>
        <v>1.0029999999999999</v>
      </c>
      <c r="O85" s="339">
        <f>+$O$3</f>
        <v>1.0209999999999999</v>
      </c>
      <c r="P85" s="336">
        <f t="shared" si="14"/>
        <v>1.032</v>
      </c>
      <c r="Q85" s="337">
        <f t="shared" si="15"/>
        <v>1.0349999999999999</v>
      </c>
      <c r="R85" s="340">
        <f t="shared" si="1"/>
        <v>1.1932356231980656</v>
      </c>
      <c r="S85" s="324"/>
      <c r="T85" s="324"/>
      <c r="U85" s="324"/>
      <c r="V85" s="324"/>
      <c r="W85" s="324"/>
      <c r="X85" s="324"/>
      <c r="Y85" s="324"/>
      <c r="Z85" s="324"/>
      <c r="AA85" s="324"/>
      <c r="AB85" s="324"/>
      <c r="AC85" s="324"/>
      <c r="AD85" s="324"/>
      <c r="AE85" s="324"/>
      <c r="AF85" s="324"/>
      <c r="AG85" s="324"/>
      <c r="AH85" s="324"/>
      <c r="AI85" s="324"/>
      <c r="AJ85" s="324"/>
      <c r="AK85" s="324"/>
      <c r="AL85" s="324"/>
      <c r="AM85" s="324"/>
      <c r="AN85" s="324"/>
      <c r="AO85" s="324"/>
      <c r="AP85" s="324"/>
      <c r="AQ85" s="324"/>
      <c r="AR85" s="324"/>
      <c r="AS85" s="324"/>
      <c r="AT85" s="324"/>
      <c r="AU85" s="324"/>
      <c r="AV85" s="324"/>
      <c r="AW85" s="324"/>
      <c r="AX85" s="324"/>
      <c r="AY85" s="324"/>
      <c r="AZ85" s="324"/>
      <c r="BA85" s="324"/>
      <c r="BB85" s="324"/>
      <c r="BC85" s="324"/>
      <c r="BD85" s="324"/>
      <c r="BE85" s="324"/>
      <c r="BF85" s="324"/>
      <c r="BG85" s="324"/>
      <c r="BH85" s="324"/>
      <c r="BI85" s="324"/>
      <c r="BJ85" s="324"/>
      <c r="BK85" s="324"/>
      <c r="BL85" s="324"/>
      <c r="BM85" s="324"/>
      <c r="BN85" s="324"/>
      <c r="BO85" s="324"/>
      <c r="BP85" s="324"/>
      <c r="BQ85" s="324"/>
      <c r="BR85" s="324"/>
      <c r="BS85" s="324"/>
      <c r="BT85" s="324"/>
      <c r="BU85" s="324"/>
      <c r="BV85" s="324"/>
      <c r="BW85" s="324"/>
      <c r="BX85" s="324"/>
      <c r="BY85" s="324"/>
      <c r="BZ85" s="324"/>
      <c r="CA85" s="324"/>
      <c r="CB85" s="324"/>
      <c r="CC85" s="324"/>
      <c r="CD85" s="324"/>
      <c r="CE85" s="324"/>
      <c r="CF85" s="324"/>
      <c r="CG85" s="324"/>
      <c r="CH85" s="324"/>
      <c r="CI85" s="324"/>
      <c r="CJ85" s="324"/>
      <c r="CK85" s="324"/>
      <c r="CL85" s="324"/>
      <c r="CM85" s="324"/>
      <c r="CN85" s="324"/>
      <c r="CO85" s="324"/>
      <c r="CP85" s="324"/>
      <c r="CQ85" s="324"/>
      <c r="CR85" s="324"/>
      <c r="CS85" s="324"/>
      <c r="CT85" s="324"/>
      <c r="CU85" s="324"/>
      <c r="CV85" s="324"/>
      <c r="CW85" s="324"/>
      <c r="CX85" s="324"/>
      <c r="CY85" s="324"/>
      <c r="CZ85" s="324"/>
      <c r="DA85" s="324"/>
      <c r="DB85" s="324"/>
      <c r="DC85" s="324"/>
      <c r="DD85" s="324"/>
      <c r="DE85" s="324"/>
      <c r="DF85" s="324"/>
      <c r="DG85" s="324"/>
      <c r="DH85" s="324"/>
      <c r="DI85" s="324"/>
      <c r="DJ85" s="324"/>
      <c r="DK85" s="324"/>
      <c r="DL85" s="324"/>
      <c r="DM85" s="324"/>
      <c r="DN85" s="324"/>
      <c r="DO85" s="324"/>
      <c r="DP85" s="324"/>
      <c r="DQ85" s="324"/>
      <c r="DR85" s="324"/>
      <c r="DS85" s="324"/>
      <c r="DT85" s="324"/>
      <c r="DU85" s="324"/>
      <c r="DV85" s="324"/>
      <c r="DW85" s="324"/>
      <c r="DX85" s="324"/>
      <c r="DY85" s="324"/>
      <c r="DZ85" s="324"/>
      <c r="EA85" s="324"/>
      <c r="EB85" s="324"/>
      <c r="EC85" s="324"/>
      <c r="ED85" s="324"/>
      <c r="EE85" s="324"/>
      <c r="EF85" s="324"/>
      <c r="EG85" s="324"/>
      <c r="EH85" s="324"/>
      <c r="EI85" s="324"/>
      <c r="EJ85" s="324"/>
      <c r="EK85" s="324"/>
      <c r="EL85" s="324"/>
      <c r="EM85" s="324"/>
      <c r="EN85" s="324"/>
      <c r="EO85" s="324"/>
      <c r="EP85" s="324"/>
      <c r="EQ85" s="324"/>
      <c r="ER85" s="324"/>
      <c r="ES85" s="324"/>
      <c r="ET85" s="324"/>
      <c r="EU85" s="324"/>
      <c r="EV85" s="324"/>
      <c r="EW85" s="324"/>
      <c r="EX85" s="324"/>
      <c r="EY85" s="324"/>
      <c r="EZ85" s="324"/>
      <c r="FA85" s="324"/>
      <c r="FB85" s="324"/>
      <c r="FC85" s="324"/>
      <c r="FD85" s="324"/>
      <c r="FE85" s="324"/>
      <c r="FF85" s="324"/>
      <c r="FG85" s="324"/>
      <c r="FH85" s="324"/>
      <c r="FI85" s="324"/>
      <c r="FJ85" s="324"/>
      <c r="FK85" s="324"/>
      <c r="FL85" s="324"/>
      <c r="FM85" s="324"/>
      <c r="FN85" s="324"/>
      <c r="FO85" s="324"/>
      <c r="FP85" s="324"/>
      <c r="FQ85" s="324"/>
      <c r="FR85" s="324"/>
      <c r="FS85" s="324"/>
      <c r="FT85" s="324"/>
      <c r="FU85" s="324"/>
      <c r="FV85" s="324"/>
      <c r="FW85" s="324"/>
      <c r="FX85" s="324"/>
      <c r="FY85" s="324"/>
      <c r="FZ85" s="324"/>
      <c r="GA85" s="324"/>
      <c r="GB85" s="324"/>
      <c r="GC85" s="324"/>
      <c r="GD85" s="324"/>
      <c r="GE85" s="324"/>
      <c r="GF85" s="324"/>
      <c r="GG85" s="324"/>
      <c r="GH85" s="324"/>
      <c r="GI85" s="324"/>
      <c r="GJ85" s="324"/>
      <c r="GK85" s="324"/>
      <c r="GL85" s="324"/>
      <c r="GM85" s="324"/>
      <c r="GN85" s="324"/>
      <c r="GO85" s="324"/>
      <c r="GP85" s="324"/>
      <c r="GQ85" s="324"/>
      <c r="GR85" s="324"/>
      <c r="GS85" s="324"/>
      <c r="GT85" s="324"/>
      <c r="GU85" s="324"/>
      <c r="GV85" s="324"/>
      <c r="GW85" s="324"/>
      <c r="GX85" s="324"/>
      <c r="GY85" s="324"/>
      <c r="GZ85" s="324"/>
      <c r="HA85" s="324"/>
      <c r="HB85" s="324"/>
      <c r="HC85" s="324"/>
      <c r="HD85" s="324"/>
      <c r="HE85" s="324"/>
      <c r="HF85" s="324"/>
      <c r="HG85" s="324"/>
      <c r="HH85" s="324"/>
      <c r="HI85" s="324"/>
      <c r="HJ85" s="324"/>
      <c r="HK85" s="324"/>
      <c r="HL85" s="324"/>
      <c r="HM85" s="324"/>
      <c r="HN85" s="324"/>
      <c r="HO85" s="324"/>
      <c r="HP85" s="324"/>
      <c r="HQ85" s="324"/>
      <c r="HR85" s="324"/>
      <c r="HS85" s="324"/>
      <c r="HT85" s="324"/>
      <c r="HU85" s="324"/>
      <c r="HV85" s="324"/>
      <c r="HW85" s="324"/>
      <c r="HX85" s="324"/>
      <c r="HY85" s="324"/>
      <c r="HZ85" s="324"/>
      <c r="IA85" s="324"/>
      <c r="IB85" s="324"/>
      <c r="IC85" s="324"/>
      <c r="ID85" s="324"/>
      <c r="IE85" s="324"/>
      <c r="IF85" s="324"/>
      <c r="IG85" s="324"/>
      <c r="IH85" s="324"/>
      <c r="II85" s="324"/>
      <c r="IJ85" s="324"/>
      <c r="IK85" s="324"/>
      <c r="IL85" s="324"/>
      <c r="IM85" s="324"/>
    </row>
    <row r="86" spans="1:247" x14ac:dyDescent="0.35">
      <c r="A86" s="356">
        <v>2231</v>
      </c>
      <c r="B86" s="357" t="s">
        <v>93</v>
      </c>
      <c r="C86" s="172" t="s">
        <v>8</v>
      </c>
      <c r="D86" s="358" t="s">
        <v>2053</v>
      </c>
      <c r="E86" s="336"/>
      <c r="F86" s="331">
        <f t="shared" si="0"/>
        <v>1.0209999999999999</v>
      </c>
      <c r="G86" s="337">
        <f t="shared" si="7"/>
        <v>1.0269999999999999</v>
      </c>
      <c r="H86" s="336">
        <f>+$H$3</f>
        <v>1.0029999999999999</v>
      </c>
      <c r="I86" s="338">
        <f>+$I$3</f>
        <v>1.0289999999999999</v>
      </c>
      <c r="J86" s="338">
        <f>+$J$3</f>
        <v>1.0049999999999999</v>
      </c>
      <c r="K86" s="338"/>
      <c r="L86" s="338"/>
      <c r="M86" s="338">
        <f>+$M$3</f>
        <v>1.0029999999999999</v>
      </c>
      <c r="N86" s="337">
        <f t="shared" si="8"/>
        <v>1.0029999999999999</v>
      </c>
      <c r="O86" s="339">
        <f>+$O$3</f>
        <v>1.0209999999999999</v>
      </c>
      <c r="P86" s="336">
        <f t="shared" si="14"/>
        <v>1.032</v>
      </c>
      <c r="Q86" s="337">
        <f t="shared" si="15"/>
        <v>1.0349999999999999</v>
      </c>
      <c r="R86" s="340">
        <f t="shared" si="1"/>
        <v>1.1932356231980656</v>
      </c>
      <c r="S86" s="324"/>
      <c r="T86" s="324"/>
      <c r="U86" s="324"/>
      <c r="V86" s="324"/>
      <c r="W86" s="324"/>
      <c r="X86" s="324"/>
      <c r="Y86" s="324"/>
      <c r="Z86" s="324"/>
      <c r="AA86" s="324"/>
      <c r="AB86" s="324"/>
      <c r="AC86" s="324"/>
      <c r="AD86" s="324"/>
      <c r="AE86" s="324"/>
      <c r="AF86" s="324"/>
      <c r="AG86" s="324"/>
      <c r="AH86" s="324"/>
      <c r="AI86" s="324"/>
      <c r="AJ86" s="324"/>
      <c r="AK86" s="324"/>
      <c r="AL86" s="324"/>
      <c r="AM86" s="324"/>
      <c r="AN86" s="324"/>
      <c r="AO86" s="324"/>
      <c r="AP86" s="324"/>
      <c r="AQ86" s="324"/>
      <c r="AR86" s="324"/>
      <c r="AS86" s="324"/>
      <c r="AT86" s="324"/>
      <c r="AU86" s="324"/>
      <c r="AV86" s="324"/>
      <c r="AW86" s="324"/>
      <c r="AX86" s="324"/>
      <c r="AY86" s="324"/>
      <c r="AZ86" s="324"/>
      <c r="BA86" s="324"/>
      <c r="BB86" s="324"/>
      <c r="BC86" s="324"/>
      <c r="BD86" s="324"/>
      <c r="BE86" s="324"/>
      <c r="BF86" s="324"/>
      <c r="BG86" s="324"/>
      <c r="BH86" s="324"/>
      <c r="BI86" s="324"/>
      <c r="BJ86" s="324"/>
      <c r="BK86" s="324"/>
      <c r="BL86" s="324"/>
      <c r="BM86" s="324"/>
      <c r="BN86" s="324"/>
      <c r="BO86" s="324"/>
      <c r="BP86" s="324"/>
      <c r="BQ86" s="324"/>
      <c r="BR86" s="324"/>
      <c r="BS86" s="324"/>
      <c r="BT86" s="324"/>
      <c r="BU86" s="324"/>
      <c r="BV86" s="324"/>
      <c r="BW86" s="324"/>
      <c r="BX86" s="324"/>
      <c r="BY86" s="324"/>
      <c r="BZ86" s="324"/>
      <c r="CA86" s="324"/>
      <c r="CB86" s="324"/>
      <c r="CC86" s="324"/>
      <c r="CD86" s="324"/>
      <c r="CE86" s="324"/>
      <c r="CF86" s="324"/>
      <c r="CG86" s="324"/>
      <c r="CH86" s="324"/>
      <c r="CI86" s="324"/>
      <c r="CJ86" s="324"/>
      <c r="CK86" s="324"/>
      <c r="CL86" s="324"/>
      <c r="CM86" s="324"/>
      <c r="CN86" s="324"/>
      <c r="CO86" s="324"/>
      <c r="CP86" s="324"/>
      <c r="CQ86" s="324"/>
      <c r="CR86" s="324"/>
      <c r="CS86" s="324"/>
      <c r="CT86" s="324"/>
      <c r="CU86" s="324"/>
      <c r="CV86" s="324"/>
      <c r="CW86" s="324"/>
      <c r="CX86" s="324"/>
      <c r="CY86" s="324"/>
      <c r="CZ86" s="324"/>
      <c r="DA86" s="324"/>
      <c r="DB86" s="324"/>
      <c r="DC86" s="324"/>
      <c r="DD86" s="324"/>
      <c r="DE86" s="324"/>
      <c r="DF86" s="324"/>
      <c r="DG86" s="324"/>
      <c r="DH86" s="324"/>
      <c r="DI86" s="324"/>
      <c r="DJ86" s="324"/>
      <c r="DK86" s="324"/>
      <c r="DL86" s="324"/>
      <c r="DM86" s="324"/>
      <c r="DN86" s="324"/>
      <c r="DO86" s="324"/>
      <c r="DP86" s="324"/>
      <c r="DQ86" s="324"/>
      <c r="DR86" s="324"/>
      <c r="DS86" s="324"/>
      <c r="DT86" s="324"/>
      <c r="DU86" s="324"/>
      <c r="DV86" s="324"/>
      <c r="DW86" s="324"/>
      <c r="DX86" s="324"/>
      <c r="DY86" s="324"/>
      <c r="DZ86" s="324"/>
      <c r="EA86" s="324"/>
      <c r="EB86" s="324"/>
      <c r="EC86" s="324"/>
      <c r="ED86" s="324"/>
      <c r="EE86" s="324"/>
      <c r="EF86" s="324"/>
      <c r="EG86" s="324"/>
      <c r="EH86" s="324"/>
      <c r="EI86" s="324"/>
      <c r="EJ86" s="324"/>
      <c r="EK86" s="324"/>
      <c r="EL86" s="324"/>
      <c r="EM86" s="324"/>
      <c r="EN86" s="324"/>
      <c r="EO86" s="324"/>
      <c r="EP86" s="324"/>
      <c r="EQ86" s="324"/>
      <c r="ER86" s="324"/>
      <c r="ES86" s="324"/>
      <c r="ET86" s="324"/>
      <c r="EU86" s="324"/>
      <c r="EV86" s="324"/>
      <c r="EW86" s="324"/>
      <c r="EX86" s="324"/>
      <c r="EY86" s="324"/>
      <c r="EZ86" s="324"/>
      <c r="FA86" s="324"/>
      <c r="FB86" s="324"/>
      <c r="FC86" s="324"/>
      <c r="FD86" s="324"/>
      <c r="FE86" s="324"/>
      <c r="FF86" s="324"/>
      <c r="FG86" s="324"/>
      <c r="FH86" s="324"/>
      <c r="FI86" s="324"/>
      <c r="FJ86" s="324"/>
      <c r="FK86" s="324"/>
      <c r="FL86" s="324"/>
      <c r="FM86" s="324"/>
      <c r="FN86" s="324"/>
      <c r="FO86" s="324"/>
      <c r="FP86" s="324"/>
      <c r="FQ86" s="324"/>
      <c r="FR86" s="324"/>
      <c r="FS86" s="324"/>
      <c r="FT86" s="324"/>
      <c r="FU86" s="324"/>
      <c r="FV86" s="324"/>
      <c r="FW86" s="324"/>
      <c r="FX86" s="324"/>
      <c r="FY86" s="324"/>
      <c r="FZ86" s="324"/>
      <c r="GA86" s="324"/>
      <c r="GB86" s="324"/>
      <c r="GC86" s="324"/>
      <c r="GD86" s="324"/>
      <c r="GE86" s="324"/>
      <c r="GF86" s="324"/>
      <c r="GG86" s="324"/>
      <c r="GH86" s="324"/>
      <c r="GI86" s="324"/>
      <c r="GJ86" s="324"/>
      <c r="GK86" s="324"/>
      <c r="GL86" s="324"/>
      <c r="GM86" s="324"/>
      <c r="GN86" s="324"/>
      <c r="GO86" s="324"/>
      <c r="GP86" s="324"/>
      <c r="GQ86" s="324"/>
      <c r="GR86" s="324"/>
      <c r="GS86" s="324"/>
      <c r="GT86" s="324"/>
      <c r="GU86" s="324"/>
      <c r="GV86" s="324"/>
      <c r="GW86" s="324"/>
      <c r="GX86" s="324"/>
      <c r="GY86" s="324"/>
      <c r="GZ86" s="324"/>
      <c r="HA86" s="324"/>
      <c r="HB86" s="324"/>
      <c r="HC86" s="324"/>
      <c r="HD86" s="324"/>
      <c r="HE86" s="324"/>
      <c r="HF86" s="324"/>
      <c r="HG86" s="324"/>
      <c r="HH86" s="324"/>
      <c r="HI86" s="324"/>
      <c r="HJ86" s="324"/>
      <c r="HK86" s="324"/>
      <c r="HL86" s="324"/>
      <c r="HM86" s="324"/>
      <c r="HN86" s="324"/>
      <c r="HO86" s="324"/>
      <c r="HP86" s="324"/>
      <c r="HQ86" s="324"/>
      <c r="HR86" s="324"/>
      <c r="HS86" s="324"/>
      <c r="HT86" s="324"/>
      <c r="HU86" s="324"/>
      <c r="HV86" s="324"/>
      <c r="HW86" s="324"/>
      <c r="HX86" s="324"/>
      <c r="HY86" s="324"/>
      <c r="HZ86" s="324"/>
      <c r="IA86" s="324"/>
      <c r="IB86" s="324"/>
      <c r="IC86" s="324"/>
      <c r="ID86" s="324"/>
      <c r="IE86" s="324"/>
      <c r="IF86" s="324"/>
      <c r="IG86" s="324"/>
      <c r="IH86" s="324"/>
      <c r="II86" s="324"/>
      <c r="IJ86" s="324"/>
      <c r="IK86" s="324"/>
      <c r="IL86" s="324"/>
      <c r="IM86" s="324"/>
    </row>
    <row r="87" spans="1:247" x14ac:dyDescent="0.35">
      <c r="A87" s="356">
        <v>2241</v>
      </c>
      <c r="B87" s="357" t="s">
        <v>94</v>
      </c>
      <c r="C87" s="172" t="s">
        <v>8</v>
      </c>
      <c r="D87" s="358" t="s">
        <v>2053</v>
      </c>
      <c r="E87" s="336"/>
      <c r="F87" s="331">
        <f t="shared" si="0"/>
        <v>1.0209999999999999</v>
      </c>
      <c r="G87" s="337">
        <f t="shared" si="7"/>
        <v>1.0269999999999999</v>
      </c>
      <c r="H87" s="336">
        <f>+$H$3</f>
        <v>1.0029999999999999</v>
      </c>
      <c r="I87" s="338">
        <f>+$I$3</f>
        <v>1.0289999999999999</v>
      </c>
      <c r="J87" s="338">
        <f>+$J$3</f>
        <v>1.0049999999999999</v>
      </c>
      <c r="K87" s="338"/>
      <c r="L87" s="338"/>
      <c r="M87" s="338">
        <f>+$M$3</f>
        <v>1.0029999999999999</v>
      </c>
      <c r="N87" s="337">
        <f t="shared" si="8"/>
        <v>1.0029999999999999</v>
      </c>
      <c r="O87" s="339">
        <f>+$O$3</f>
        <v>1.0209999999999999</v>
      </c>
      <c r="P87" s="336">
        <f t="shared" si="14"/>
        <v>1.032</v>
      </c>
      <c r="Q87" s="337">
        <f t="shared" si="15"/>
        <v>1.0349999999999999</v>
      </c>
      <c r="R87" s="340">
        <f t="shared" si="1"/>
        <v>1.1932356231980656</v>
      </c>
      <c r="S87" s="324"/>
      <c r="T87" s="324"/>
      <c r="U87" s="324"/>
      <c r="V87" s="324"/>
      <c r="W87" s="324"/>
      <c r="X87" s="324"/>
      <c r="Y87" s="324"/>
      <c r="Z87" s="324"/>
      <c r="AA87" s="324"/>
      <c r="AB87" s="324"/>
      <c r="AC87" s="324"/>
      <c r="AD87" s="324"/>
      <c r="AE87" s="324"/>
      <c r="AF87" s="324"/>
      <c r="AG87" s="324"/>
      <c r="AH87" s="324"/>
      <c r="AI87" s="324"/>
      <c r="AJ87" s="324"/>
      <c r="AK87" s="324"/>
      <c r="AL87" s="324"/>
      <c r="AM87" s="324"/>
      <c r="AN87" s="324"/>
      <c r="AO87" s="324"/>
      <c r="AP87" s="324"/>
      <c r="AQ87" s="324"/>
      <c r="AR87" s="324"/>
      <c r="AS87" s="324"/>
      <c r="AT87" s="324"/>
      <c r="AU87" s="324"/>
      <c r="AV87" s="324"/>
      <c r="AW87" s="324"/>
      <c r="AX87" s="324"/>
      <c r="AY87" s="324"/>
      <c r="AZ87" s="324"/>
      <c r="BA87" s="324"/>
      <c r="BB87" s="324"/>
      <c r="BC87" s="324"/>
      <c r="BD87" s="324"/>
      <c r="BE87" s="324"/>
      <c r="BF87" s="324"/>
      <c r="BG87" s="324"/>
      <c r="BH87" s="324"/>
      <c r="BI87" s="324"/>
      <c r="BJ87" s="324"/>
      <c r="BK87" s="324"/>
      <c r="BL87" s="324"/>
      <c r="BM87" s="324"/>
      <c r="BN87" s="324"/>
      <c r="BO87" s="324"/>
      <c r="BP87" s="324"/>
      <c r="BQ87" s="324"/>
      <c r="BR87" s="324"/>
      <c r="BS87" s="324"/>
      <c r="BT87" s="324"/>
      <c r="BU87" s="324"/>
      <c r="BV87" s="324"/>
      <c r="BW87" s="324"/>
      <c r="BX87" s="324"/>
      <c r="BY87" s="324"/>
      <c r="BZ87" s="324"/>
      <c r="CA87" s="324"/>
      <c r="CB87" s="324"/>
      <c r="CC87" s="324"/>
      <c r="CD87" s="324"/>
      <c r="CE87" s="324"/>
      <c r="CF87" s="324"/>
      <c r="CG87" s="324"/>
      <c r="CH87" s="324"/>
      <c r="CI87" s="324"/>
      <c r="CJ87" s="324"/>
      <c r="CK87" s="324"/>
      <c r="CL87" s="324"/>
      <c r="CM87" s="324"/>
      <c r="CN87" s="324"/>
      <c r="CO87" s="324"/>
      <c r="CP87" s="324"/>
      <c r="CQ87" s="324"/>
      <c r="CR87" s="324"/>
      <c r="CS87" s="324"/>
      <c r="CT87" s="324"/>
      <c r="CU87" s="324"/>
      <c r="CV87" s="324"/>
      <c r="CW87" s="324"/>
      <c r="CX87" s="324"/>
      <c r="CY87" s="324"/>
      <c r="CZ87" s="324"/>
      <c r="DA87" s="324"/>
      <c r="DB87" s="324"/>
      <c r="DC87" s="324"/>
      <c r="DD87" s="324"/>
      <c r="DE87" s="324"/>
      <c r="DF87" s="324"/>
      <c r="DG87" s="324"/>
      <c r="DH87" s="324"/>
      <c r="DI87" s="324"/>
      <c r="DJ87" s="324"/>
      <c r="DK87" s="324"/>
      <c r="DL87" s="324"/>
      <c r="DM87" s="324"/>
      <c r="DN87" s="324"/>
      <c r="DO87" s="324"/>
      <c r="DP87" s="324"/>
      <c r="DQ87" s="324"/>
      <c r="DR87" s="324"/>
      <c r="DS87" s="324"/>
      <c r="DT87" s="324"/>
      <c r="DU87" s="324"/>
      <c r="DV87" s="324"/>
      <c r="DW87" s="324"/>
      <c r="DX87" s="324"/>
      <c r="DY87" s="324"/>
      <c r="DZ87" s="324"/>
      <c r="EA87" s="324"/>
      <c r="EB87" s="324"/>
      <c r="EC87" s="324"/>
      <c r="ED87" s="324"/>
      <c r="EE87" s="324"/>
      <c r="EF87" s="324"/>
      <c r="EG87" s="324"/>
      <c r="EH87" s="324"/>
      <c r="EI87" s="324"/>
      <c r="EJ87" s="324"/>
      <c r="EK87" s="324"/>
      <c r="EL87" s="324"/>
      <c r="EM87" s="324"/>
      <c r="EN87" s="324"/>
      <c r="EO87" s="324"/>
      <c r="EP87" s="324"/>
      <c r="EQ87" s="324"/>
      <c r="ER87" s="324"/>
      <c r="ES87" s="324"/>
      <c r="ET87" s="324"/>
      <c r="EU87" s="324"/>
      <c r="EV87" s="324"/>
      <c r="EW87" s="324"/>
      <c r="EX87" s="324"/>
      <c r="EY87" s="324"/>
      <c r="EZ87" s="324"/>
      <c r="FA87" s="324"/>
      <c r="FB87" s="324"/>
      <c r="FC87" s="324"/>
      <c r="FD87" s="324"/>
      <c r="FE87" s="324"/>
      <c r="FF87" s="324"/>
      <c r="FG87" s="324"/>
      <c r="FH87" s="324"/>
      <c r="FI87" s="324"/>
      <c r="FJ87" s="324"/>
      <c r="FK87" s="324"/>
      <c r="FL87" s="324"/>
      <c r="FM87" s="324"/>
      <c r="FN87" s="324"/>
      <c r="FO87" s="324"/>
      <c r="FP87" s="324"/>
      <c r="FQ87" s="324"/>
      <c r="FR87" s="324"/>
      <c r="FS87" s="324"/>
      <c r="FT87" s="324"/>
      <c r="FU87" s="324"/>
      <c r="FV87" s="324"/>
      <c r="FW87" s="324"/>
      <c r="FX87" s="324"/>
      <c r="FY87" s="324"/>
      <c r="FZ87" s="324"/>
      <c r="GA87" s="324"/>
      <c r="GB87" s="324"/>
      <c r="GC87" s="324"/>
      <c r="GD87" s="324"/>
      <c r="GE87" s="324"/>
      <c r="GF87" s="324"/>
      <c r="GG87" s="324"/>
      <c r="GH87" s="324"/>
      <c r="GI87" s="324"/>
      <c r="GJ87" s="324"/>
      <c r="GK87" s="324"/>
      <c r="GL87" s="324"/>
      <c r="GM87" s="324"/>
      <c r="GN87" s="324"/>
      <c r="GO87" s="324"/>
      <c r="GP87" s="324"/>
      <c r="GQ87" s="324"/>
      <c r="GR87" s="324"/>
      <c r="GS87" s="324"/>
      <c r="GT87" s="324"/>
      <c r="GU87" s="324"/>
      <c r="GV87" s="324"/>
      <c r="GW87" s="324"/>
      <c r="GX87" s="324"/>
      <c r="GY87" s="324"/>
      <c r="GZ87" s="324"/>
      <c r="HA87" s="324"/>
      <c r="HB87" s="324"/>
      <c r="HC87" s="324"/>
      <c r="HD87" s="324"/>
      <c r="HE87" s="324"/>
      <c r="HF87" s="324"/>
      <c r="HG87" s="324"/>
      <c r="HH87" s="324"/>
      <c r="HI87" s="324"/>
      <c r="HJ87" s="324"/>
      <c r="HK87" s="324"/>
      <c r="HL87" s="324"/>
      <c r="HM87" s="324"/>
      <c r="HN87" s="324"/>
      <c r="HO87" s="324"/>
      <c r="HP87" s="324"/>
      <c r="HQ87" s="324"/>
      <c r="HR87" s="324"/>
      <c r="HS87" s="324"/>
      <c r="HT87" s="324"/>
      <c r="HU87" s="324"/>
      <c r="HV87" s="324"/>
      <c r="HW87" s="324"/>
      <c r="HX87" s="324"/>
      <c r="HY87" s="324"/>
      <c r="HZ87" s="324"/>
      <c r="IA87" s="324"/>
      <c r="IB87" s="324"/>
      <c r="IC87" s="324"/>
      <c r="ID87" s="324"/>
      <c r="IE87" s="324"/>
      <c r="IF87" s="324"/>
      <c r="IG87" s="324"/>
      <c r="IH87" s="324"/>
      <c r="II87" s="324"/>
      <c r="IJ87" s="324"/>
      <c r="IK87" s="324"/>
      <c r="IL87" s="324"/>
      <c r="IM87" s="324"/>
    </row>
    <row r="88" spans="1:247" x14ac:dyDescent="0.35">
      <c r="A88" s="356">
        <v>2242</v>
      </c>
      <c r="B88" s="357" t="s">
        <v>95</v>
      </c>
      <c r="C88" s="172" t="s">
        <v>8</v>
      </c>
      <c r="D88" s="358" t="s">
        <v>2051</v>
      </c>
      <c r="E88" s="336"/>
      <c r="F88" s="331">
        <f t="shared" si="0"/>
        <v>1.0209999999999999</v>
      </c>
      <c r="G88" s="337">
        <f t="shared" si="7"/>
        <v>1.0269999999999999</v>
      </c>
      <c r="H88" s="336"/>
      <c r="I88" s="338"/>
      <c r="J88" s="338"/>
      <c r="K88" s="338"/>
      <c r="L88" s="338"/>
      <c r="M88" s="338"/>
      <c r="N88" s="337"/>
      <c r="O88" s="339"/>
      <c r="P88" s="336">
        <f t="shared" si="14"/>
        <v>1.032</v>
      </c>
      <c r="Q88" s="337">
        <f t="shared" si="15"/>
        <v>1.0349999999999999</v>
      </c>
      <c r="R88" s="340">
        <f t="shared" si="1"/>
        <v>1.1199953840399997</v>
      </c>
      <c r="S88" s="324"/>
      <c r="T88" s="324"/>
      <c r="U88" s="324"/>
      <c r="V88" s="324"/>
      <c r="W88" s="324"/>
      <c r="X88" s="324"/>
      <c r="Y88" s="324"/>
      <c r="Z88" s="324"/>
      <c r="AA88" s="324"/>
      <c r="AB88" s="324"/>
      <c r="AC88" s="324"/>
      <c r="AD88" s="324"/>
      <c r="AE88" s="324"/>
      <c r="AF88" s="324"/>
      <c r="AG88" s="324"/>
      <c r="AH88" s="324"/>
      <c r="AI88" s="324"/>
      <c r="AJ88" s="324"/>
      <c r="AK88" s="324"/>
      <c r="AL88" s="324"/>
      <c r="AM88" s="324"/>
      <c r="AN88" s="324"/>
      <c r="AO88" s="324"/>
      <c r="AP88" s="324"/>
      <c r="AQ88" s="324"/>
      <c r="AR88" s="324"/>
      <c r="AS88" s="324"/>
      <c r="AT88" s="324"/>
      <c r="AU88" s="324"/>
      <c r="AV88" s="324"/>
      <c r="AW88" s="324"/>
      <c r="AX88" s="324"/>
      <c r="AY88" s="324"/>
      <c r="AZ88" s="324"/>
      <c r="BA88" s="324"/>
      <c r="BB88" s="324"/>
      <c r="BC88" s="324"/>
      <c r="BD88" s="324"/>
      <c r="BE88" s="324"/>
      <c r="BF88" s="324"/>
      <c r="BG88" s="324"/>
      <c r="BH88" s="324"/>
      <c r="BI88" s="324"/>
      <c r="BJ88" s="324"/>
      <c r="BK88" s="324"/>
      <c r="BL88" s="324"/>
      <c r="BM88" s="324"/>
      <c r="BN88" s="324"/>
      <c r="BO88" s="324"/>
      <c r="BP88" s="324"/>
      <c r="BQ88" s="324"/>
      <c r="BR88" s="324"/>
      <c r="BS88" s="324"/>
      <c r="BT88" s="324"/>
      <c r="BU88" s="324"/>
      <c r="BV88" s="324"/>
      <c r="BW88" s="324"/>
      <c r="BX88" s="324"/>
      <c r="BY88" s="324"/>
      <c r="BZ88" s="324"/>
      <c r="CA88" s="324"/>
      <c r="CB88" s="324"/>
      <c r="CC88" s="324"/>
      <c r="CD88" s="324"/>
      <c r="CE88" s="324"/>
      <c r="CF88" s="324"/>
      <c r="CG88" s="324"/>
      <c r="CH88" s="324"/>
      <c r="CI88" s="324"/>
      <c r="CJ88" s="324"/>
      <c r="CK88" s="324"/>
      <c r="CL88" s="324"/>
      <c r="CM88" s="324"/>
      <c r="CN88" s="324"/>
      <c r="CO88" s="324"/>
      <c r="CP88" s="324"/>
      <c r="CQ88" s="324"/>
      <c r="CR88" s="324"/>
      <c r="CS88" s="324"/>
      <c r="CT88" s="324"/>
      <c r="CU88" s="324"/>
      <c r="CV88" s="324"/>
      <c r="CW88" s="324"/>
      <c r="CX88" s="324"/>
      <c r="CY88" s="324"/>
      <c r="CZ88" s="324"/>
      <c r="DA88" s="324"/>
      <c r="DB88" s="324"/>
      <c r="DC88" s="324"/>
      <c r="DD88" s="324"/>
      <c r="DE88" s="324"/>
      <c r="DF88" s="324"/>
      <c r="DG88" s="324"/>
      <c r="DH88" s="324"/>
      <c r="DI88" s="324"/>
      <c r="DJ88" s="324"/>
      <c r="DK88" s="324"/>
      <c r="DL88" s="324"/>
      <c r="DM88" s="324"/>
      <c r="DN88" s="324"/>
      <c r="DO88" s="324"/>
      <c r="DP88" s="324"/>
      <c r="DQ88" s="324"/>
      <c r="DR88" s="324"/>
      <c r="DS88" s="324"/>
      <c r="DT88" s="324"/>
      <c r="DU88" s="324"/>
      <c r="DV88" s="324"/>
      <c r="DW88" s="324"/>
      <c r="DX88" s="324"/>
      <c r="DY88" s="324"/>
      <c r="DZ88" s="324"/>
      <c r="EA88" s="324"/>
      <c r="EB88" s="324"/>
      <c r="EC88" s="324"/>
      <c r="ED88" s="324"/>
      <c r="EE88" s="324"/>
      <c r="EF88" s="324"/>
      <c r="EG88" s="324"/>
      <c r="EH88" s="324"/>
      <c r="EI88" s="324"/>
      <c r="EJ88" s="324"/>
      <c r="EK88" s="324"/>
      <c r="EL88" s="324"/>
      <c r="EM88" s="324"/>
      <c r="EN88" s="324"/>
      <c r="EO88" s="324"/>
      <c r="EP88" s="324"/>
      <c r="EQ88" s="324"/>
      <c r="ER88" s="324"/>
      <c r="ES88" s="324"/>
      <c r="ET88" s="324"/>
      <c r="EU88" s="324"/>
      <c r="EV88" s="324"/>
      <c r="EW88" s="324"/>
      <c r="EX88" s="324"/>
      <c r="EY88" s="324"/>
      <c r="EZ88" s="324"/>
      <c r="FA88" s="324"/>
      <c r="FB88" s="324"/>
      <c r="FC88" s="324"/>
      <c r="FD88" s="324"/>
      <c r="FE88" s="324"/>
      <c r="FF88" s="324"/>
      <c r="FG88" s="324"/>
      <c r="FH88" s="324"/>
      <c r="FI88" s="324"/>
      <c r="FJ88" s="324"/>
      <c r="FK88" s="324"/>
      <c r="FL88" s="324"/>
      <c r="FM88" s="324"/>
      <c r="FN88" s="324"/>
      <c r="FO88" s="324"/>
      <c r="FP88" s="324"/>
      <c r="FQ88" s="324"/>
      <c r="FR88" s="324"/>
      <c r="FS88" s="324"/>
      <c r="FT88" s="324"/>
      <c r="FU88" s="324"/>
      <c r="FV88" s="324"/>
      <c r="FW88" s="324"/>
      <c r="FX88" s="324"/>
      <c r="FY88" s="324"/>
      <c r="FZ88" s="324"/>
      <c r="GA88" s="324"/>
      <c r="GB88" s="324"/>
      <c r="GC88" s="324"/>
      <c r="GD88" s="324"/>
      <c r="GE88" s="324"/>
      <c r="GF88" s="324"/>
      <c r="GG88" s="324"/>
      <c r="GH88" s="324"/>
      <c r="GI88" s="324"/>
      <c r="GJ88" s="324"/>
      <c r="GK88" s="324"/>
      <c r="GL88" s="324"/>
      <c r="GM88" s="324"/>
      <c r="GN88" s="324"/>
      <c r="GO88" s="324"/>
      <c r="GP88" s="324"/>
      <c r="GQ88" s="324"/>
      <c r="GR88" s="324"/>
      <c r="GS88" s="324"/>
      <c r="GT88" s="324"/>
      <c r="GU88" s="324"/>
      <c r="GV88" s="324"/>
      <c r="GW88" s="324"/>
      <c r="GX88" s="324"/>
      <c r="GY88" s="324"/>
      <c r="GZ88" s="324"/>
      <c r="HA88" s="324"/>
      <c r="HB88" s="324"/>
      <c r="HC88" s="324"/>
      <c r="HD88" s="324"/>
      <c r="HE88" s="324"/>
      <c r="HF88" s="324"/>
      <c r="HG88" s="324"/>
      <c r="HH88" s="324"/>
      <c r="HI88" s="324"/>
      <c r="HJ88" s="324"/>
      <c r="HK88" s="324"/>
      <c r="HL88" s="324"/>
      <c r="HM88" s="324"/>
      <c r="HN88" s="324"/>
      <c r="HO88" s="324"/>
      <c r="HP88" s="324"/>
      <c r="HQ88" s="324"/>
      <c r="HR88" s="324"/>
      <c r="HS88" s="324"/>
      <c r="HT88" s="324"/>
      <c r="HU88" s="324"/>
      <c r="HV88" s="324"/>
      <c r="HW88" s="324"/>
      <c r="HX88" s="324"/>
      <c r="HY88" s="324"/>
      <c r="HZ88" s="324"/>
      <c r="IA88" s="324"/>
      <c r="IB88" s="324"/>
      <c r="IC88" s="324"/>
      <c r="ID88" s="324"/>
      <c r="IE88" s="324"/>
      <c r="IF88" s="324"/>
      <c r="IG88" s="324"/>
      <c r="IH88" s="324"/>
      <c r="II88" s="324"/>
      <c r="IJ88" s="324"/>
      <c r="IK88" s="324"/>
      <c r="IL88" s="324"/>
      <c r="IM88" s="324"/>
    </row>
    <row r="89" spans="1:247" x14ac:dyDescent="0.35">
      <c r="A89" s="356">
        <v>2251</v>
      </c>
      <c r="B89" s="357" t="s">
        <v>96</v>
      </c>
      <c r="C89" s="172" t="s">
        <v>8</v>
      </c>
      <c r="D89" s="358" t="s">
        <v>2053</v>
      </c>
      <c r="E89" s="336"/>
      <c r="F89" s="331">
        <f t="shared" si="0"/>
        <v>1.0209999999999999</v>
      </c>
      <c r="G89" s="337">
        <f t="shared" si="7"/>
        <v>1.0269999999999999</v>
      </c>
      <c r="H89" s="336">
        <f>+$H$3</f>
        <v>1.0029999999999999</v>
      </c>
      <c r="I89" s="338">
        <f>+$I$3</f>
        <v>1.0289999999999999</v>
      </c>
      <c r="J89" s="338">
        <f>+$J$3</f>
        <v>1.0049999999999999</v>
      </c>
      <c r="K89" s="338"/>
      <c r="L89" s="338"/>
      <c r="M89" s="338">
        <f>+$M$3</f>
        <v>1.0029999999999999</v>
      </c>
      <c r="N89" s="337">
        <f>+$N$3</f>
        <v>1.0029999999999999</v>
      </c>
      <c r="O89" s="339">
        <f>+$O$3</f>
        <v>1.0209999999999999</v>
      </c>
      <c r="P89" s="336">
        <f t="shared" si="14"/>
        <v>1.032</v>
      </c>
      <c r="Q89" s="337">
        <f t="shared" si="15"/>
        <v>1.0349999999999999</v>
      </c>
      <c r="R89" s="340">
        <f t="shared" si="1"/>
        <v>1.1932356231980656</v>
      </c>
      <c r="S89" s="324"/>
      <c r="T89" s="324"/>
      <c r="U89" s="324"/>
      <c r="V89" s="324"/>
      <c r="W89" s="324"/>
      <c r="X89" s="324"/>
      <c r="Y89" s="324"/>
      <c r="Z89" s="324"/>
      <c r="AA89" s="324"/>
      <c r="AB89" s="324"/>
      <c r="AC89" s="324"/>
      <c r="AD89" s="324"/>
      <c r="AE89" s="324"/>
      <c r="AF89" s="324"/>
      <c r="AG89" s="324"/>
      <c r="AH89" s="324"/>
      <c r="AI89" s="324"/>
      <c r="AJ89" s="324"/>
      <c r="AK89" s="324"/>
      <c r="AL89" s="324"/>
      <c r="AM89" s="324"/>
      <c r="AN89" s="324"/>
      <c r="AO89" s="324"/>
      <c r="AP89" s="324"/>
      <c r="AQ89" s="324"/>
      <c r="AR89" s="324"/>
      <c r="AS89" s="324"/>
      <c r="AT89" s="324"/>
      <c r="AU89" s="324"/>
      <c r="AV89" s="324"/>
      <c r="AW89" s="324"/>
      <c r="AX89" s="324"/>
      <c r="AY89" s="324"/>
      <c r="AZ89" s="324"/>
      <c r="BA89" s="324"/>
      <c r="BB89" s="324"/>
      <c r="BC89" s="324"/>
      <c r="BD89" s="324"/>
      <c r="BE89" s="324"/>
      <c r="BF89" s="324"/>
      <c r="BG89" s="324"/>
      <c r="BH89" s="324"/>
      <c r="BI89" s="324"/>
      <c r="BJ89" s="324"/>
      <c r="BK89" s="324"/>
      <c r="BL89" s="324"/>
      <c r="BM89" s="324"/>
      <c r="BN89" s="324"/>
      <c r="BO89" s="324"/>
      <c r="BP89" s="324"/>
      <c r="BQ89" s="324"/>
      <c r="BR89" s="324"/>
      <c r="BS89" s="324"/>
      <c r="BT89" s="324"/>
      <c r="BU89" s="324"/>
      <c r="BV89" s="324"/>
      <c r="BW89" s="324"/>
      <c r="BX89" s="324"/>
      <c r="BY89" s="324"/>
      <c r="BZ89" s="324"/>
      <c r="CA89" s="324"/>
      <c r="CB89" s="324"/>
      <c r="CC89" s="324"/>
      <c r="CD89" s="324"/>
      <c r="CE89" s="324"/>
      <c r="CF89" s="324"/>
      <c r="CG89" s="324"/>
      <c r="CH89" s="324"/>
      <c r="CI89" s="324"/>
      <c r="CJ89" s="324"/>
      <c r="CK89" s="324"/>
      <c r="CL89" s="324"/>
      <c r="CM89" s="324"/>
      <c r="CN89" s="324"/>
      <c r="CO89" s="324"/>
      <c r="CP89" s="324"/>
      <c r="CQ89" s="324"/>
      <c r="CR89" s="324"/>
      <c r="CS89" s="324"/>
      <c r="CT89" s="324"/>
      <c r="CU89" s="324"/>
      <c r="CV89" s="324"/>
      <c r="CW89" s="324"/>
      <c r="CX89" s="324"/>
      <c r="CY89" s="324"/>
      <c r="CZ89" s="324"/>
      <c r="DA89" s="324"/>
      <c r="DB89" s="324"/>
      <c r="DC89" s="324"/>
      <c r="DD89" s="324"/>
      <c r="DE89" s="324"/>
      <c r="DF89" s="324"/>
      <c r="DG89" s="324"/>
      <c r="DH89" s="324"/>
      <c r="DI89" s="324"/>
      <c r="DJ89" s="324"/>
      <c r="DK89" s="324"/>
      <c r="DL89" s="324"/>
      <c r="DM89" s="324"/>
      <c r="DN89" s="324"/>
      <c r="DO89" s="324"/>
      <c r="DP89" s="324"/>
      <c r="DQ89" s="324"/>
      <c r="DR89" s="324"/>
      <c r="DS89" s="324"/>
      <c r="DT89" s="324"/>
      <c r="DU89" s="324"/>
      <c r="DV89" s="324"/>
      <c r="DW89" s="324"/>
      <c r="DX89" s="324"/>
      <c r="DY89" s="324"/>
      <c r="DZ89" s="324"/>
      <c r="EA89" s="324"/>
      <c r="EB89" s="324"/>
      <c r="EC89" s="324"/>
      <c r="ED89" s="324"/>
      <c r="EE89" s="324"/>
      <c r="EF89" s="324"/>
      <c r="EG89" s="324"/>
      <c r="EH89" s="324"/>
      <c r="EI89" s="324"/>
      <c r="EJ89" s="324"/>
      <c r="EK89" s="324"/>
      <c r="EL89" s="324"/>
      <c r="EM89" s="324"/>
      <c r="EN89" s="324"/>
      <c r="EO89" s="324"/>
      <c r="EP89" s="324"/>
      <c r="EQ89" s="324"/>
      <c r="ER89" s="324"/>
      <c r="ES89" s="324"/>
      <c r="ET89" s="324"/>
      <c r="EU89" s="324"/>
      <c r="EV89" s="324"/>
      <c r="EW89" s="324"/>
      <c r="EX89" s="324"/>
      <c r="EY89" s="324"/>
      <c r="EZ89" s="324"/>
      <c r="FA89" s="324"/>
      <c r="FB89" s="324"/>
      <c r="FC89" s="324"/>
      <c r="FD89" s="324"/>
      <c r="FE89" s="324"/>
      <c r="FF89" s="324"/>
      <c r="FG89" s="324"/>
      <c r="FH89" s="324"/>
      <c r="FI89" s="324"/>
      <c r="FJ89" s="324"/>
      <c r="FK89" s="324"/>
      <c r="FL89" s="324"/>
      <c r="FM89" s="324"/>
      <c r="FN89" s="324"/>
      <c r="FO89" s="324"/>
      <c r="FP89" s="324"/>
      <c r="FQ89" s="324"/>
      <c r="FR89" s="324"/>
      <c r="FS89" s="324"/>
      <c r="FT89" s="324"/>
      <c r="FU89" s="324"/>
      <c r="FV89" s="324"/>
      <c r="FW89" s="324"/>
      <c r="FX89" s="324"/>
      <c r="FY89" s="324"/>
      <c r="FZ89" s="324"/>
      <c r="GA89" s="324"/>
      <c r="GB89" s="324"/>
      <c r="GC89" s="324"/>
      <c r="GD89" s="324"/>
      <c r="GE89" s="324"/>
      <c r="GF89" s="324"/>
      <c r="GG89" s="324"/>
      <c r="GH89" s="324"/>
      <c r="GI89" s="324"/>
      <c r="GJ89" s="324"/>
      <c r="GK89" s="324"/>
      <c r="GL89" s="324"/>
      <c r="GM89" s="324"/>
      <c r="GN89" s="324"/>
      <c r="GO89" s="324"/>
      <c r="GP89" s="324"/>
      <c r="GQ89" s="324"/>
      <c r="GR89" s="324"/>
      <c r="GS89" s="324"/>
      <c r="GT89" s="324"/>
      <c r="GU89" s="324"/>
      <c r="GV89" s="324"/>
      <c r="GW89" s="324"/>
      <c r="GX89" s="324"/>
      <c r="GY89" s="324"/>
      <c r="GZ89" s="324"/>
      <c r="HA89" s="324"/>
      <c r="HB89" s="324"/>
      <c r="HC89" s="324"/>
      <c r="HD89" s="324"/>
      <c r="HE89" s="324"/>
      <c r="HF89" s="324"/>
      <c r="HG89" s="324"/>
      <c r="HH89" s="324"/>
      <c r="HI89" s="324"/>
      <c r="HJ89" s="324"/>
      <c r="HK89" s="324"/>
      <c r="HL89" s="324"/>
      <c r="HM89" s="324"/>
      <c r="HN89" s="324"/>
      <c r="HO89" s="324"/>
      <c r="HP89" s="324"/>
      <c r="HQ89" s="324"/>
      <c r="HR89" s="324"/>
      <c r="HS89" s="324"/>
      <c r="HT89" s="324"/>
      <c r="HU89" s="324"/>
      <c r="HV89" s="324"/>
      <c r="HW89" s="324"/>
      <c r="HX89" s="324"/>
      <c r="HY89" s="324"/>
      <c r="HZ89" s="324"/>
      <c r="IA89" s="324"/>
      <c r="IB89" s="324"/>
      <c r="IC89" s="324"/>
      <c r="ID89" s="324"/>
      <c r="IE89" s="324"/>
      <c r="IF89" s="324"/>
      <c r="IG89" s="324"/>
      <c r="IH89" s="324"/>
      <c r="II89" s="324"/>
      <c r="IJ89" s="324"/>
      <c r="IK89" s="324"/>
      <c r="IL89" s="324"/>
      <c r="IM89" s="324"/>
    </row>
    <row r="90" spans="1:247" x14ac:dyDescent="0.35">
      <c r="A90" s="356">
        <v>2252</v>
      </c>
      <c r="B90" s="357" t="s">
        <v>97</v>
      </c>
      <c r="C90" s="172" t="s">
        <v>8</v>
      </c>
      <c r="D90" s="358" t="s">
        <v>2051</v>
      </c>
      <c r="E90" s="336"/>
      <c r="F90" s="331">
        <v>1.0209999999999999</v>
      </c>
      <c r="G90" s="337">
        <v>1.0269999999999999</v>
      </c>
      <c r="H90" s="336">
        <v>1.0029999999999999</v>
      </c>
      <c r="I90" s="338">
        <v>1.0289999999999999</v>
      </c>
      <c r="J90" s="338">
        <v>1.0049999999999999</v>
      </c>
      <c r="K90" s="338"/>
      <c r="L90" s="338"/>
      <c r="M90" s="338">
        <v>1.0029999999999999</v>
      </c>
      <c r="N90" s="337">
        <v>1.0029999999999999</v>
      </c>
      <c r="O90" s="339">
        <v>1.0209999999999999</v>
      </c>
      <c r="P90" s="336">
        <v>1.032</v>
      </c>
      <c r="Q90" s="337">
        <v>1.0349999999999999</v>
      </c>
      <c r="R90" s="340">
        <v>1.1932356231980656</v>
      </c>
      <c r="S90" s="324"/>
      <c r="T90" s="324"/>
      <c r="U90" s="324"/>
      <c r="V90" s="324"/>
      <c r="W90" s="324"/>
      <c r="X90" s="324"/>
      <c r="Y90" s="324"/>
      <c r="Z90" s="324"/>
      <c r="AA90" s="324"/>
      <c r="AB90" s="324"/>
      <c r="AC90" s="324"/>
      <c r="AD90" s="324"/>
      <c r="AE90" s="324"/>
      <c r="AF90" s="324"/>
      <c r="AG90" s="324"/>
      <c r="AH90" s="324"/>
      <c r="AI90" s="324"/>
      <c r="AJ90" s="324"/>
      <c r="AK90" s="324"/>
      <c r="AL90" s="324"/>
      <c r="AM90" s="324"/>
      <c r="AN90" s="324"/>
      <c r="AO90" s="324"/>
      <c r="AP90" s="324"/>
      <c r="AQ90" s="324"/>
      <c r="AR90" s="324"/>
      <c r="AS90" s="324"/>
      <c r="AT90" s="324"/>
      <c r="AU90" s="324"/>
      <c r="AV90" s="324"/>
      <c r="AW90" s="324"/>
      <c r="AX90" s="324"/>
      <c r="AY90" s="324"/>
      <c r="AZ90" s="324"/>
      <c r="BA90" s="324"/>
      <c r="BB90" s="324"/>
      <c r="BC90" s="324"/>
      <c r="BD90" s="324"/>
      <c r="BE90" s="324"/>
      <c r="BF90" s="324"/>
      <c r="BG90" s="324"/>
      <c r="BH90" s="324"/>
      <c r="BI90" s="324"/>
      <c r="BJ90" s="324"/>
      <c r="BK90" s="324"/>
      <c r="BL90" s="324"/>
      <c r="BM90" s="324"/>
      <c r="BN90" s="324"/>
      <c r="BO90" s="324"/>
      <c r="BP90" s="324"/>
      <c r="BQ90" s="324"/>
      <c r="BR90" s="324"/>
      <c r="BS90" s="324"/>
      <c r="BT90" s="324"/>
      <c r="BU90" s="324"/>
      <c r="BV90" s="324"/>
      <c r="BW90" s="324"/>
      <c r="BX90" s="324"/>
      <c r="BY90" s="324"/>
      <c r="BZ90" s="324"/>
      <c r="CA90" s="324"/>
      <c r="CB90" s="324"/>
      <c r="CC90" s="324"/>
      <c r="CD90" s="324"/>
      <c r="CE90" s="324"/>
      <c r="CF90" s="324"/>
      <c r="CG90" s="324"/>
      <c r="CH90" s="324"/>
      <c r="CI90" s="324"/>
      <c r="CJ90" s="324"/>
      <c r="CK90" s="324"/>
      <c r="CL90" s="324"/>
      <c r="CM90" s="324"/>
      <c r="CN90" s="324"/>
      <c r="CO90" s="324"/>
      <c r="CP90" s="324"/>
      <c r="CQ90" s="324"/>
      <c r="CR90" s="324"/>
      <c r="CS90" s="324"/>
      <c r="CT90" s="324"/>
      <c r="CU90" s="324"/>
      <c r="CV90" s="324"/>
      <c r="CW90" s="324"/>
      <c r="CX90" s="324"/>
      <c r="CY90" s="324"/>
      <c r="CZ90" s="324"/>
      <c r="DA90" s="324"/>
      <c r="DB90" s="324"/>
      <c r="DC90" s="324"/>
      <c r="DD90" s="324"/>
      <c r="DE90" s="324"/>
      <c r="DF90" s="324"/>
      <c r="DG90" s="324"/>
      <c r="DH90" s="324"/>
      <c r="DI90" s="324"/>
      <c r="DJ90" s="324"/>
      <c r="DK90" s="324"/>
      <c r="DL90" s="324"/>
      <c r="DM90" s="324"/>
      <c r="DN90" s="324"/>
      <c r="DO90" s="324"/>
      <c r="DP90" s="324"/>
      <c r="DQ90" s="324"/>
      <c r="DR90" s="324"/>
      <c r="DS90" s="324"/>
      <c r="DT90" s="324"/>
      <c r="DU90" s="324"/>
      <c r="DV90" s="324"/>
      <c r="DW90" s="324"/>
      <c r="DX90" s="324"/>
      <c r="DY90" s="324"/>
      <c r="DZ90" s="324"/>
      <c r="EA90" s="324"/>
      <c r="EB90" s="324"/>
      <c r="EC90" s="324"/>
      <c r="ED90" s="324"/>
      <c r="EE90" s="324"/>
      <c r="EF90" s="324"/>
      <c r="EG90" s="324"/>
      <c r="EH90" s="324"/>
      <c r="EI90" s="324"/>
      <c r="EJ90" s="324"/>
      <c r="EK90" s="324"/>
      <c r="EL90" s="324"/>
      <c r="EM90" s="324"/>
      <c r="EN90" s="324"/>
      <c r="EO90" s="324"/>
      <c r="EP90" s="324"/>
      <c r="EQ90" s="324"/>
      <c r="ER90" s="324"/>
      <c r="ES90" s="324"/>
      <c r="ET90" s="324"/>
      <c r="EU90" s="324"/>
      <c r="EV90" s="324"/>
      <c r="EW90" s="324"/>
      <c r="EX90" s="324"/>
      <c r="EY90" s="324"/>
      <c r="EZ90" s="324"/>
      <c r="FA90" s="324"/>
      <c r="FB90" s="324"/>
      <c r="FC90" s="324"/>
      <c r="FD90" s="324"/>
      <c r="FE90" s="324"/>
      <c r="FF90" s="324"/>
      <c r="FG90" s="324"/>
      <c r="FH90" s="324"/>
      <c r="FI90" s="324"/>
      <c r="FJ90" s="324"/>
      <c r="FK90" s="324"/>
      <c r="FL90" s="324"/>
      <c r="FM90" s="324"/>
      <c r="FN90" s="324"/>
      <c r="FO90" s="324"/>
      <c r="FP90" s="324"/>
      <c r="FQ90" s="324"/>
      <c r="FR90" s="324"/>
      <c r="FS90" s="324"/>
      <c r="FT90" s="324"/>
      <c r="FU90" s="324"/>
      <c r="FV90" s="324"/>
      <c r="FW90" s="324"/>
      <c r="FX90" s="324"/>
      <c r="FY90" s="324"/>
      <c r="FZ90" s="324"/>
      <c r="GA90" s="324"/>
      <c r="GB90" s="324"/>
      <c r="GC90" s="324"/>
      <c r="GD90" s="324"/>
      <c r="GE90" s="324"/>
      <c r="GF90" s="324"/>
      <c r="GG90" s="324"/>
      <c r="GH90" s="324"/>
      <c r="GI90" s="324"/>
      <c r="GJ90" s="324"/>
      <c r="GK90" s="324"/>
      <c r="GL90" s="324"/>
      <c r="GM90" s="324"/>
      <c r="GN90" s="324"/>
      <c r="GO90" s="324"/>
      <c r="GP90" s="324"/>
      <c r="GQ90" s="324"/>
      <c r="GR90" s="324"/>
      <c r="GS90" s="324"/>
      <c r="GT90" s="324"/>
      <c r="GU90" s="324"/>
      <c r="GV90" s="324"/>
      <c r="GW90" s="324"/>
      <c r="GX90" s="324"/>
      <c r="GY90" s="324"/>
      <c r="GZ90" s="324"/>
      <c r="HA90" s="324"/>
      <c r="HB90" s="324"/>
      <c r="HC90" s="324"/>
      <c r="HD90" s="324"/>
      <c r="HE90" s="324"/>
      <c r="HF90" s="324"/>
      <c r="HG90" s="324"/>
      <c r="HH90" s="324"/>
      <c r="HI90" s="324"/>
      <c r="HJ90" s="324"/>
      <c r="HK90" s="324"/>
      <c r="HL90" s="324"/>
      <c r="HM90" s="324"/>
      <c r="HN90" s="324"/>
      <c r="HO90" s="324"/>
      <c r="HP90" s="324"/>
      <c r="HQ90" s="324"/>
      <c r="HR90" s="324"/>
      <c r="HS90" s="324"/>
      <c r="HT90" s="324"/>
      <c r="HU90" s="324"/>
      <c r="HV90" s="324"/>
      <c r="HW90" s="324"/>
      <c r="HX90" s="324"/>
      <c r="HY90" s="324"/>
      <c r="HZ90" s="324"/>
      <c r="IA90" s="324"/>
      <c r="IB90" s="324"/>
      <c r="IC90" s="324"/>
      <c r="ID90" s="324"/>
      <c r="IE90" s="324"/>
      <c r="IF90" s="324"/>
      <c r="IG90" s="324"/>
      <c r="IH90" s="324"/>
      <c r="II90" s="324"/>
      <c r="IJ90" s="324"/>
      <c r="IK90" s="324"/>
      <c r="IL90" s="324"/>
      <c r="IM90" s="324"/>
    </row>
    <row r="91" spans="1:247" x14ac:dyDescent="0.35">
      <c r="A91" s="356">
        <v>2261</v>
      </c>
      <c r="B91" s="357" t="s">
        <v>98</v>
      </c>
      <c r="C91" s="172" t="s">
        <v>8</v>
      </c>
      <c r="D91" s="358" t="s">
        <v>2053</v>
      </c>
      <c r="E91" s="336"/>
      <c r="F91" s="331">
        <f t="shared" si="0"/>
        <v>1.0209999999999999</v>
      </c>
      <c r="G91" s="337">
        <f t="shared" si="7"/>
        <v>1.0269999999999999</v>
      </c>
      <c r="H91" s="336">
        <f>+$H$3</f>
        <v>1.0029999999999999</v>
      </c>
      <c r="I91" s="338">
        <f>+$I$3</f>
        <v>1.0289999999999999</v>
      </c>
      <c r="J91" s="338">
        <f>+$J$3</f>
        <v>1.0049999999999999</v>
      </c>
      <c r="K91" s="338"/>
      <c r="L91" s="338"/>
      <c r="M91" s="338">
        <f>+$M$3</f>
        <v>1.0029999999999999</v>
      </c>
      <c r="N91" s="337">
        <f>+$N$3</f>
        <v>1.0029999999999999</v>
      </c>
      <c r="O91" s="339">
        <f>+$O$3</f>
        <v>1.0209999999999999</v>
      </c>
      <c r="P91" s="336">
        <f t="shared" si="14"/>
        <v>1.032</v>
      </c>
      <c r="Q91" s="337">
        <f t="shared" si="15"/>
        <v>1.0349999999999999</v>
      </c>
      <c r="R91" s="340">
        <f t="shared" si="1"/>
        <v>1.1932356231980656</v>
      </c>
      <c r="S91" s="324"/>
      <c r="T91" s="324"/>
      <c r="U91" s="324"/>
      <c r="V91" s="324"/>
      <c r="W91" s="324"/>
      <c r="X91" s="324"/>
      <c r="Y91" s="324"/>
      <c r="Z91" s="324"/>
      <c r="AA91" s="324"/>
      <c r="AB91" s="324"/>
      <c r="AC91" s="324"/>
      <c r="AD91" s="324"/>
      <c r="AE91" s="324"/>
      <c r="AF91" s="324"/>
      <c r="AG91" s="324"/>
      <c r="AH91" s="324"/>
      <c r="AI91" s="324"/>
      <c r="AJ91" s="324"/>
      <c r="AK91" s="324"/>
      <c r="AL91" s="324"/>
      <c r="AM91" s="324"/>
      <c r="AN91" s="324"/>
      <c r="AO91" s="324"/>
      <c r="AP91" s="324"/>
      <c r="AQ91" s="324"/>
      <c r="AR91" s="324"/>
      <c r="AS91" s="324"/>
      <c r="AT91" s="324"/>
      <c r="AU91" s="324"/>
      <c r="AV91" s="324"/>
      <c r="AW91" s="324"/>
      <c r="AX91" s="324"/>
      <c r="AY91" s="324"/>
      <c r="AZ91" s="324"/>
      <c r="BA91" s="324"/>
      <c r="BB91" s="324"/>
      <c r="BC91" s="324"/>
      <c r="BD91" s="324"/>
      <c r="BE91" s="324"/>
      <c r="BF91" s="324"/>
      <c r="BG91" s="324"/>
      <c r="BH91" s="324"/>
      <c r="BI91" s="324"/>
      <c r="BJ91" s="324"/>
      <c r="BK91" s="324"/>
      <c r="BL91" s="324"/>
      <c r="BM91" s="324"/>
      <c r="BN91" s="324"/>
      <c r="BO91" s="324"/>
      <c r="BP91" s="324"/>
      <c r="BQ91" s="324"/>
      <c r="BR91" s="324"/>
      <c r="BS91" s="324"/>
      <c r="BT91" s="324"/>
      <c r="BU91" s="324"/>
      <c r="BV91" s="324"/>
      <c r="BW91" s="324"/>
      <c r="BX91" s="324"/>
      <c r="BY91" s="324"/>
      <c r="BZ91" s="324"/>
      <c r="CA91" s="324"/>
      <c r="CB91" s="324"/>
      <c r="CC91" s="324"/>
      <c r="CD91" s="324"/>
      <c r="CE91" s="324"/>
      <c r="CF91" s="324"/>
      <c r="CG91" s="324"/>
      <c r="CH91" s="324"/>
      <c r="CI91" s="324"/>
      <c r="CJ91" s="324"/>
      <c r="CK91" s="324"/>
      <c r="CL91" s="324"/>
      <c r="CM91" s="324"/>
      <c r="CN91" s="324"/>
      <c r="CO91" s="324"/>
      <c r="CP91" s="324"/>
      <c r="CQ91" s="324"/>
      <c r="CR91" s="324"/>
      <c r="CS91" s="324"/>
      <c r="CT91" s="324"/>
      <c r="CU91" s="324"/>
      <c r="CV91" s="324"/>
      <c r="CW91" s="324"/>
      <c r="CX91" s="324"/>
      <c r="CY91" s="324"/>
      <c r="CZ91" s="324"/>
      <c r="DA91" s="324"/>
      <c r="DB91" s="324"/>
      <c r="DC91" s="324"/>
      <c r="DD91" s="324"/>
      <c r="DE91" s="324"/>
      <c r="DF91" s="324"/>
      <c r="DG91" s="324"/>
      <c r="DH91" s="324"/>
      <c r="DI91" s="324"/>
      <c r="DJ91" s="324"/>
      <c r="DK91" s="324"/>
      <c r="DL91" s="324"/>
      <c r="DM91" s="324"/>
      <c r="DN91" s="324"/>
      <c r="DO91" s="324"/>
      <c r="DP91" s="324"/>
      <c r="DQ91" s="324"/>
      <c r="DR91" s="324"/>
      <c r="DS91" s="324"/>
      <c r="DT91" s="324"/>
      <c r="DU91" s="324"/>
      <c r="DV91" s="324"/>
      <c r="DW91" s="324"/>
      <c r="DX91" s="324"/>
      <c r="DY91" s="324"/>
      <c r="DZ91" s="324"/>
      <c r="EA91" s="324"/>
      <c r="EB91" s="324"/>
      <c r="EC91" s="324"/>
      <c r="ED91" s="324"/>
      <c r="EE91" s="324"/>
      <c r="EF91" s="324"/>
      <c r="EG91" s="324"/>
      <c r="EH91" s="324"/>
      <c r="EI91" s="324"/>
      <c r="EJ91" s="324"/>
      <c r="EK91" s="324"/>
      <c r="EL91" s="324"/>
      <c r="EM91" s="324"/>
      <c r="EN91" s="324"/>
      <c r="EO91" s="324"/>
      <c r="EP91" s="324"/>
      <c r="EQ91" s="324"/>
      <c r="ER91" s="324"/>
      <c r="ES91" s="324"/>
      <c r="ET91" s="324"/>
      <c r="EU91" s="324"/>
      <c r="EV91" s="324"/>
      <c r="EW91" s="324"/>
      <c r="EX91" s="324"/>
      <c r="EY91" s="324"/>
      <c r="EZ91" s="324"/>
      <c r="FA91" s="324"/>
      <c r="FB91" s="324"/>
      <c r="FC91" s="324"/>
      <c r="FD91" s="324"/>
      <c r="FE91" s="324"/>
      <c r="FF91" s="324"/>
      <c r="FG91" s="324"/>
      <c r="FH91" s="324"/>
      <c r="FI91" s="324"/>
      <c r="FJ91" s="324"/>
      <c r="FK91" s="324"/>
      <c r="FL91" s="324"/>
      <c r="FM91" s="324"/>
      <c r="FN91" s="324"/>
      <c r="FO91" s="324"/>
      <c r="FP91" s="324"/>
      <c r="FQ91" s="324"/>
      <c r="FR91" s="324"/>
      <c r="FS91" s="324"/>
      <c r="FT91" s="324"/>
      <c r="FU91" s="324"/>
      <c r="FV91" s="324"/>
      <c r="FW91" s="324"/>
      <c r="FX91" s="324"/>
      <c r="FY91" s="324"/>
      <c r="FZ91" s="324"/>
      <c r="GA91" s="324"/>
      <c r="GB91" s="324"/>
      <c r="GC91" s="324"/>
      <c r="GD91" s="324"/>
      <c r="GE91" s="324"/>
      <c r="GF91" s="324"/>
      <c r="GG91" s="324"/>
      <c r="GH91" s="324"/>
      <c r="GI91" s="324"/>
      <c r="GJ91" s="324"/>
      <c r="GK91" s="324"/>
      <c r="GL91" s="324"/>
      <c r="GM91" s="324"/>
      <c r="GN91" s="324"/>
      <c r="GO91" s="324"/>
      <c r="GP91" s="324"/>
      <c r="GQ91" s="324"/>
      <c r="GR91" s="324"/>
      <c r="GS91" s="324"/>
      <c r="GT91" s="324"/>
      <c r="GU91" s="324"/>
      <c r="GV91" s="324"/>
      <c r="GW91" s="324"/>
      <c r="GX91" s="324"/>
      <c r="GY91" s="324"/>
      <c r="GZ91" s="324"/>
      <c r="HA91" s="324"/>
      <c r="HB91" s="324"/>
      <c r="HC91" s="324"/>
      <c r="HD91" s="324"/>
      <c r="HE91" s="324"/>
      <c r="HF91" s="324"/>
      <c r="HG91" s="324"/>
      <c r="HH91" s="324"/>
      <c r="HI91" s="324"/>
      <c r="HJ91" s="324"/>
      <c r="HK91" s="324"/>
      <c r="HL91" s="324"/>
      <c r="HM91" s="324"/>
      <c r="HN91" s="324"/>
      <c r="HO91" s="324"/>
      <c r="HP91" s="324"/>
      <c r="HQ91" s="324"/>
      <c r="HR91" s="324"/>
      <c r="HS91" s="324"/>
      <c r="HT91" s="324"/>
      <c r="HU91" s="324"/>
      <c r="HV91" s="324"/>
      <c r="HW91" s="324"/>
      <c r="HX91" s="324"/>
      <c r="HY91" s="324"/>
      <c r="HZ91" s="324"/>
      <c r="IA91" s="324"/>
      <c r="IB91" s="324"/>
      <c r="IC91" s="324"/>
      <c r="ID91" s="324"/>
      <c r="IE91" s="324"/>
      <c r="IF91" s="324"/>
      <c r="IG91" s="324"/>
      <c r="IH91" s="324"/>
      <c r="II91" s="324"/>
      <c r="IJ91" s="324"/>
      <c r="IK91" s="324"/>
      <c r="IL91" s="324"/>
      <c r="IM91" s="324"/>
    </row>
    <row r="92" spans="1:247" x14ac:dyDescent="0.35">
      <c r="A92" s="356">
        <v>2262</v>
      </c>
      <c r="B92" s="357" t="s">
        <v>99</v>
      </c>
      <c r="C92" s="172" t="s">
        <v>8</v>
      </c>
      <c r="D92" s="358" t="s">
        <v>2051</v>
      </c>
      <c r="E92" s="336"/>
      <c r="F92" s="331">
        <f t="shared" si="0"/>
        <v>1.0209999999999999</v>
      </c>
      <c r="G92" s="337"/>
      <c r="H92" s="336"/>
      <c r="I92" s="338"/>
      <c r="J92" s="338"/>
      <c r="K92" s="338"/>
      <c r="L92" s="338"/>
      <c r="M92" s="338"/>
      <c r="N92" s="337"/>
      <c r="O92" s="339"/>
      <c r="P92" s="336">
        <f t="shared" si="14"/>
        <v>1.032</v>
      </c>
      <c r="Q92" s="337">
        <f t="shared" si="15"/>
        <v>1.0349999999999999</v>
      </c>
      <c r="R92" s="340">
        <f t="shared" si="1"/>
        <v>1.0905505199999999</v>
      </c>
      <c r="S92" s="324"/>
      <c r="T92" s="324"/>
      <c r="U92" s="324"/>
      <c r="V92" s="324"/>
      <c r="W92" s="324"/>
      <c r="X92" s="324"/>
      <c r="Y92" s="324"/>
      <c r="Z92" s="324"/>
      <c r="AA92" s="324"/>
      <c r="AB92" s="324"/>
      <c r="AC92" s="324"/>
      <c r="AD92" s="324"/>
      <c r="AE92" s="324"/>
      <c r="AF92" s="324"/>
      <c r="AG92" s="324"/>
      <c r="AH92" s="324"/>
      <c r="AI92" s="324"/>
      <c r="AJ92" s="324"/>
      <c r="AK92" s="324"/>
      <c r="AL92" s="324"/>
      <c r="AM92" s="324"/>
      <c r="AN92" s="324"/>
      <c r="AO92" s="324"/>
      <c r="AP92" s="324"/>
      <c r="AQ92" s="324"/>
      <c r="AR92" s="324"/>
      <c r="AS92" s="324"/>
      <c r="AT92" s="324"/>
      <c r="AU92" s="324"/>
      <c r="AV92" s="324"/>
      <c r="AW92" s="324"/>
      <c r="AX92" s="324"/>
      <c r="AY92" s="324"/>
      <c r="AZ92" s="324"/>
      <c r="BA92" s="324"/>
      <c r="BB92" s="324"/>
      <c r="BC92" s="324"/>
      <c r="BD92" s="324"/>
      <c r="BE92" s="324"/>
      <c r="BF92" s="324"/>
      <c r="BG92" s="324"/>
      <c r="BH92" s="324"/>
      <c r="BI92" s="324"/>
      <c r="BJ92" s="324"/>
      <c r="BK92" s="324"/>
      <c r="BL92" s="324"/>
      <c r="BM92" s="324"/>
      <c r="BN92" s="324"/>
      <c r="BO92" s="324"/>
      <c r="BP92" s="324"/>
      <c r="BQ92" s="324"/>
      <c r="BR92" s="324"/>
      <c r="BS92" s="324"/>
      <c r="BT92" s="324"/>
      <c r="BU92" s="324"/>
      <c r="BV92" s="324"/>
      <c r="BW92" s="324"/>
      <c r="BX92" s="324"/>
      <c r="BY92" s="324"/>
      <c r="BZ92" s="324"/>
      <c r="CA92" s="324"/>
      <c r="CB92" s="324"/>
      <c r="CC92" s="324"/>
      <c r="CD92" s="324"/>
      <c r="CE92" s="324"/>
      <c r="CF92" s="324"/>
      <c r="CG92" s="324"/>
      <c r="CH92" s="324"/>
      <c r="CI92" s="324"/>
      <c r="CJ92" s="324"/>
      <c r="CK92" s="324"/>
      <c r="CL92" s="324"/>
      <c r="CM92" s="324"/>
      <c r="CN92" s="324"/>
      <c r="CO92" s="324"/>
      <c r="CP92" s="324"/>
      <c r="CQ92" s="324"/>
      <c r="CR92" s="324"/>
      <c r="CS92" s="324"/>
      <c r="CT92" s="324"/>
      <c r="CU92" s="324"/>
      <c r="CV92" s="324"/>
      <c r="CW92" s="324"/>
      <c r="CX92" s="324"/>
      <c r="CY92" s="324"/>
      <c r="CZ92" s="324"/>
      <c r="DA92" s="324"/>
      <c r="DB92" s="324"/>
      <c r="DC92" s="324"/>
      <c r="DD92" s="324"/>
      <c r="DE92" s="324"/>
      <c r="DF92" s="324"/>
      <c r="DG92" s="324"/>
      <c r="DH92" s="324"/>
      <c r="DI92" s="324"/>
      <c r="DJ92" s="324"/>
      <c r="DK92" s="324"/>
      <c r="DL92" s="324"/>
      <c r="DM92" s="324"/>
      <c r="DN92" s="324"/>
      <c r="DO92" s="324"/>
      <c r="DP92" s="324"/>
      <c r="DQ92" s="324"/>
      <c r="DR92" s="324"/>
      <c r="DS92" s="324"/>
      <c r="DT92" s="324"/>
      <c r="DU92" s="324"/>
      <c r="DV92" s="324"/>
      <c r="DW92" s="324"/>
      <c r="DX92" s="324"/>
      <c r="DY92" s="324"/>
      <c r="DZ92" s="324"/>
      <c r="EA92" s="324"/>
      <c r="EB92" s="324"/>
      <c r="EC92" s="324"/>
      <c r="ED92" s="324"/>
      <c r="EE92" s="324"/>
      <c r="EF92" s="324"/>
      <c r="EG92" s="324"/>
      <c r="EH92" s="324"/>
      <c r="EI92" s="324"/>
      <c r="EJ92" s="324"/>
      <c r="EK92" s="324"/>
      <c r="EL92" s="324"/>
      <c r="EM92" s="324"/>
      <c r="EN92" s="324"/>
      <c r="EO92" s="324"/>
      <c r="EP92" s="324"/>
      <c r="EQ92" s="324"/>
      <c r="ER92" s="324"/>
      <c r="ES92" s="324"/>
      <c r="ET92" s="324"/>
      <c r="EU92" s="324"/>
      <c r="EV92" s="324"/>
      <c r="EW92" s="324"/>
      <c r="EX92" s="324"/>
      <c r="EY92" s="324"/>
      <c r="EZ92" s="324"/>
      <c r="FA92" s="324"/>
      <c r="FB92" s="324"/>
      <c r="FC92" s="324"/>
      <c r="FD92" s="324"/>
      <c r="FE92" s="324"/>
      <c r="FF92" s="324"/>
      <c r="FG92" s="324"/>
      <c r="FH92" s="324"/>
      <c r="FI92" s="324"/>
      <c r="FJ92" s="324"/>
      <c r="FK92" s="324"/>
      <c r="FL92" s="324"/>
      <c r="FM92" s="324"/>
      <c r="FN92" s="324"/>
      <c r="FO92" s="324"/>
      <c r="FP92" s="324"/>
      <c r="FQ92" s="324"/>
      <c r="FR92" s="324"/>
      <c r="FS92" s="324"/>
      <c r="FT92" s="324"/>
      <c r="FU92" s="324"/>
      <c r="FV92" s="324"/>
      <c r="FW92" s="324"/>
      <c r="FX92" s="324"/>
      <c r="FY92" s="324"/>
      <c r="FZ92" s="324"/>
      <c r="GA92" s="324"/>
      <c r="GB92" s="324"/>
      <c r="GC92" s="324"/>
      <c r="GD92" s="324"/>
      <c r="GE92" s="324"/>
      <c r="GF92" s="324"/>
      <c r="GG92" s="324"/>
      <c r="GH92" s="324"/>
      <c r="GI92" s="324"/>
      <c r="GJ92" s="324"/>
      <c r="GK92" s="324"/>
      <c r="GL92" s="324"/>
      <c r="GM92" s="324"/>
      <c r="GN92" s="324"/>
      <c r="GO92" s="324"/>
      <c r="GP92" s="324"/>
      <c r="GQ92" s="324"/>
      <c r="GR92" s="324"/>
      <c r="GS92" s="324"/>
      <c r="GT92" s="324"/>
      <c r="GU92" s="324"/>
      <c r="GV92" s="324"/>
      <c r="GW92" s="324"/>
      <c r="GX92" s="324"/>
      <c r="GY92" s="324"/>
      <c r="GZ92" s="324"/>
      <c r="HA92" s="324"/>
      <c r="HB92" s="324"/>
      <c r="HC92" s="324"/>
      <c r="HD92" s="324"/>
      <c r="HE92" s="324"/>
      <c r="HF92" s="324"/>
      <c r="HG92" s="324"/>
      <c r="HH92" s="324"/>
      <c r="HI92" s="324"/>
      <c r="HJ92" s="324"/>
      <c r="HK92" s="324"/>
      <c r="HL92" s="324"/>
      <c r="HM92" s="324"/>
      <c r="HN92" s="324"/>
      <c r="HO92" s="324"/>
      <c r="HP92" s="324"/>
      <c r="HQ92" s="324"/>
      <c r="HR92" s="324"/>
      <c r="HS92" s="324"/>
      <c r="HT92" s="324"/>
      <c r="HU92" s="324"/>
      <c r="HV92" s="324"/>
      <c r="HW92" s="324"/>
      <c r="HX92" s="324"/>
      <c r="HY92" s="324"/>
      <c r="HZ92" s="324"/>
      <c r="IA92" s="324"/>
      <c r="IB92" s="324"/>
      <c r="IC92" s="324"/>
      <c r="ID92" s="324"/>
      <c r="IE92" s="324"/>
      <c r="IF92" s="324"/>
      <c r="IG92" s="324"/>
      <c r="IH92" s="324"/>
      <c r="II92" s="324"/>
      <c r="IJ92" s="324"/>
      <c r="IK92" s="324"/>
      <c r="IL92" s="324"/>
      <c r="IM92" s="324"/>
    </row>
    <row r="93" spans="1:247" x14ac:dyDescent="0.35">
      <c r="A93" s="356">
        <v>2271</v>
      </c>
      <c r="B93" s="357" t="s">
        <v>100</v>
      </c>
      <c r="C93" s="172" t="s">
        <v>8</v>
      </c>
      <c r="D93" s="358" t="s">
        <v>2053</v>
      </c>
      <c r="E93" s="336"/>
      <c r="F93" s="331">
        <f t="shared" si="0"/>
        <v>1.0209999999999999</v>
      </c>
      <c r="G93" s="337">
        <f t="shared" ref="G93:G107" si="16">+$G$3</f>
        <v>1.0269999999999999</v>
      </c>
      <c r="H93" s="336">
        <f>+$H$3</f>
        <v>1.0029999999999999</v>
      </c>
      <c r="I93" s="338">
        <f>+$I$3</f>
        <v>1.0289999999999999</v>
      </c>
      <c r="J93" s="338">
        <f>+$J$3</f>
        <v>1.0049999999999999</v>
      </c>
      <c r="K93" s="338"/>
      <c r="L93" s="338"/>
      <c r="M93" s="338">
        <f>+$M$3</f>
        <v>1.0029999999999999</v>
      </c>
      <c r="N93" s="337">
        <f t="shared" ref="N93:N107" si="17">+$N$3</f>
        <v>1.0029999999999999</v>
      </c>
      <c r="O93" s="339">
        <f>+$O$3</f>
        <v>1.0209999999999999</v>
      </c>
      <c r="P93" s="336">
        <f t="shared" si="14"/>
        <v>1.032</v>
      </c>
      <c r="Q93" s="337">
        <f t="shared" si="15"/>
        <v>1.0349999999999999</v>
      </c>
      <c r="R93" s="340">
        <f t="shared" si="1"/>
        <v>1.1932356231980656</v>
      </c>
      <c r="S93" s="324"/>
      <c r="T93" s="324"/>
      <c r="U93" s="324"/>
      <c r="V93" s="324"/>
      <c r="W93" s="324"/>
      <c r="X93" s="324"/>
      <c r="Y93" s="324"/>
      <c r="Z93" s="324"/>
      <c r="AA93" s="324"/>
      <c r="AB93" s="324"/>
      <c r="AC93" s="324"/>
      <c r="AD93" s="324"/>
      <c r="AE93" s="324"/>
      <c r="AF93" s="324"/>
      <c r="AG93" s="324"/>
      <c r="AH93" s="324"/>
      <c r="AI93" s="324"/>
      <c r="AJ93" s="324"/>
      <c r="AK93" s="324"/>
      <c r="AL93" s="324"/>
      <c r="AM93" s="324"/>
      <c r="AN93" s="324"/>
      <c r="AO93" s="324"/>
      <c r="AP93" s="324"/>
      <c r="AQ93" s="324"/>
      <c r="AR93" s="324"/>
      <c r="AS93" s="324"/>
      <c r="AT93" s="324"/>
      <c r="AU93" s="324"/>
      <c r="AV93" s="324"/>
      <c r="AW93" s="324"/>
      <c r="AX93" s="324"/>
      <c r="AY93" s="324"/>
      <c r="AZ93" s="324"/>
      <c r="BA93" s="324"/>
      <c r="BB93" s="324"/>
      <c r="BC93" s="324"/>
      <c r="BD93" s="324"/>
      <c r="BE93" s="324"/>
      <c r="BF93" s="324"/>
      <c r="BG93" s="324"/>
      <c r="BH93" s="324"/>
      <c r="BI93" s="324"/>
      <c r="BJ93" s="324"/>
      <c r="BK93" s="324"/>
      <c r="BL93" s="324"/>
      <c r="BM93" s="324"/>
      <c r="BN93" s="324"/>
      <c r="BO93" s="324"/>
      <c r="BP93" s="324"/>
      <c r="BQ93" s="324"/>
      <c r="BR93" s="324"/>
      <c r="BS93" s="324"/>
      <c r="BT93" s="324"/>
      <c r="BU93" s="324"/>
      <c r="BV93" s="324"/>
      <c r="BW93" s="324"/>
      <c r="BX93" s="324"/>
      <c r="BY93" s="324"/>
      <c r="BZ93" s="324"/>
      <c r="CA93" s="324"/>
      <c r="CB93" s="324"/>
      <c r="CC93" s="324"/>
      <c r="CD93" s="324"/>
      <c r="CE93" s="324"/>
      <c r="CF93" s="324"/>
      <c r="CG93" s="324"/>
      <c r="CH93" s="324"/>
      <c r="CI93" s="324"/>
      <c r="CJ93" s="324"/>
      <c r="CK93" s="324"/>
      <c r="CL93" s="324"/>
      <c r="CM93" s="324"/>
      <c r="CN93" s="324"/>
      <c r="CO93" s="324"/>
      <c r="CP93" s="324"/>
      <c r="CQ93" s="324"/>
      <c r="CR93" s="324"/>
      <c r="CS93" s="324"/>
      <c r="CT93" s="324"/>
      <c r="CU93" s="324"/>
      <c r="CV93" s="324"/>
      <c r="CW93" s="324"/>
      <c r="CX93" s="324"/>
      <c r="CY93" s="324"/>
      <c r="CZ93" s="324"/>
      <c r="DA93" s="324"/>
      <c r="DB93" s="324"/>
      <c r="DC93" s="324"/>
      <c r="DD93" s="324"/>
      <c r="DE93" s="324"/>
      <c r="DF93" s="324"/>
      <c r="DG93" s="324"/>
      <c r="DH93" s="324"/>
      <c r="DI93" s="324"/>
      <c r="DJ93" s="324"/>
      <c r="DK93" s="324"/>
      <c r="DL93" s="324"/>
      <c r="DM93" s="324"/>
      <c r="DN93" s="324"/>
      <c r="DO93" s="324"/>
      <c r="DP93" s="324"/>
      <c r="DQ93" s="324"/>
      <c r="DR93" s="324"/>
      <c r="DS93" s="324"/>
      <c r="DT93" s="324"/>
      <c r="DU93" s="324"/>
      <c r="DV93" s="324"/>
      <c r="DW93" s="324"/>
      <c r="DX93" s="324"/>
      <c r="DY93" s="324"/>
      <c r="DZ93" s="324"/>
      <c r="EA93" s="324"/>
      <c r="EB93" s="324"/>
      <c r="EC93" s="324"/>
      <c r="ED93" s="324"/>
      <c r="EE93" s="324"/>
      <c r="EF93" s="324"/>
      <c r="EG93" s="324"/>
      <c r="EH93" s="324"/>
      <c r="EI93" s="324"/>
      <c r="EJ93" s="324"/>
      <c r="EK93" s="324"/>
      <c r="EL93" s="324"/>
      <c r="EM93" s="324"/>
      <c r="EN93" s="324"/>
      <c r="EO93" s="324"/>
      <c r="EP93" s="324"/>
      <c r="EQ93" s="324"/>
      <c r="ER93" s="324"/>
      <c r="ES93" s="324"/>
      <c r="ET93" s="324"/>
      <c r="EU93" s="324"/>
      <c r="EV93" s="324"/>
      <c r="EW93" s="324"/>
      <c r="EX93" s="324"/>
      <c r="EY93" s="324"/>
      <c r="EZ93" s="324"/>
      <c r="FA93" s="324"/>
      <c r="FB93" s="324"/>
      <c r="FC93" s="324"/>
      <c r="FD93" s="324"/>
      <c r="FE93" s="324"/>
      <c r="FF93" s="324"/>
      <c r="FG93" s="324"/>
      <c r="FH93" s="324"/>
      <c r="FI93" s="324"/>
      <c r="FJ93" s="324"/>
      <c r="FK93" s="324"/>
      <c r="FL93" s="324"/>
      <c r="FM93" s="324"/>
      <c r="FN93" s="324"/>
      <c r="FO93" s="324"/>
      <c r="FP93" s="324"/>
      <c r="FQ93" s="324"/>
      <c r="FR93" s="324"/>
      <c r="FS93" s="324"/>
      <c r="FT93" s="324"/>
      <c r="FU93" s="324"/>
      <c r="FV93" s="324"/>
      <c r="FW93" s="324"/>
      <c r="FX93" s="324"/>
      <c r="FY93" s="324"/>
      <c r="FZ93" s="324"/>
      <c r="GA93" s="324"/>
      <c r="GB93" s="324"/>
      <c r="GC93" s="324"/>
      <c r="GD93" s="324"/>
      <c r="GE93" s="324"/>
      <c r="GF93" s="324"/>
      <c r="GG93" s="324"/>
      <c r="GH93" s="324"/>
      <c r="GI93" s="324"/>
      <c r="GJ93" s="324"/>
      <c r="GK93" s="324"/>
      <c r="GL93" s="324"/>
      <c r="GM93" s="324"/>
      <c r="GN93" s="324"/>
      <c r="GO93" s="324"/>
      <c r="GP93" s="324"/>
      <c r="GQ93" s="324"/>
      <c r="GR93" s="324"/>
      <c r="GS93" s="324"/>
      <c r="GT93" s="324"/>
      <c r="GU93" s="324"/>
      <c r="GV93" s="324"/>
      <c r="GW93" s="324"/>
      <c r="GX93" s="324"/>
      <c r="GY93" s="324"/>
      <c r="GZ93" s="324"/>
      <c r="HA93" s="324"/>
      <c r="HB93" s="324"/>
      <c r="HC93" s="324"/>
      <c r="HD93" s="324"/>
      <c r="HE93" s="324"/>
      <c r="HF93" s="324"/>
      <c r="HG93" s="324"/>
      <c r="HH93" s="324"/>
      <c r="HI93" s="324"/>
      <c r="HJ93" s="324"/>
      <c r="HK93" s="324"/>
      <c r="HL93" s="324"/>
      <c r="HM93" s="324"/>
      <c r="HN93" s="324"/>
      <c r="HO93" s="324"/>
      <c r="HP93" s="324"/>
      <c r="HQ93" s="324"/>
      <c r="HR93" s="324"/>
      <c r="HS93" s="324"/>
      <c r="HT93" s="324"/>
      <c r="HU93" s="324"/>
      <c r="HV93" s="324"/>
      <c r="HW93" s="324"/>
      <c r="HX93" s="324"/>
      <c r="HY93" s="324"/>
      <c r="HZ93" s="324"/>
      <c r="IA93" s="324"/>
      <c r="IB93" s="324"/>
      <c r="IC93" s="324"/>
      <c r="ID93" s="324"/>
      <c r="IE93" s="324"/>
      <c r="IF93" s="324"/>
      <c r="IG93" s="324"/>
      <c r="IH93" s="324"/>
      <c r="II93" s="324"/>
      <c r="IJ93" s="324"/>
      <c r="IK93" s="324"/>
      <c r="IL93" s="324"/>
      <c r="IM93" s="324"/>
    </row>
    <row r="94" spans="1:247" x14ac:dyDescent="0.35">
      <c r="A94" s="356">
        <v>2281</v>
      </c>
      <c r="B94" s="357" t="s">
        <v>101</v>
      </c>
      <c r="C94" s="172" t="s">
        <v>8</v>
      </c>
      <c r="D94" s="358" t="s">
        <v>2053</v>
      </c>
      <c r="E94" s="336"/>
      <c r="F94" s="331">
        <f t="shared" si="0"/>
        <v>1.0209999999999999</v>
      </c>
      <c r="G94" s="337">
        <f t="shared" si="16"/>
        <v>1.0269999999999999</v>
      </c>
      <c r="H94" s="336">
        <f>+$H$3</f>
        <v>1.0029999999999999</v>
      </c>
      <c r="I94" s="338">
        <f>+$I$3</f>
        <v>1.0289999999999999</v>
      </c>
      <c r="J94" s="338">
        <f>+$J$3</f>
        <v>1.0049999999999999</v>
      </c>
      <c r="K94" s="338"/>
      <c r="L94" s="338"/>
      <c r="M94" s="338">
        <f>+$M$3</f>
        <v>1.0029999999999999</v>
      </c>
      <c r="N94" s="337">
        <f t="shared" si="17"/>
        <v>1.0029999999999999</v>
      </c>
      <c r="O94" s="339">
        <f>+$O$3</f>
        <v>1.0209999999999999</v>
      </c>
      <c r="P94" s="336">
        <f t="shared" si="14"/>
        <v>1.032</v>
      </c>
      <c r="Q94" s="337">
        <f t="shared" si="15"/>
        <v>1.0349999999999999</v>
      </c>
      <c r="R94" s="340">
        <f>PRODUCT(E94:Q94)</f>
        <v>1.1932356231980656</v>
      </c>
      <c r="S94" s="324"/>
      <c r="T94" s="324"/>
      <c r="U94" s="324"/>
      <c r="V94" s="324"/>
      <c r="W94" s="324"/>
      <c r="X94" s="324"/>
      <c r="Y94" s="324"/>
      <c r="Z94" s="324"/>
      <c r="AA94" s="324"/>
      <c r="AB94" s="324"/>
      <c r="AC94" s="324"/>
      <c r="AD94" s="324"/>
      <c r="AE94" s="324"/>
      <c r="AF94" s="324"/>
      <c r="AG94" s="324"/>
      <c r="AH94" s="324"/>
      <c r="AI94" s="324"/>
      <c r="AJ94" s="324"/>
      <c r="AK94" s="324"/>
      <c r="AL94" s="324"/>
      <c r="AM94" s="324"/>
      <c r="AN94" s="324"/>
      <c r="AO94" s="324"/>
      <c r="AP94" s="324"/>
      <c r="AQ94" s="324"/>
      <c r="AR94" s="324"/>
      <c r="AS94" s="324"/>
      <c r="AT94" s="324"/>
      <c r="AU94" s="324"/>
      <c r="AV94" s="324"/>
      <c r="AW94" s="324"/>
      <c r="AX94" s="324"/>
      <c r="AY94" s="324"/>
      <c r="AZ94" s="324"/>
      <c r="BA94" s="324"/>
      <c r="BB94" s="324"/>
      <c r="BC94" s="324"/>
      <c r="BD94" s="324"/>
      <c r="BE94" s="324"/>
      <c r="BF94" s="324"/>
      <c r="BG94" s="324"/>
      <c r="BH94" s="324"/>
      <c r="BI94" s="324"/>
      <c r="BJ94" s="324"/>
      <c r="BK94" s="324"/>
      <c r="BL94" s="324"/>
      <c r="BM94" s="324"/>
      <c r="BN94" s="324"/>
      <c r="BO94" s="324"/>
      <c r="BP94" s="324"/>
      <c r="BQ94" s="324"/>
      <c r="BR94" s="324"/>
      <c r="BS94" s="324"/>
      <c r="BT94" s="324"/>
      <c r="BU94" s="324"/>
      <c r="BV94" s="324"/>
      <c r="BW94" s="324"/>
      <c r="BX94" s="324"/>
      <c r="BY94" s="324"/>
      <c r="BZ94" s="324"/>
      <c r="CA94" s="324"/>
      <c r="CB94" s="324"/>
      <c r="CC94" s="324"/>
      <c r="CD94" s="324"/>
      <c r="CE94" s="324"/>
      <c r="CF94" s="324"/>
      <c r="CG94" s="324"/>
      <c r="CH94" s="324"/>
      <c r="CI94" s="324"/>
      <c r="CJ94" s="324"/>
      <c r="CK94" s="324"/>
      <c r="CL94" s="324"/>
      <c r="CM94" s="324"/>
      <c r="CN94" s="324"/>
      <c r="CO94" s="324"/>
      <c r="CP94" s="324"/>
      <c r="CQ94" s="324"/>
      <c r="CR94" s="324"/>
      <c r="CS94" s="324"/>
      <c r="CT94" s="324"/>
      <c r="CU94" s="324"/>
      <c r="CV94" s="324"/>
      <c r="CW94" s="324"/>
      <c r="CX94" s="324"/>
      <c r="CY94" s="324"/>
      <c r="CZ94" s="324"/>
      <c r="DA94" s="324"/>
      <c r="DB94" s="324"/>
      <c r="DC94" s="324"/>
      <c r="DD94" s="324"/>
      <c r="DE94" s="324"/>
      <c r="DF94" s="324"/>
      <c r="DG94" s="324"/>
      <c r="DH94" s="324"/>
      <c r="DI94" s="324"/>
      <c r="DJ94" s="324"/>
      <c r="DK94" s="324"/>
      <c r="DL94" s="324"/>
      <c r="DM94" s="324"/>
      <c r="DN94" s="324"/>
      <c r="DO94" s="324"/>
      <c r="DP94" s="324"/>
      <c r="DQ94" s="324"/>
      <c r="DR94" s="324"/>
      <c r="DS94" s="324"/>
      <c r="DT94" s="324"/>
      <c r="DU94" s="324"/>
      <c r="DV94" s="324"/>
      <c r="DW94" s="324"/>
      <c r="DX94" s="324"/>
      <c r="DY94" s="324"/>
      <c r="DZ94" s="324"/>
      <c r="EA94" s="324"/>
      <c r="EB94" s="324"/>
      <c r="EC94" s="324"/>
      <c r="ED94" s="324"/>
      <c r="EE94" s="324"/>
      <c r="EF94" s="324"/>
      <c r="EG94" s="324"/>
      <c r="EH94" s="324"/>
      <c r="EI94" s="324"/>
      <c r="EJ94" s="324"/>
      <c r="EK94" s="324"/>
      <c r="EL94" s="324"/>
      <c r="EM94" s="324"/>
      <c r="EN94" s="324"/>
      <c r="EO94" s="324"/>
      <c r="EP94" s="324"/>
      <c r="EQ94" s="324"/>
      <c r="ER94" s="324"/>
      <c r="ES94" s="324"/>
      <c r="ET94" s="324"/>
      <c r="EU94" s="324"/>
      <c r="EV94" s="324"/>
      <c r="EW94" s="324"/>
      <c r="EX94" s="324"/>
      <c r="EY94" s="324"/>
      <c r="EZ94" s="324"/>
      <c r="FA94" s="324"/>
      <c r="FB94" s="324"/>
      <c r="FC94" s="324"/>
      <c r="FD94" s="324"/>
      <c r="FE94" s="324"/>
      <c r="FF94" s="324"/>
      <c r="FG94" s="324"/>
      <c r="FH94" s="324"/>
      <c r="FI94" s="324"/>
      <c r="FJ94" s="324"/>
      <c r="FK94" s="324"/>
      <c r="FL94" s="324"/>
      <c r="FM94" s="324"/>
      <c r="FN94" s="324"/>
      <c r="FO94" s="324"/>
      <c r="FP94" s="324"/>
      <c r="FQ94" s="324"/>
      <c r="FR94" s="324"/>
      <c r="FS94" s="324"/>
      <c r="FT94" s="324"/>
      <c r="FU94" s="324"/>
      <c r="FV94" s="324"/>
      <c r="FW94" s="324"/>
      <c r="FX94" s="324"/>
      <c r="FY94" s="324"/>
      <c r="FZ94" s="324"/>
      <c r="GA94" s="324"/>
      <c r="GB94" s="324"/>
      <c r="GC94" s="324"/>
      <c r="GD94" s="324"/>
      <c r="GE94" s="324"/>
      <c r="GF94" s="324"/>
      <c r="GG94" s="324"/>
      <c r="GH94" s="324"/>
      <c r="GI94" s="324"/>
      <c r="GJ94" s="324"/>
      <c r="GK94" s="324"/>
      <c r="GL94" s="324"/>
      <c r="GM94" s="324"/>
      <c r="GN94" s="324"/>
      <c r="GO94" s="324"/>
      <c r="GP94" s="324"/>
      <c r="GQ94" s="324"/>
      <c r="GR94" s="324"/>
      <c r="GS94" s="324"/>
      <c r="GT94" s="324"/>
      <c r="GU94" s="324"/>
      <c r="GV94" s="324"/>
      <c r="GW94" s="324"/>
      <c r="GX94" s="324"/>
      <c r="GY94" s="324"/>
      <c r="GZ94" s="324"/>
      <c r="HA94" s="324"/>
      <c r="HB94" s="324"/>
      <c r="HC94" s="324"/>
      <c r="HD94" s="324"/>
      <c r="HE94" s="324"/>
      <c r="HF94" s="324"/>
      <c r="HG94" s="324"/>
      <c r="HH94" s="324"/>
      <c r="HI94" s="324"/>
      <c r="HJ94" s="324"/>
      <c r="HK94" s="324"/>
      <c r="HL94" s="324"/>
      <c r="HM94" s="324"/>
      <c r="HN94" s="324"/>
      <c r="HO94" s="324"/>
      <c r="HP94" s="324"/>
      <c r="HQ94" s="324"/>
      <c r="HR94" s="324"/>
      <c r="HS94" s="324"/>
      <c r="HT94" s="324"/>
      <c r="HU94" s="324"/>
      <c r="HV94" s="324"/>
      <c r="HW94" s="324"/>
      <c r="HX94" s="324"/>
      <c r="HY94" s="324"/>
      <c r="HZ94" s="324"/>
      <c r="IA94" s="324"/>
      <c r="IB94" s="324"/>
      <c r="IC94" s="324"/>
      <c r="ID94" s="324"/>
      <c r="IE94" s="324"/>
      <c r="IF94" s="324"/>
      <c r="IG94" s="324"/>
      <c r="IH94" s="324"/>
      <c r="II94" s="324"/>
      <c r="IJ94" s="324"/>
      <c r="IK94" s="324"/>
      <c r="IL94" s="324"/>
      <c r="IM94" s="324"/>
    </row>
    <row r="95" spans="1:247" x14ac:dyDescent="0.35">
      <c r="A95" s="356">
        <v>2291</v>
      </c>
      <c r="B95" s="357" t="s">
        <v>102</v>
      </c>
      <c r="C95" s="172" t="s">
        <v>10</v>
      </c>
      <c r="D95" s="358" t="s">
        <v>2051</v>
      </c>
      <c r="E95" s="336"/>
      <c r="F95" s="331">
        <f t="shared" si="0"/>
        <v>1.0209999999999999</v>
      </c>
      <c r="G95" s="337">
        <f t="shared" si="16"/>
        <v>1.0269999999999999</v>
      </c>
      <c r="H95" s="336"/>
      <c r="I95" s="338"/>
      <c r="J95" s="338"/>
      <c r="K95" s="338"/>
      <c r="L95" s="338"/>
      <c r="M95" s="338"/>
      <c r="N95" s="337">
        <f t="shared" si="17"/>
        <v>1.0029999999999999</v>
      </c>
      <c r="O95" s="339"/>
      <c r="P95" s="336">
        <f t="shared" si="14"/>
        <v>1.032</v>
      </c>
      <c r="Q95" s="337">
        <f t="shared" si="15"/>
        <v>1.0349999999999999</v>
      </c>
      <c r="R95" s="340">
        <f t="shared" si="1"/>
        <v>1.1233553701921195</v>
      </c>
      <c r="S95" s="324"/>
      <c r="T95" s="324"/>
      <c r="U95" s="324"/>
      <c r="V95" s="324"/>
      <c r="W95" s="324"/>
      <c r="X95" s="324"/>
      <c r="Y95" s="324"/>
      <c r="Z95" s="324"/>
      <c r="AA95" s="324"/>
      <c r="AB95" s="324"/>
      <c r="AC95" s="324"/>
      <c r="AD95" s="324"/>
      <c r="AE95" s="324"/>
      <c r="AF95" s="324"/>
      <c r="AG95" s="324"/>
      <c r="AH95" s="324"/>
      <c r="AI95" s="324"/>
      <c r="AJ95" s="324"/>
      <c r="AK95" s="324"/>
      <c r="AL95" s="324"/>
      <c r="AM95" s="324"/>
      <c r="AN95" s="324"/>
      <c r="AO95" s="324"/>
      <c r="AP95" s="324"/>
      <c r="AQ95" s="324"/>
      <c r="AR95" s="324"/>
      <c r="AS95" s="324"/>
      <c r="AT95" s="324"/>
      <c r="AU95" s="324"/>
      <c r="AV95" s="324"/>
      <c r="AW95" s="324"/>
      <c r="AX95" s="324"/>
      <c r="AY95" s="324"/>
      <c r="AZ95" s="324"/>
      <c r="BA95" s="324"/>
      <c r="BB95" s="324"/>
      <c r="BC95" s="324"/>
      <c r="BD95" s="324"/>
      <c r="BE95" s="324"/>
      <c r="BF95" s="324"/>
      <c r="BG95" s="324"/>
      <c r="BH95" s="324"/>
      <c r="BI95" s="324"/>
      <c r="BJ95" s="324"/>
      <c r="BK95" s="324"/>
      <c r="BL95" s="324"/>
      <c r="BM95" s="324"/>
      <c r="BN95" s="324"/>
      <c r="BO95" s="324"/>
      <c r="BP95" s="324"/>
      <c r="BQ95" s="324"/>
      <c r="BR95" s="324"/>
      <c r="BS95" s="324"/>
      <c r="BT95" s="324"/>
      <c r="BU95" s="324"/>
      <c r="BV95" s="324"/>
      <c r="BW95" s="324"/>
      <c r="BX95" s="324"/>
      <c r="BY95" s="324"/>
      <c r="BZ95" s="324"/>
      <c r="CA95" s="324"/>
      <c r="CB95" s="324"/>
      <c r="CC95" s="324"/>
      <c r="CD95" s="324"/>
      <c r="CE95" s="324"/>
      <c r="CF95" s="324"/>
      <c r="CG95" s="324"/>
      <c r="CH95" s="324"/>
      <c r="CI95" s="324"/>
      <c r="CJ95" s="324"/>
      <c r="CK95" s="324"/>
      <c r="CL95" s="324"/>
      <c r="CM95" s="324"/>
      <c r="CN95" s="324"/>
      <c r="CO95" s="324"/>
      <c r="CP95" s="324"/>
      <c r="CQ95" s="324"/>
      <c r="CR95" s="324"/>
      <c r="CS95" s="324"/>
      <c r="CT95" s="324"/>
      <c r="CU95" s="324"/>
      <c r="CV95" s="324"/>
      <c r="CW95" s="324"/>
      <c r="CX95" s="324"/>
      <c r="CY95" s="324"/>
      <c r="CZ95" s="324"/>
      <c r="DA95" s="324"/>
      <c r="DB95" s="324"/>
      <c r="DC95" s="324"/>
      <c r="DD95" s="324"/>
      <c r="DE95" s="324"/>
      <c r="DF95" s="324"/>
      <c r="DG95" s="324"/>
      <c r="DH95" s="324"/>
      <c r="DI95" s="324"/>
      <c r="DJ95" s="324"/>
      <c r="DK95" s="324"/>
      <c r="DL95" s="324"/>
      <c r="DM95" s="324"/>
      <c r="DN95" s="324"/>
      <c r="DO95" s="324"/>
      <c r="DP95" s="324"/>
      <c r="DQ95" s="324"/>
      <c r="DR95" s="324"/>
      <c r="DS95" s="324"/>
      <c r="DT95" s="324"/>
      <c r="DU95" s="324"/>
      <c r="DV95" s="324"/>
      <c r="DW95" s="324"/>
      <c r="DX95" s="324"/>
      <c r="DY95" s="324"/>
      <c r="DZ95" s="324"/>
      <c r="EA95" s="324"/>
      <c r="EB95" s="324"/>
      <c r="EC95" s="324"/>
      <c r="ED95" s="324"/>
      <c r="EE95" s="324"/>
      <c r="EF95" s="324"/>
      <c r="EG95" s="324"/>
      <c r="EH95" s="324"/>
      <c r="EI95" s="324"/>
      <c r="EJ95" s="324"/>
      <c r="EK95" s="324"/>
      <c r="EL95" s="324"/>
      <c r="EM95" s="324"/>
      <c r="EN95" s="324"/>
      <c r="EO95" s="324"/>
      <c r="EP95" s="324"/>
      <c r="EQ95" s="324"/>
      <c r="ER95" s="324"/>
      <c r="ES95" s="324"/>
      <c r="ET95" s="324"/>
      <c r="EU95" s="324"/>
      <c r="EV95" s="324"/>
      <c r="EW95" s="324"/>
      <c r="EX95" s="324"/>
      <c r="EY95" s="324"/>
      <c r="EZ95" s="324"/>
      <c r="FA95" s="324"/>
      <c r="FB95" s="324"/>
      <c r="FC95" s="324"/>
      <c r="FD95" s="324"/>
      <c r="FE95" s="324"/>
      <c r="FF95" s="324"/>
      <c r="FG95" s="324"/>
      <c r="FH95" s="324"/>
      <c r="FI95" s="324"/>
      <c r="FJ95" s="324"/>
      <c r="FK95" s="324"/>
      <c r="FL95" s="324"/>
      <c r="FM95" s="324"/>
      <c r="FN95" s="324"/>
      <c r="FO95" s="324"/>
      <c r="FP95" s="324"/>
      <c r="FQ95" s="324"/>
      <c r="FR95" s="324"/>
      <c r="FS95" s="324"/>
      <c r="FT95" s="324"/>
      <c r="FU95" s="324"/>
      <c r="FV95" s="324"/>
      <c r="FW95" s="324"/>
      <c r="FX95" s="324"/>
      <c r="FY95" s="324"/>
      <c r="FZ95" s="324"/>
      <c r="GA95" s="324"/>
      <c r="GB95" s="324"/>
      <c r="GC95" s="324"/>
      <c r="GD95" s="324"/>
      <c r="GE95" s="324"/>
      <c r="GF95" s="324"/>
      <c r="GG95" s="324"/>
      <c r="GH95" s="324"/>
      <c r="GI95" s="324"/>
      <c r="GJ95" s="324"/>
      <c r="GK95" s="324"/>
      <c r="GL95" s="324"/>
      <c r="GM95" s="324"/>
      <c r="GN95" s="324"/>
      <c r="GO95" s="324"/>
      <c r="GP95" s="324"/>
      <c r="GQ95" s="324"/>
      <c r="GR95" s="324"/>
      <c r="GS95" s="324"/>
      <c r="GT95" s="324"/>
      <c r="GU95" s="324"/>
      <c r="GV95" s="324"/>
      <c r="GW95" s="324"/>
      <c r="GX95" s="324"/>
      <c r="GY95" s="324"/>
      <c r="GZ95" s="324"/>
      <c r="HA95" s="324"/>
      <c r="HB95" s="324"/>
      <c r="HC95" s="324"/>
      <c r="HD95" s="324"/>
      <c r="HE95" s="324"/>
      <c r="HF95" s="324"/>
      <c r="HG95" s="324"/>
      <c r="HH95" s="324"/>
      <c r="HI95" s="324"/>
      <c r="HJ95" s="324"/>
      <c r="HK95" s="324"/>
      <c r="HL95" s="324"/>
      <c r="HM95" s="324"/>
      <c r="HN95" s="324"/>
      <c r="HO95" s="324"/>
      <c r="HP95" s="324"/>
      <c r="HQ95" s="324"/>
      <c r="HR95" s="324"/>
      <c r="HS95" s="324"/>
      <c r="HT95" s="324"/>
      <c r="HU95" s="324"/>
      <c r="HV95" s="324"/>
      <c r="HW95" s="324"/>
      <c r="HX95" s="324"/>
      <c r="HY95" s="324"/>
      <c r="HZ95" s="324"/>
      <c r="IA95" s="324"/>
      <c r="IB95" s="324"/>
      <c r="IC95" s="324"/>
      <c r="ID95" s="324"/>
      <c r="IE95" s="324"/>
      <c r="IF95" s="324"/>
      <c r="IG95" s="324"/>
      <c r="IH95" s="324"/>
      <c r="II95" s="324"/>
      <c r="IJ95" s="324"/>
      <c r="IK95" s="324"/>
      <c r="IL95" s="324"/>
      <c r="IM95" s="324"/>
    </row>
    <row r="96" spans="1:247" x14ac:dyDescent="0.35">
      <c r="A96" s="356">
        <v>3101</v>
      </c>
      <c r="B96" s="357" t="s">
        <v>103</v>
      </c>
      <c r="C96" s="172" t="s">
        <v>8</v>
      </c>
      <c r="D96" s="358" t="s">
        <v>2053</v>
      </c>
      <c r="E96" s="336">
        <f t="shared" ref="E96:E107" si="18">+$E$3</f>
        <v>1.0740000000000001</v>
      </c>
      <c r="F96" s="331">
        <f t="shared" si="0"/>
        <v>1.0209999999999999</v>
      </c>
      <c r="G96" s="337">
        <f t="shared" si="16"/>
        <v>1.0269999999999999</v>
      </c>
      <c r="H96" s="336">
        <f t="shared" ref="H96:H107" si="19">+$H$3</f>
        <v>1.0029999999999999</v>
      </c>
      <c r="I96" s="338">
        <f t="shared" ref="I96:I107" si="20">+$I$3</f>
        <v>1.0289999999999999</v>
      </c>
      <c r="J96" s="338">
        <f t="shared" ref="J96:J107" si="21">+$J$3</f>
        <v>1.0049999999999999</v>
      </c>
      <c r="K96" s="338">
        <f t="shared" ref="K96:K107" si="22">+$K$3</f>
        <v>1.026</v>
      </c>
      <c r="L96" s="338">
        <f t="shared" ref="L96:L107" si="23">+$L$3</f>
        <v>1.0129999999999999</v>
      </c>
      <c r="M96" s="338">
        <f t="shared" ref="M96:M107" si="24">+$M$3</f>
        <v>1.0029999999999999</v>
      </c>
      <c r="N96" s="337">
        <f t="shared" si="17"/>
        <v>1.0029999999999999</v>
      </c>
      <c r="O96" s="339">
        <f t="shared" ref="O96:O107" si="25">+$O$3</f>
        <v>1.0209999999999999</v>
      </c>
      <c r="P96" s="336">
        <f t="shared" si="14"/>
        <v>1.032</v>
      </c>
      <c r="Q96" s="337">
        <f t="shared" si="15"/>
        <v>1.0349999999999999</v>
      </c>
      <c r="R96" s="340">
        <f t="shared" si="1"/>
        <v>1.3319480854780448</v>
      </c>
      <c r="S96" s="324"/>
      <c r="T96" s="324"/>
      <c r="U96" s="324"/>
      <c r="V96" s="324"/>
      <c r="W96" s="324"/>
      <c r="X96" s="324"/>
      <c r="Y96" s="324"/>
      <c r="Z96" s="324"/>
      <c r="AA96" s="324"/>
      <c r="AB96" s="324"/>
      <c r="AC96" s="324"/>
      <c r="AD96" s="324"/>
      <c r="AE96" s="324"/>
      <c r="AF96" s="324"/>
      <c r="AG96" s="324"/>
      <c r="AH96" s="324"/>
      <c r="AI96" s="324"/>
      <c r="AJ96" s="324"/>
      <c r="AK96" s="324"/>
      <c r="AL96" s="324"/>
      <c r="AM96" s="324"/>
      <c r="AN96" s="324"/>
      <c r="AO96" s="324"/>
      <c r="AP96" s="324"/>
      <c r="AQ96" s="324"/>
      <c r="AR96" s="324"/>
      <c r="AS96" s="324"/>
      <c r="AT96" s="324"/>
      <c r="AU96" s="324"/>
      <c r="AV96" s="324"/>
      <c r="AW96" s="324"/>
      <c r="AX96" s="324"/>
      <c r="AY96" s="324"/>
      <c r="AZ96" s="324"/>
      <c r="BA96" s="324"/>
      <c r="BB96" s="324"/>
      <c r="BC96" s="324"/>
      <c r="BD96" s="324"/>
      <c r="BE96" s="324"/>
      <c r="BF96" s="324"/>
      <c r="BG96" s="324"/>
      <c r="BH96" s="324"/>
      <c r="BI96" s="324"/>
      <c r="BJ96" s="324"/>
      <c r="BK96" s="324"/>
      <c r="BL96" s="324"/>
      <c r="BM96" s="324"/>
      <c r="BN96" s="324"/>
      <c r="BO96" s="324"/>
      <c r="BP96" s="324"/>
      <c r="BQ96" s="324"/>
      <c r="BR96" s="324"/>
      <c r="BS96" s="324"/>
      <c r="BT96" s="324"/>
      <c r="BU96" s="324"/>
      <c r="BV96" s="324"/>
      <c r="BW96" s="324"/>
      <c r="BX96" s="324"/>
      <c r="BY96" s="324"/>
      <c r="BZ96" s="324"/>
      <c r="CA96" s="324"/>
      <c r="CB96" s="324"/>
      <c r="CC96" s="324"/>
      <c r="CD96" s="324"/>
      <c r="CE96" s="324"/>
      <c r="CF96" s="324"/>
      <c r="CG96" s="324"/>
      <c r="CH96" s="324"/>
      <c r="CI96" s="324"/>
      <c r="CJ96" s="324"/>
      <c r="CK96" s="324"/>
      <c r="CL96" s="324"/>
      <c r="CM96" s="324"/>
      <c r="CN96" s="324"/>
      <c r="CO96" s="324"/>
      <c r="CP96" s="324"/>
      <c r="CQ96" s="324"/>
      <c r="CR96" s="324"/>
      <c r="CS96" s="324"/>
      <c r="CT96" s="324"/>
      <c r="CU96" s="324"/>
      <c r="CV96" s="324"/>
      <c r="CW96" s="324"/>
      <c r="CX96" s="324"/>
      <c r="CY96" s="324"/>
      <c r="CZ96" s="324"/>
      <c r="DA96" s="324"/>
      <c r="DB96" s="324"/>
      <c r="DC96" s="324"/>
      <c r="DD96" s="324"/>
      <c r="DE96" s="324"/>
      <c r="DF96" s="324"/>
      <c r="DG96" s="324"/>
      <c r="DH96" s="324"/>
      <c r="DI96" s="324"/>
      <c r="DJ96" s="324"/>
      <c r="DK96" s="324"/>
      <c r="DL96" s="324"/>
      <c r="DM96" s="324"/>
      <c r="DN96" s="324"/>
      <c r="DO96" s="324"/>
      <c r="DP96" s="324"/>
      <c r="DQ96" s="324"/>
      <c r="DR96" s="324"/>
      <c r="DS96" s="324"/>
      <c r="DT96" s="324"/>
      <c r="DU96" s="324"/>
      <c r="DV96" s="324"/>
      <c r="DW96" s="324"/>
      <c r="DX96" s="324"/>
      <c r="DY96" s="324"/>
      <c r="DZ96" s="324"/>
      <c r="EA96" s="324"/>
      <c r="EB96" s="324"/>
      <c r="EC96" s="324"/>
      <c r="ED96" s="324"/>
      <c r="EE96" s="324"/>
      <c r="EF96" s="324"/>
      <c r="EG96" s="324"/>
      <c r="EH96" s="324"/>
      <c r="EI96" s="324"/>
      <c r="EJ96" s="324"/>
      <c r="EK96" s="324"/>
      <c r="EL96" s="324"/>
      <c r="EM96" s="324"/>
      <c r="EN96" s="324"/>
      <c r="EO96" s="324"/>
      <c r="EP96" s="324"/>
      <c r="EQ96" s="324"/>
      <c r="ER96" s="324"/>
      <c r="ES96" s="324"/>
      <c r="ET96" s="324"/>
      <c r="EU96" s="324"/>
      <c r="EV96" s="324"/>
      <c r="EW96" s="324"/>
      <c r="EX96" s="324"/>
      <c r="EY96" s="324"/>
      <c r="EZ96" s="324"/>
      <c r="FA96" s="324"/>
      <c r="FB96" s="324"/>
      <c r="FC96" s="324"/>
      <c r="FD96" s="324"/>
      <c r="FE96" s="324"/>
      <c r="FF96" s="324"/>
      <c r="FG96" s="324"/>
      <c r="FH96" s="324"/>
      <c r="FI96" s="324"/>
      <c r="FJ96" s="324"/>
      <c r="FK96" s="324"/>
      <c r="FL96" s="324"/>
      <c r="FM96" s="324"/>
      <c r="FN96" s="324"/>
      <c r="FO96" s="324"/>
      <c r="FP96" s="324"/>
      <c r="FQ96" s="324"/>
      <c r="FR96" s="324"/>
      <c r="FS96" s="324"/>
      <c r="FT96" s="324"/>
      <c r="FU96" s="324"/>
      <c r="FV96" s="324"/>
      <c r="FW96" s="324"/>
      <c r="FX96" s="324"/>
      <c r="FY96" s="324"/>
      <c r="FZ96" s="324"/>
      <c r="GA96" s="324"/>
      <c r="GB96" s="324"/>
      <c r="GC96" s="324"/>
      <c r="GD96" s="324"/>
      <c r="GE96" s="324"/>
      <c r="GF96" s="324"/>
      <c r="GG96" s="324"/>
      <c r="GH96" s="324"/>
      <c r="GI96" s="324"/>
      <c r="GJ96" s="324"/>
      <c r="GK96" s="324"/>
      <c r="GL96" s="324"/>
      <c r="GM96" s="324"/>
      <c r="GN96" s="324"/>
      <c r="GO96" s="324"/>
      <c r="GP96" s="324"/>
      <c r="GQ96" s="324"/>
      <c r="GR96" s="324"/>
      <c r="GS96" s="324"/>
      <c r="GT96" s="324"/>
      <c r="GU96" s="324"/>
      <c r="GV96" s="324"/>
      <c r="GW96" s="324"/>
      <c r="GX96" s="324"/>
      <c r="GY96" s="324"/>
      <c r="GZ96" s="324"/>
      <c r="HA96" s="324"/>
      <c r="HB96" s="324"/>
      <c r="HC96" s="324"/>
      <c r="HD96" s="324"/>
      <c r="HE96" s="324"/>
      <c r="HF96" s="324"/>
      <c r="HG96" s="324"/>
      <c r="HH96" s="324"/>
      <c r="HI96" s="324"/>
      <c r="HJ96" s="324"/>
      <c r="HK96" s="324"/>
      <c r="HL96" s="324"/>
      <c r="HM96" s="324"/>
      <c r="HN96" s="324"/>
      <c r="HO96" s="324"/>
      <c r="HP96" s="324"/>
      <c r="HQ96" s="324"/>
      <c r="HR96" s="324"/>
      <c r="HS96" s="324"/>
      <c r="HT96" s="324"/>
      <c r="HU96" s="324"/>
      <c r="HV96" s="324"/>
      <c r="HW96" s="324"/>
      <c r="HX96" s="324"/>
      <c r="HY96" s="324"/>
      <c r="HZ96" s="324"/>
      <c r="IA96" s="324"/>
      <c r="IB96" s="324"/>
      <c r="IC96" s="324"/>
      <c r="ID96" s="324"/>
      <c r="IE96" s="324"/>
      <c r="IF96" s="324"/>
      <c r="IG96" s="324"/>
      <c r="IH96" s="324"/>
      <c r="II96" s="324"/>
      <c r="IJ96" s="324"/>
      <c r="IK96" s="324"/>
      <c r="IL96" s="324"/>
      <c r="IM96" s="324"/>
    </row>
    <row r="97" spans="1:247" x14ac:dyDescent="0.35">
      <c r="A97" s="356">
        <v>3102</v>
      </c>
      <c r="B97" s="357" t="s">
        <v>104</v>
      </c>
      <c r="C97" s="172" t="s">
        <v>8</v>
      </c>
      <c r="D97" s="358" t="s">
        <v>2053</v>
      </c>
      <c r="E97" s="336">
        <f t="shared" si="18"/>
        <v>1.0740000000000001</v>
      </c>
      <c r="F97" s="331">
        <f t="shared" si="0"/>
        <v>1.0209999999999999</v>
      </c>
      <c r="G97" s="337">
        <f t="shared" si="16"/>
        <v>1.0269999999999999</v>
      </c>
      <c r="H97" s="336">
        <f t="shared" si="19"/>
        <v>1.0029999999999999</v>
      </c>
      <c r="I97" s="338">
        <f t="shared" si="20"/>
        <v>1.0289999999999999</v>
      </c>
      <c r="J97" s="338">
        <f t="shared" si="21"/>
        <v>1.0049999999999999</v>
      </c>
      <c r="K97" s="338">
        <f t="shared" si="22"/>
        <v>1.026</v>
      </c>
      <c r="L97" s="338">
        <f t="shared" si="23"/>
        <v>1.0129999999999999</v>
      </c>
      <c r="M97" s="338">
        <f t="shared" si="24"/>
        <v>1.0029999999999999</v>
      </c>
      <c r="N97" s="337">
        <f t="shared" si="17"/>
        <v>1.0029999999999999</v>
      </c>
      <c r="O97" s="339">
        <f t="shared" si="25"/>
        <v>1.0209999999999999</v>
      </c>
      <c r="P97" s="336">
        <f t="shared" si="14"/>
        <v>1.032</v>
      </c>
      <c r="Q97" s="337">
        <f t="shared" si="15"/>
        <v>1.0349999999999999</v>
      </c>
      <c r="R97" s="340">
        <f t="shared" si="1"/>
        <v>1.3319480854780448</v>
      </c>
      <c r="S97" s="324"/>
      <c r="T97" s="324"/>
      <c r="U97" s="324"/>
      <c r="V97" s="324"/>
      <c r="W97" s="324"/>
      <c r="X97" s="324"/>
      <c r="Y97" s="324"/>
      <c r="Z97" s="324"/>
      <c r="AA97" s="324"/>
      <c r="AB97" s="324"/>
      <c r="AC97" s="324"/>
      <c r="AD97" s="324"/>
      <c r="AE97" s="324"/>
      <c r="AF97" s="324"/>
      <c r="AG97" s="324"/>
      <c r="AH97" s="324"/>
      <c r="AI97" s="324"/>
      <c r="AJ97" s="324"/>
      <c r="AK97" s="324"/>
      <c r="AL97" s="324"/>
      <c r="AM97" s="324"/>
      <c r="AN97" s="324"/>
      <c r="AO97" s="324"/>
      <c r="AP97" s="324"/>
      <c r="AQ97" s="324"/>
      <c r="AR97" s="324"/>
      <c r="AS97" s="324"/>
      <c r="AT97" s="324"/>
      <c r="AU97" s="324"/>
      <c r="AV97" s="324"/>
      <c r="AW97" s="324"/>
      <c r="AX97" s="324"/>
      <c r="AY97" s="324"/>
      <c r="AZ97" s="324"/>
      <c r="BA97" s="324"/>
      <c r="BB97" s="324"/>
      <c r="BC97" s="324"/>
      <c r="BD97" s="324"/>
      <c r="BE97" s="324"/>
      <c r="BF97" s="324"/>
      <c r="BG97" s="324"/>
      <c r="BH97" s="324"/>
      <c r="BI97" s="324"/>
      <c r="BJ97" s="324"/>
      <c r="BK97" s="324"/>
      <c r="BL97" s="324"/>
      <c r="BM97" s="324"/>
      <c r="BN97" s="324"/>
      <c r="BO97" s="324"/>
      <c r="BP97" s="324"/>
      <c r="BQ97" s="324"/>
      <c r="BR97" s="324"/>
      <c r="BS97" s="324"/>
      <c r="BT97" s="324"/>
      <c r="BU97" s="324"/>
      <c r="BV97" s="324"/>
      <c r="BW97" s="324"/>
      <c r="BX97" s="324"/>
      <c r="BY97" s="324"/>
      <c r="BZ97" s="324"/>
      <c r="CA97" s="324"/>
      <c r="CB97" s="324"/>
      <c r="CC97" s="324"/>
      <c r="CD97" s="324"/>
      <c r="CE97" s="324"/>
      <c r="CF97" s="324"/>
      <c r="CG97" s="324"/>
      <c r="CH97" s="324"/>
      <c r="CI97" s="324"/>
      <c r="CJ97" s="324"/>
      <c r="CK97" s="324"/>
      <c r="CL97" s="324"/>
      <c r="CM97" s="324"/>
      <c r="CN97" s="324"/>
      <c r="CO97" s="324"/>
      <c r="CP97" s="324"/>
      <c r="CQ97" s="324"/>
      <c r="CR97" s="324"/>
      <c r="CS97" s="324"/>
      <c r="CT97" s="324"/>
      <c r="CU97" s="324"/>
      <c r="CV97" s="324"/>
      <c r="CW97" s="324"/>
      <c r="CX97" s="324"/>
      <c r="CY97" s="324"/>
      <c r="CZ97" s="324"/>
      <c r="DA97" s="324"/>
      <c r="DB97" s="324"/>
      <c r="DC97" s="324"/>
      <c r="DD97" s="324"/>
      <c r="DE97" s="324"/>
      <c r="DF97" s="324"/>
      <c r="DG97" s="324"/>
      <c r="DH97" s="324"/>
      <c r="DI97" s="324"/>
      <c r="DJ97" s="324"/>
      <c r="DK97" s="324"/>
      <c r="DL97" s="324"/>
      <c r="DM97" s="324"/>
      <c r="DN97" s="324"/>
      <c r="DO97" s="324"/>
      <c r="DP97" s="324"/>
      <c r="DQ97" s="324"/>
      <c r="DR97" s="324"/>
      <c r="DS97" s="324"/>
      <c r="DT97" s="324"/>
      <c r="DU97" s="324"/>
      <c r="DV97" s="324"/>
      <c r="DW97" s="324"/>
      <c r="DX97" s="324"/>
      <c r="DY97" s="324"/>
      <c r="DZ97" s="324"/>
      <c r="EA97" s="324"/>
      <c r="EB97" s="324"/>
      <c r="EC97" s="324"/>
      <c r="ED97" s="324"/>
      <c r="EE97" s="324"/>
      <c r="EF97" s="324"/>
      <c r="EG97" s="324"/>
      <c r="EH97" s="324"/>
      <c r="EI97" s="324"/>
      <c r="EJ97" s="324"/>
      <c r="EK97" s="324"/>
      <c r="EL97" s="324"/>
      <c r="EM97" s="324"/>
      <c r="EN97" s="324"/>
      <c r="EO97" s="324"/>
      <c r="EP97" s="324"/>
      <c r="EQ97" s="324"/>
      <c r="ER97" s="324"/>
      <c r="ES97" s="324"/>
      <c r="ET97" s="324"/>
      <c r="EU97" s="324"/>
      <c r="EV97" s="324"/>
      <c r="EW97" s="324"/>
      <c r="EX97" s="324"/>
      <c r="EY97" s="324"/>
      <c r="EZ97" s="324"/>
      <c r="FA97" s="324"/>
      <c r="FB97" s="324"/>
      <c r="FC97" s="324"/>
      <c r="FD97" s="324"/>
      <c r="FE97" s="324"/>
      <c r="FF97" s="324"/>
      <c r="FG97" s="324"/>
      <c r="FH97" s="324"/>
      <c r="FI97" s="324"/>
      <c r="FJ97" s="324"/>
      <c r="FK97" s="324"/>
      <c r="FL97" s="324"/>
      <c r="FM97" s="324"/>
      <c r="FN97" s="324"/>
      <c r="FO97" s="324"/>
      <c r="FP97" s="324"/>
      <c r="FQ97" s="324"/>
      <c r="FR97" s="324"/>
      <c r="FS97" s="324"/>
      <c r="FT97" s="324"/>
      <c r="FU97" s="324"/>
      <c r="FV97" s="324"/>
      <c r="FW97" s="324"/>
      <c r="FX97" s="324"/>
      <c r="FY97" s="324"/>
      <c r="FZ97" s="324"/>
      <c r="GA97" s="324"/>
      <c r="GB97" s="324"/>
      <c r="GC97" s="324"/>
      <c r="GD97" s="324"/>
      <c r="GE97" s="324"/>
      <c r="GF97" s="324"/>
      <c r="GG97" s="324"/>
      <c r="GH97" s="324"/>
      <c r="GI97" s="324"/>
      <c r="GJ97" s="324"/>
      <c r="GK97" s="324"/>
      <c r="GL97" s="324"/>
      <c r="GM97" s="324"/>
      <c r="GN97" s="324"/>
      <c r="GO97" s="324"/>
      <c r="GP97" s="324"/>
      <c r="GQ97" s="324"/>
      <c r="GR97" s="324"/>
      <c r="GS97" s="324"/>
      <c r="GT97" s="324"/>
      <c r="GU97" s="324"/>
      <c r="GV97" s="324"/>
      <c r="GW97" s="324"/>
      <c r="GX97" s="324"/>
      <c r="GY97" s="324"/>
      <c r="GZ97" s="324"/>
      <c r="HA97" s="324"/>
      <c r="HB97" s="324"/>
      <c r="HC97" s="324"/>
      <c r="HD97" s="324"/>
      <c r="HE97" s="324"/>
      <c r="HF97" s="324"/>
      <c r="HG97" s="324"/>
      <c r="HH97" s="324"/>
      <c r="HI97" s="324"/>
      <c r="HJ97" s="324"/>
      <c r="HK97" s="324"/>
      <c r="HL97" s="324"/>
      <c r="HM97" s="324"/>
      <c r="HN97" s="324"/>
      <c r="HO97" s="324"/>
      <c r="HP97" s="324"/>
      <c r="HQ97" s="324"/>
      <c r="HR97" s="324"/>
      <c r="HS97" s="324"/>
      <c r="HT97" s="324"/>
      <c r="HU97" s="324"/>
      <c r="HV97" s="324"/>
      <c r="HW97" s="324"/>
      <c r="HX97" s="324"/>
      <c r="HY97" s="324"/>
      <c r="HZ97" s="324"/>
      <c r="IA97" s="324"/>
      <c r="IB97" s="324"/>
      <c r="IC97" s="324"/>
      <c r="ID97" s="324"/>
      <c r="IE97" s="324"/>
      <c r="IF97" s="324"/>
      <c r="IG97" s="324"/>
      <c r="IH97" s="324"/>
      <c r="II97" s="324"/>
      <c r="IJ97" s="324"/>
      <c r="IK97" s="324"/>
      <c r="IL97" s="324"/>
      <c r="IM97" s="324"/>
    </row>
    <row r="98" spans="1:247" x14ac:dyDescent="0.35">
      <c r="A98" s="356">
        <v>3103</v>
      </c>
      <c r="B98" s="357" t="s">
        <v>105</v>
      </c>
      <c r="C98" s="172" t="s">
        <v>8</v>
      </c>
      <c r="D98" s="358" t="s">
        <v>2053</v>
      </c>
      <c r="E98" s="336">
        <f t="shared" si="18"/>
        <v>1.0740000000000001</v>
      </c>
      <c r="F98" s="331">
        <f t="shared" si="0"/>
        <v>1.0209999999999999</v>
      </c>
      <c r="G98" s="337">
        <f t="shared" si="16"/>
        <v>1.0269999999999999</v>
      </c>
      <c r="H98" s="336">
        <f t="shared" si="19"/>
        <v>1.0029999999999999</v>
      </c>
      <c r="I98" s="338">
        <f t="shared" si="20"/>
        <v>1.0289999999999999</v>
      </c>
      <c r="J98" s="338">
        <f t="shared" si="21"/>
        <v>1.0049999999999999</v>
      </c>
      <c r="K98" s="338">
        <f t="shared" si="22"/>
        <v>1.026</v>
      </c>
      <c r="L98" s="338">
        <f t="shared" si="23"/>
        <v>1.0129999999999999</v>
      </c>
      <c r="M98" s="338">
        <f t="shared" si="24"/>
        <v>1.0029999999999999</v>
      </c>
      <c r="N98" s="337">
        <f t="shared" si="17"/>
        <v>1.0029999999999999</v>
      </c>
      <c r="O98" s="339">
        <f t="shared" si="25"/>
        <v>1.0209999999999999</v>
      </c>
      <c r="P98" s="336">
        <f t="shared" si="14"/>
        <v>1.032</v>
      </c>
      <c r="Q98" s="337">
        <f t="shared" si="15"/>
        <v>1.0349999999999999</v>
      </c>
      <c r="R98" s="340">
        <f t="shared" si="1"/>
        <v>1.3319480854780448</v>
      </c>
      <c r="S98" s="324"/>
      <c r="T98" s="324"/>
      <c r="U98" s="324"/>
      <c r="V98" s="324"/>
      <c r="W98" s="324"/>
      <c r="X98" s="324"/>
      <c r="Y98" s="324"/>
      <c r="Z98" s="324"/>
      <c r="AA98" s="324"/>
      <c r="AB98" s="324"/>
      <c r="AC98" s="324"/>
      <c r="AD98" s="324"/>
      <c r="AE98" s="324"/>
      <c r="AF98" s="324"/>
      <c r="AG98" s="324"/>
      <c r="AH98" s="324"/>
      <c r="AI98" s="324"/>
      <c r="AJ98" s="324"/>
      <c r="AK98" s="324"/>
      <c r="AL98" s="324"/>
      <c r="AM98" s="324"/>
      <c r="AN98" s="324"/>
      <c r="AO98" s="324"/>
      <c r="AP98" s="324"/>
      <c r="AQ98" s="324"/>
      <c r="AR98" s="324"/>
      <c r="AS98" s="324"/>
      <c r="AT98" s="324"/>
      <c r="AU98" s="324"/>
      <c r="AV98" s="324"/>
      <c r="AW98" s="324"/>
      <c r="AX98" s="324"/>
      <c r="AY98" s="324"/>
      <c r="AZ98" s="324"/>
      <c r="BA98" s="324"/>
      <c r="BB98" s="324"/>
      <c r="BC98" s="324"/>
      <c r="BD98" s="324"/>
      <c r="BE98" s="324"/>
      <c r="BF98" s="324"/>
      <c r="BG98" s="324"/>
      <c r="BH98" s="324"/>
      <c r="BI98" s="324"/>
      <c r="BJ98" s="324"/>
      <c r="BK98" s="324"/>
      <c r="BL98" s="324"/>
      <c r="BM98" s="324"/>
      <c r="BN98" s="324"/>
      <c r="BO98" s="324"/>
      <c r="BP98" s="324"/>
      <c r="BQ98" s="324"/>
      <c r="BR98" s="324"/>
      <c r="BS98" s="324"/>
      <c r="BT98" s="324"/>
      <c r="BU98" s="324"/>
      <c r="BV98" s="324"/>
      <c r="BW98" s="324"/>
      <c r="BX98" s="324"/>
      <c r="BY98" s="324"/>
      <c r="BZ98" s="324"/>
      <c r="CA98" s="324"/>
      <c r="CB98" s="324"/>
      <c r="CC98" s="324"/>
      <c r="CD98" s="324"/>
      <c r="CE98" s="324"/>
      <c r="CF98" s="324"/>
      <c r="CG98" s="324"/>
      <c r="CH98" s="324"/>
      <c r="CI98" s="324"/>
      <c r="CJ98" s="324"/>
      <c r="CK98" s="324"/>
      <c r="CL98" s="324"/>
      <c r="CM98" s="324"/>
      <c r="CN98" s="324"/>
      <c r="CO98" s="324"/>
      <c r="CP98" s="324"/>
      <c r="CQ98" s="324"/>
      <c r="CR98" s="324"/>
      <c r="CS98" s="324"/>
      <c r="CT98" s="324"/>
      <c r="CU98" s="324"/>
      <c r="CV98" s="324"/>
      <c r="CW98" s="324"/>
      <c r="CX98" s="324"/>
      <c r="CY98" s="324"/>
      <c r="CZ98" s="324"/>
      <c r="DA98" s="324"/>
      <c r="DB98" s="324"/>
      <c r="DC98" s="324"/>
      <c r="DD98" s="324"/>
      <c r="DE98" s="324"/>
      <c r="DF98" s="324"/>
      <c r="DG98" s="324"/>
      <c r="DH98" s="324"/>
      <c r="DI98" s="324"/>
      <c r="DJ98" s="324"/>
      <c r="DK98" s="324"/>
      <c r="DL98" s="324"/>
      <c r="DM98" s="324"/>
      <c r="DN98" s="324"/>
      <c r="DO98" s="324"/>
      <c r="DP98" s="324"/>
      <c r="DQ98" s="324"/>
      <c r="DR98" s="324"/>
      <c r="DS98" s="324"/>
      <c r="DT98" s="324"/>
      <c r="DU98" s="324"/>
      <c r="DV98" s="324"/>
      <c r="DW98" s="324"/>
      <c r="DX98" s="324"/>
      <c r="DY98" s="324"/>
      <c r="DZ98" s="324"/>
      <c r="EA98" s="324"/>
      <c r="EB98" s="324"/>
      <c r="EC98" s="324"/>
      <c r="ED98" s="324"/>
      <c r="EE98" s="324"/>
      <c r="EF98" s="324"/>
      <c r="EG98" s="324"/>
      <c r="EH98" s="324"/>
      <c r="EI98" s="324"/>
      <c r="EJ98" s="324"/>
      <c r="EK98" s="324"/>
      <c r="EL98" s="324"/>
      <c r="EM98" s="324"/>
      <c r="EN98" s="324"/>
      <c r="EO98" s="324"/>
      <c r="EP98" s="324"/>
      <c r="EQ98" s="324"/>
      <c r="ER98" s="324"/>
      <c r="ES98" s="324"/>
      <c r="ET98" s="324"/>
      <c r="EU98" s="324"/>
      <c r="EV98" s="324"/>
      <c r="EW98" s="324"/>
      <c r="EX98" s="324"/>
      <c r="EY98" s="324"/>
      <c r="EZ98" s="324"/>
      <c r="FA98" s="324"/>
      <c r="FB98" s="324"/>
      <c r="FC98" s="324"/>
      <c r="FD98" s="324"/>
      <c r="FE98" s="324"/>
      <c r="FF98" s="324"/>
      <c r="FG98" s="324"/>
      <c r="FH98" s="324"/>
      <c r="FI98" s="324"/>
      <c r="FJ98" s="324"/>
      <c r="FK98" s="324"/>
      <c r="FL98" s="324"/>
      <c r="FM98" s="324"/>
      <c r="FN98" s="324"/>
      <c r="FO98" s="324"/>
      <c r="FP98" s="324"/>
      <c r="FQ98" s="324"/>
      <c r="FR98" s="324"/>
      <c r="FS98" s="324"/>
      <c r="FT98" s="324"/>
      <c r="FU98" s="324"/>
      <c r="FV98" s="324"/>
      <c r="FW98" s="324"/>
      <c r="FX98" s="324"/>
      <c r="FY98" s="324"/>
      <c r="FZ98" s="324"/>
      <c r="GA98" s="324"/>
      <c r="GB98" s="324"/>
      <c r="GC98" s="324"/>
      <c r="GD98" s="324"/>
      <c r="GE98" s="324"/>
      <c r="GF98" s="324"/>
      <c r="GG98" s="324"/>
      <c r="GH98" s="324"/>
      <c r="GI98" s="324"/>
      <c r="GJ98" s="324"/>
      <c r="GK98" s="324"/>
      <c r="GL98" s="324"/>
      <c r="GM98" s="324"/>
      <c r="GN98" s="324"/>
      <c r="GO98" s="324"/>
      <c r="GP98" s="324"/>
      <c r="GQ98" s="324"/>
      <c r="GR98" s="324"/>
      <c r="GS98" s="324"/>
      <c r="GT98" s="324"/>
      <c r="GU98" s="324"/>
      <c r="GV98" s="324"/>
      <c r="GW98" s="324"/>
      <c r="GX98" s="324"/>
      <c r="GY98" s="324"/>
      <c r="GZ98" s="324"/>
      <c r="HA98" s="324"/>
      <c r="HB98" s="324"/>
      <c r="HC98" s="324"/>
      <c r="HD98" s="324"/>
      <c r="HE98" s="324"/>
      <c r="HF98" s="324"/>
      <c r="HG98" s="324"/>
      <c r="HH98" s="324"/>
      <c r="HI98" s="324"/>
      <c r="HJ98" s="324"/>
      <c r="HK98" s="324"/>
      <c r="HL98" s="324"/>
      <c r="HM98" s="324"/>
      <c r="HN98" s="324"/>
      <c r="HO98" s="324"/>
      <c r="HP98" s="324"/>
      <c r="HQ98" s="324"/>
      <c r="HR98" s="324"/>
      <c r="HS98" s="324"/>
      <c r="HT98" s="324"/>
      <c r="HU98" s="324"/>
      <c r="HV98" s="324"/>
      <c r="HW98" s="324"/>
      <c r="HX98" s="324"/>
      <c r="HY98" s="324"/>
      <c r="HZ98" s="324"/>
      <c r="IA98" s="324"/>
      <c r="IB98" s="324"/>
      <c r="IC98" s="324"/>
      <c r="ID98" s="324"/>
      <c r="IE98" s="324"/>
      <c r="IF98" s="324"/>
      <c r="IG98" s="324"/>
      <c r="IH98" s="324"/>
      <c r="II98" s="324"/>
      <c r="IJ98" s="324"/>
      <c r="IK98" s="324"/>
      <c r="IL98" s="324"/>
      <c r="IM98" s="324"/>
    </row>
    <row r="99" spans="1:247" x14ac:dyDescent="0.35">
      <c r="A99" s="356">
        <v>3104</v>
      </c>
      <c r="B99" s="357" t="s">
        <v>106</v>
      </c>
      <c r="C99" s="172" t="s">
        <v>8</v>
      </c>
      <c r="D99" s="358" t="s">
        <v>2053</v>
      </c>
      <c r="E99" s="336">
        <f t="shared" si="18"/>
        <v>1.0740000000000001</v>
      </c>
      <c r="F99" s="331">
        <f t="shared" si="0"/>
        <v>1.0209999999999999</v>
      </c>
      <c r="G99" s="337">
        <f t="shared" si="16"/>
        <v>1.0269999999999999</v>
      </c>
      <c r="H99" s="336">
        <f t="shared" si="19"/>
        <v>1.0029999999999999</v>
      </c>
      <c r="I99" s="338">
        <f t="shared" si="20"/>
        <v>1.0289999999999999</v>
      </c>
      <c r="J99" s="338">
        <f t="shared" si="21"/>
        <v>1.0049999999999999</v>
      </c>
      <c r="K99" s="338">
        <f t="shared" si="22"/>
        <v>1.026</v>
      </c>
      <c r="L99" s="338">
        <f t="shared" si="23"/>
        <v>1.0129999999999999</v>
      </c>
      <c r="M99" s="338">
        <f t="shared" si="24"/>
        <v>1.0029999999999999</v>
      </c>
      <c r="N99" s="337">
        <f t="shared" si="17"/>
        <v>1.0029999999999999</v>
      </c>
      <c r="O99" s="339">
        <f t="shared" si="25"/>
        <v>1.0209999999999999</v>
      </c>
      <c r="P99" s="336">
        <f t="shared" si="14"/>
        <v>1.032</v>
      </c>
      <c r="Q99" s="337">
        <f t="shared" si="15"/>
        <v>1.0349999999999999</v>
      </c>
      <c r="R99" s="340">
        <f t="shared" si="1"/>
        <v>1.3319480854780448</v>
      </c>
      <c r="S99" s="324"/>
      <c r="T99" s="324"/>
      <c r="U99" s="324"/>
      <c r="V99" s="324"/>
      <c r="W99" s="324"/>
      <c r="X99" s="324"/>
      <c r="Y99" s="324"/>
      <c r="Z99" s="324"/>
      <c r="AA99" s="324"/>
      <c r="AB99" s="324"/>
      <c r="AC99" s="324"/>
      <c r="AD99" s="324"/>
      <c r="AE99" s="324"/>
      <c r="AF99" s="324"/>
      <c r="AG99" s="324"/>
      <c r="AH99" s="324"/>
      <c r="AI99" s="324"/>
      <c r="AJ99" s="324"/>
      <c r="AK99" s="324"/>
      <c r="AL99" s="324"/>
      <c r="AM99" s="324"/>
      <c r="AN99" s="324"/>
      <c r="AO99" s="324"/>
      <c r="AP99" s="324"/>
      <c r="AQ99" s="324"/>
      <c r="AR99" s="324"/>
      <c r="AS99" s="324"/>
      <c r="AT99" s="324"/>
      <c r="AU99" s="324"/>
      <c r="AV99" s="324"/>
      <c r="AW99" s="324"/>
      <c r="AX99" s="324"/>
      <c r="AY99" s="324"/>
      <c r="AZ99" s="324"/>
      <c r="BA99" s="324"/>
      <c r="BB99" s="324"/>
      <c r="BC99" s="324"/>
      <c r="BD99" s="324"/>
      <c r="BE99" s="324"/>
      <c r="BF99" s="324"/>
      <c r="BG99" s="324"/>
      <c r="BH99" s="324"/>
      <c r="BI99" s="324"/>
      <c r="BJ99" s="324"/>
      <c r="BK99" s="324"/>
      <c r="BL99" s="324"/>
      <c r="BM99" s="324"/>
      <c r="BN99" s="324"/>
      <c r="BO99" s="324"/>
      <c r="BP99" s="324"/>
      <c r="BQ99" s="324"/>
      <c r="BR99" s="324"/>
      <c r="BS99" s="324"/>
      <c r="BT99" s="324"/>
      <c r="BU99" s="324"/>
      <c r="BV99" s="324"/>
      <c r="BW99" s="324"/>
      <c r="BX99" s="324"/>
      <c r="BY99" s="324"/>
      <c r="BZ99" s="324"/>
      <c r="CA99" s="324"/>
      <c r="CB99" s="324"/>
      <c r="CC99" s="324"/>
      <c r="CD99" s="324"/>
      <c r="CE99" s="324"/>
      <c r="CF99" s="324"/>
      <c r="CG99" s="324"/>
      <c r="CH99" s="324"/>
      <c r="CI99" s="324"/>
      <c r="CJ99" s="324"/>
      <c r="CK99" s="324"/>
      <c r="CL99" s="324"/>
      <c r="CM99" s="324"/>
      <c r="CN99" s="324"/>
      <c r="CO99" s="324"/>
      <c r="CP99" s="324"/>
      <c r="CQ99" s="324"/>
      <c r="CR99" s="324"/>
      <c r="CS99" s="324"/>
      <c r="CT99" s="324"/>
      <c r="CU99" s="324"/>
      <c r="CV99" s="324"/>
      <c r="CW99" s="324"/>
      <c r="CX99" s="324"/>
      <c r="CY99" s="324"/>
      <c r="CZ99" s="324"/>
      <c r="DA99" s="324"/>
      <c r="DB99" s="324"/>
      <c r="DC99" s="324"/>
      <c r="DD99" s="324"/>
      <c r="DE99" s="324"/>
      <c r="DF99" s="324"/>
      <c r="DG99" s="324"/>
      <c r="DH99" s="324"/>
      <c r="DI99" s="324"/>
      <c r="DJ99" s="324"/>
      <c r="DK99" s="324"/>
      <c r="DL99" s="324"/>
      <c r="DM99" s="324"/>
      <c r="DN99" s="324"/>
      <c r="DO99" s="324"/>
      <c r="DP99" s="324"/>
      <c r="DQ99" s="324"/>
      <c r="DR99" s="324"/>
      <c r="DS99" s="324"/>
      <c r="DT99" s="324"/>
      <c r="DU99" s="324"/>
      <c r="DV99" s="324"/>
      <c r="DW99" s="324"/>
      <c r="DX99" s="324"/>
      <c r="DY99" s="324"/>
      <c r="DZ99" s="324"/>
      <c r="EA99" s="324"/>
      <c r="EB99" s="324"/>
      <c r="EC99" s="324"/>
      <c r="ED99" s="324"/>
      <c r="EE99" s="324"/>
      <c r="EF99" s="324"/>
      <c r="EG99" s="324"/>
      <c r="EH99" s="324"/>
      <c r="EI99" s="324"/>
      <c r="EJ99" s="324"/>
      <c r="EK99" s="324"/>
      <c r="EL99" s="324"/>
      <c r="EM99" s="324"/>
      <c r="EN99" s="324"/>
      <c r="EO99" s="324"/>
      <c r="EP99" s="324"/>
      <c r="EQ99" s="324"/>
      <c r="ER99" s="324"/>
      <c r="ES99" s="324"/>
      <c r="ET99" s="324"/>
      <c r="EU99" s="324"/>
      <c r="EV99" s="324"/>
      <c r="EW99" s="324"/>
      <c r="EX99" s="324"/>
      <c r="EY99" s="324"/>
      <c r="EZ99" s="324"/>
      <c r="FA99" s="324"/>
      <c r="FB99" s="324"/>
      <c r="FC99" s="324"/>
      <c r="FD99" s="324"/>
      <c r="FE99" s="324"/>
      <c r="FF99" s="324"/>
      <c r="FG99" s="324"/>
      <c r="FH99" s="324"/>
      <c r="FI99" s="324"/>
      <c r="FJ99" s="324"/>
      <c r="FK99" s="324"/>
      <c r="FL99" s="324"/>
      <c r="FM99" s="324"/>
      <c r="FN99" s="324"/>
      <c r="FO99" s="324"/>
      <c r="FP99" s="324"/>
      <c r="FQ99" s="324"/>
      <c r="FR99" s="324"/>
      <c r="FS99" s="324"/>
      <c r="FT99" s="324"/>
      <c r="FU99" s="324"/>
      <c r="FV99" s="324"/>
      <c r="FW99" s="324"/>
      <c r="FX99" s="324"/>
      <c r="FY99" s="324"/>
      <c r="FZ99" s="324"/>
      <c r="GA99" s="324"/>
      <c r="GB99" s="324"/>
      <c r="GC99" s="324"/>
      <c r="GD99" s="324"/>
      <c r="GE99" s="324"/>
      <c r="GF99" s="324"/>
      <c r="GG99" s="324"/>
      <c r="GH99" s="324"/>
      <c r="GI99" s="324"/>
      <c r="GJ99" s="324"/>
      <c r="GK99" s="324"/>
      <c r="GL99" s="324"/>
      <c r="GM99" s="324"/>
      <c r="GN99" s="324"/>
      <c r="GO99" s="324"/>
      <c r="GP99" s="324"/>
      <c r="GQ99" s="324"/>
      <c r="GR99" s="324"/>
      <c r="GS99" s="324"/>
      <c r="GT99" s="324"/>
      <c r="GU99" s="324"/>
      <c r="GV99" s="324"/>
      <c r="GW99" s="324"/>
      <c r="GX99" s="324"/>
      <c r="GY99" s="324"/>
      <c r="GZ99" s="324"/>
      <c r="HA99" s="324"/>
      <c r="HB99" s="324"/>
      <c r="HC99" s="324"/>
      <c r="HD99" s="324"/>
      <c r="HE99" s="324"/>
      <c r="HF99" s="324"/>
      <c r="HG99" s="324"/>
      <c r="HH99" s="324"/>
      <c r="HI99" s="324"/>
      <c r="HJ99" s="324"/>
      <c r="HK99" s="324"/>
      <c r="HL99" s="324"/>
      <c r="HM99" s="324"/>
      <c r="HN99" s="324"/>
      <c r="HO99" s="324"/>
      <c r="HP99" s="324"/>
      <c r="HQ99" s="324"/>
      <c r="HR99" s="324"/>
      <c r="HS99" s="324"/>
      <c r="HT99" s="324"/>
      <c r="HU99" s="324"/>
      <c r="HV99" s="324"/>
      <c r="HW99" s="324"/>
      <c r="HX99" s="324"/>
      <c r="HY99" s="324"/>
      <c r="HZ99" s="324"/>
      <c r="IA99" s="324"/>
      <c r="IB99" s="324"/>
      <c r="IC99" s="324"/>
      <c r="ID99" s="324"/>
      <c r="IE99" s="324"/>
      <c r="IF99" s="324"/>
      <c r="IG99" s="324"/>
      <c r="IH99" s="324"/>
      <c r="II99" s="324"/>
      <c r="IJ99" s="324"/>
      <c r="IK99" s="324"/>
      <c r="IL99" s="324"/>
      <c r="IM99" s="324"/>
    </row>
    <row r="100" spans="1:247" x14ac:dyDescent="0.35">
      <c r="A100" s="356">
        <v>3131</v>
      </c>
      <c r="B100" s="357" t="s">
        <v>107</v>
      </c>
      <c r="C100" s="172" t="s">
        <v>8</v>
      </c>
      <c r="D100" s="358" t="s">
        <v>2053</v>
      </c>
      <c r="E100" s="336">
        <f t="shared" si="18"/>
        <v>1.0740000000000001</v>
      </c>
      <c r="F100" s="331">
        <f t="shared" si="0"/>
        <v>1.0209999999999999</v>
      </c>
      <c r="G100" s="337">
        <f t="shared" si="16"/>
        <v>1.0269999999999999</v>
      </c>
      <c r="H100" s="336">
        <f t="shared" si="19"/>
        <v>1.0029999999999999</v>
      </c>
      <c r="I100" s="338">
        <f t="shared" si="20"/>
        <v>1.0289999999999999</v>
      </c>
      <c r="J100" s="338">
        <f t="shared" si="21"/>
        <v>1.0049999999999999</v>
      </c>
      <c r="K100" s="338">
        <f t="shared" si="22"/>
        <v>1.026</v>
      </c>
      <c r="L100" s="338">
        <f t="shared" si="23"/>
        <v>1.0129999999999999</v>
      </c>
      <c r="M100" s="338">
        <f t="shared" si="24"/>
        <v>1.0029999999999999</v>
      </c>
      <c r="N100" s="337">
        <f t="shared" si="17"/>
        <v>1.0029999999999999</v>
      </c>
      <c r="O100" s="339">
        <f t="shared" si="25"/>
        <v>1.0209999999999999</v>
      </c>
      <c r="P100" s="336">
        <f t="shared" si="14"/>
        <v>1.032</v>
      </c>
      <c r="Q100" s="337">
        <f t="shared" si="15"/>
        <v>1.0349999999999999</v>
      </c>
      <c r="R100" s="340">
        <f t="shared" si="1"/>
        <v>1.3319480854780448</v>
      </c>
      <c r="S100" s="324"/>
      <c r="T100" s="324"/>
      <c r="U100" s="324"/>
      <c r="V100" s="324"/>
      <c r="W100" s="324"/>
      <c r="X100" s="324"/>
      <c r="Y100" s="324"/>
      <c r="Z100" s="324"/>
      <c r="AA100" s="324"/>
      <c r="AB100" s="324"/>
      <c r="AC100" s="324"/>
      <c r="AD100" s="324"/>
      <c r="AE100" s="324"/>
      <c r="AF100" s="324"/>
      <c r="AG100" s="324"/>
      <c r="AH100" s="324"/>
      <c r="AI100" s="324"/>
      <c r="AJ100" s="324"/>
      <c r="AK100" s="324"/>
      <c r="AL100" s="324"/>
      <c r="AM100" s="324"/>
      <c r="AN100" s="324"/>
      <c r="AO100" s="324"/>
      <c r="AP100" s="324"/>
      <c r="AQ100" s="324"/>
      <c r="AR100" s="324"/>
      <c r="AS100" s="324"/>
      <c r="AT100" s="324"/>
      <c r="AU100" s="324"/>
      <c r="AV100" s="324"/>
      <c r="AW100" s="324"/>
      <c r="AX100" s="324"/>
      <c r="AY100" s="324"/>
      <c r="AZ100" s="324"/>
      <c r="BA100" s="324"/>
      <c r="BB100" s="324"/>
      <c r="BC100" s="324"/>
      <c r="BD100" s="324"/>
      <c r="BE100" s="324"/>
      <c r="BF100" s="324"/>
      <c r="BG100" s="324"/>
      <c r="BH100" s="324"/>
      <c r="BI100" s="324"/>
      <c r="BJ100" s="324"/>
      <c r="BK100" s="324"/>
      <c r="BL100" s="324"/>
      <c r="BM100" s="324"/>
      <c r="BN100" s="324"/>
      <c r="BO100" s="324"/>
      <c r="BP100" s="324"/>
      <c r="BQ100" s="324"/>
      <c r="BR100" s="324"/>
      <c r="BS100" s="324"/>
      <c r="BT100" s="324"/>
      <c r="BU100" s="324"/>
      <c r="BV100" s="324"/>
      <c r="BW100" s="324"/>
      <c r="BX100" s="324"/>
      <c r="BY100" s="324"/>
      <c r="BZ100" s="324"/>
      <c r="CA100" s="324"/>
      <c r="CB100" s="324"/>
      <c r="CC100" s="324"/>
      <c r="CD100" s="324"/>
      <c r="CE100" s="324"/>
      <c r="CF100" s="324"/>
      <c r="CG100" s="324"/>
      <c r="CH100" s="324"/>
      <c r="CI100" s="324"/>
      <c r="CJ100" s="324"/>
      <c r="CK100" s="324"/>
      <c r="CL100" s="324"/>
      <c r="CM100" s="324"/>
      <c r="CN100" s="324"/>
      <c r="CO100" s="324"/>
      <c r="CP100" s="324"/>
      <c r="CQ100" s="324"/>
      <c r="CR100" s="324"/>
      <c r="CS100" s="324"/>
      <c r="CT100" s="324"/>
      <c r="CU100" s="324"/>
      <c r="CV100" s="324"/>
      <c r="CW100" s="324"/>
      <c r="CX100" s="324"/>
      <c r="CY100" s="324"/>
      <c r="CZ100" s="324"/>
      <c r="DA100" s="324"/>
      <c r="DB100" s="324"/>
      <c r="DC100" s="324"/>
      <c r="DD100" s="324"/>
      <c r="DE100" s="324"/>
      <c r="DF100" s="324"/>
      <c r="DG100" s="324"/>
      <c r="DH100" s="324"/>
      <c r="DI100" s="324"/>
      <c r="DJ100" s="324"/>
      <c r="DK100" s="324"/>
      <c r="DL100" s="324"/>
      <c r="DM100" s="324"/>
      <c r="DN100" s="324"/>
      <c r="DO100" s="324"/>
      <c r="DP100" s="324"/>
      <c r="DQ100" s="324"/>
      <c r="DR100" s="324"/>
      <c r="DS100" s="324"/>
      <c r="DT100" s="324"/>
      <c r="DU100" s="324"/>
      <c r="DV100" s="324"/>
      <c r="DW100" s="324"/>
      <c r="DX100" s="324"/>
      <c r="DY100" s="324"/>
      <c r="DZ100" s="324"/>
      <c r="EA100" s="324"/>
      <c r="EB100" s="324"/>
      <c r="EC100" s="324"/>
      <c r="ED100" s="324"/>
      <c r="EE100" s="324"/>
      <c r="EF100" s="324"/>
      <c r="EG100" s="324"/>
      <c r="EH100" s="324"/>
      <c r="EI100" s="324"/>
      <c r="EJ100" s="324"/>
      <c r="EK100" s="324"/>
      <c r="EL100" s="324"/>
      <c r="EM100" s="324"/>
      <c r="EN100" s="324"/>
      <c r="EO100" s="324"/>
      <c r="EP100" s="324"/>
      <c r="EQ100" s="324"/>
      <c r="ER100" s="324"/>
      <c r="ES100" s="324"/>
      <c r="ET100" s="324"/>
      <c r="EU100" s="324"/>
      <c r="EV100" s="324"/>
      <c r="EW100" s="324"/>
      <c r="EX100" s="324"/>
      <c r="EY100" s="324"/>
      <c r="EZ100" s="324"/>
      <c r="FA100" s="324"/>
      <c r="FB100" s="324"/>
      <c r="FC100" s="324"/>
      <c r="FD100" s="324"/>
      <c r="FE100" s="324"/>
      <c r="FF100" s="324"/>
      <c r="FG100" s="324"/>
      <c r="FH100" s="324"/>
      <c r="FI100" s="324"/>
      <c r="FJ100" s="324"/>
      <c r="FK100" s="324"/>
      <c r="FL100" s="324"/>
      <c r="FM100" s="324"/>
      <c r="FN100" s="324"/>
      <c r="FO100" s="324"/>
      <c r="FP100" s="324"/>
      <c r="FQ100" s="324"/>
      <c r="FR100" s="324"/>
      <c r="FS100" s="324"/>
      <c r="FT100" s="324"/>
      <c r="FU100" s="324"/>
      <c r="FV100" s="324"/>
      <c r="FW100" s="324"/>
      <c r="FX100" s="324"/>
      <c r="FY100" s="324"/>
      <c r="FZ100" s="324"/>
      <c r="GA100" s="324"/>
      <c r="GB100" s="324"/>
      <c r="GC100" s="324"/>
      <c r="GD100" s="324"/>
      <c r="GE100" s="324"/>
      <c r="GF100" s="324"/>
      <c r="GG100" s="324"/>
      <c r="GH100" s="324"/>
      <c r="GI100" s="324"/>
      <c r="GJ100" s="324"/>
      <c r="GK100" s="324"/>
      <c r="GL100" s="324"/>
      <c r="GM100" s="324"/>
      <c r="GN100" s="324"/>
      <c r="GO100" s="324"/>
      <c r="GP100" s="324"/>
      <c r="GQ100" s="324"/>
      <c r="GR100" s="324"/>
      <c r="GS100" s="324"/>
      <c r="GT100" s="324"/>
      <c r="GU100" s="324"/>
      <c r="GV100" s="324"/>
      <c r="GW100" s="324"/>
      <c r="GX100" s="324"/>
      <c r="GY100" s="324"/>
      <c r="GZ100" s="324"/>
      <c r="HA100" s="324"/>
      <c r="HB100" s="324"/>
      <c r="HC100" s="324"/>
      <c r="HD100" s="324"/>
      <c r="HE100" s="324"/>
      <c r="HF100" s="324"/>
      <c r="HG100" s="324"/>
      <c r="HH100" s="324"/>
      <c r="HI100" s="324"/>
      <c r="HJ100" s="324"/>
      <c r="HK100" s="324"/>
      <c r="HL100" s="324"/>
      <c r="HM100" s="324"/>
      <c r="HN100" s="324"/>
      <c r="HO100" s="324"/>
      <c r="HP100" s="324"/>
      <c r="HQ100" s="324"/>
      <c r="HR100" s="324"/>
      <c r="HS100" s="324"/>
      <c r="HT100" s="324"/>
      <c r="HU100" s="324"/>
      <c r="HV100" s="324"/>
      <c r="HW100" s="324"/>
      <c r="HX100" s="324"/>
      <c r="HY100" s="324"/>
      <c r="HZ100" s="324"/>
      <c r="IA100" s="324"/>
      <c r="IB100" s="324"/>
      <c r="IC100" s="324"/>
      <c r="ID100" s="324"/>
      <c r="IE100" s="324"/>
      <c r="IF100" s="324"/>
      <c r="IG100" s="324"/>
      <c r="IH100" s="324"/>
      <c r="II100" s="324"/>
      <c r="IJ100" s="324"/>
      <c r="IK100" s="324"/>
      <c r="IL100" s="324"/>
      <c r="IM100" s="324"/>
    </row>
    <row r="101" spans="1:247" x14ac:dyDescent="0.35">
      <c r="A101" s="356">
        <v>3141</v>
      </c>
      <c r="B101" s="357" t="s">
        <v>108</v>
      </c>
      <c r="C101" s="172" t="s">
        <v>8</v>
      </c>
      <c r="D101" s="358" t="s">
        <v>2053</v>
      </c>
      <c r="E101" s="336">
        <f t="shared" si="18"/>
        <v>1.0740000000000001</v>
      </c>
      <c r="F101" s="331">
        <f t="shared" si="0"/>
        <v>1.0209999999999999</v>
      </c>
      <c r="G101" s="337">
        <f t="shared" si="16"/>
        <v>1.0269999999999999</v>
      </c>
      <c r="H101" s="336">
        <f t="shared" si="19"/>
        <v>1.0029999999999999</v>
      </c>
      <c r="I101" s="338">
        <f t="shared" si="20"/>
        <v>1.0289999999999999</v>
      </c>
      <c r="J101" s="338">
        <f t="shared" si="21"/>
        <v>1.0049999999999999</v>
      </c>
      <c r="K101" s="338">
        <f t="shared" si="22"/>
        <v>1.026</v>
      </c>
      <c r="L101" s="338">
        <f t="shared" si="23"/>
        <v>1.0129999999999999</v>
      </c>
      <c r="M101" s="338">
        <f t="shared" si="24"/>
        <v>1.0029999999999999</v>
      </c>
      <c r="N101" s="337">
        <f t="shared" si="17"/>
        <v>1.0029999999999999</v>
      </c>
      <c r="O101" s="339">
        <f t="shared" si="25"/>
        <v>1.0209999999999999</v>
      </c>
      <c r="P101" s="336">
        <f t="shared" si="14"/>
        <v>1.032</v>
      </c>
      <c r="Q101" s="337">
        <f t="shared" si="15"/>
        <v>1.0349999999999999</v>
      </c>
      <c r="R101" s="340">
        <f>PRODUCT(E101:Q101)</f>
        <v>1.3319480854780448</v>
      </c>
      <c r="S101" s="324"/>
      <c r="T101" s="324"/>
      <c r="U101" s="324"/>
      <c r="V101" s="324"/>
      <c r="W101" s="324"/>
      <c r="X101" s="324"/>
      <c r="Y101" s="324"/>
      <c r="Z101" s="324"/>
      <c r="AA101" s="324"/>
      <c r="AB101" s="324"/>
      <c r="AC101" s="324"/>
      <c r="AD101" s="324"/>
      <c r="AE101" s="324"/>
      <c r="AF101" s="324"/>
      <c r="AG101" s="324"/>
      <c r="AH101" s="324"/>
      <c r="AI101" s="324"/>
      <c r="AJ101" s="324"/>
      <c r="AK101" s="324"/>
      <c r="AL101" s="324"/>
      <c r="AM101" s="324"/>
      <c r="AN101" s="324"/>
      <c r="AO101" s="324"/>
      <c r="AP101" s="324"/>
      <c r="AQ101" s="324"/>
      <c r="AR101" s="324"/>
      <c r="AS101" s="324"/>
      <c r="AT101" s="324"/>
      <c r="AU101" s="324"/>
      <c r="AV101" s="324"/>
      <c r="AW101" s="324"/>
      <c r="AX101" s="324"/>
      <c r="AY101" s="324"/>
      <c r="AZ101" s="324"/>
      <c r="BA101" s="324"/>
      <c r="BB101" s="324"/>
      <c r="BC101" s="324"/>
      <c r="BD101" s="324"/>
      <c r="BE101" s="324"/>
      <c r="BF101" s="324"/>
      <c r="BG101" s="324"/>
      <c r="BH101" s="324"/>
      <c r="BI101" s="324"/>
      <c r="BJ101" s="324"/>
      <c r="BK101" s="324"/>
      <c r="BL101" s="324"/>
      <c r="BM101" s="324"/>
      <c r="BN101" s="324"/>
      <c r="BO101" s="324"/>
      <c r="BP101" s="324"/>
      <c r="BQ101" s="324"/>
      <c r="BR101" s="324"/>
      <c r="BS101" s="324"/>
      <c r="BT101" s="324"/>
      <c r="BU101" s="324"/>
      <c r="BV101" s="324"/>
      <c r="BW101" s="324"/>
      <c r="BX101" s="324"/>
      <c r="BY101" s="324"/>
      <c r="BZ101" s="324"/>
      <c r="CA101" s="324"/>
      <c r="CB101" s="324"/>
      <c r="CC101" s="324"/>
      <c r="CD101" s="324"/>
      <c r="CE101" s="324"/>
      <c r="CF101" s="324"/>
      <c r="CG101" s="324"/>
      <c r="CH101" s="324"/>
      <c r="CI101" s="324"/>
      <c r="CJ101" s="324"/>
      <c r="CK101" s="324"/>
      <c r="CL101" s="324"/>
      <c r="CM101" s="324"/>
      <c r="CN101" s="324"/>
      <c r="CO101" s="324"/>
      <c r="CP101" s="324"/>
      <c r="CQ101" s="324"/>
      <c r="CR101" s="324"/>
      <c r="CS101" s="324"/>
      <c r="CT101" s="324"/>
      <c r="CU101" s="324"/>
      <c r="CV101" s="324"/>
      <c r="CW101" s="324"/>
      <c r="CX101" s="324"/>
      <c r="CY101" s="324"/>
      <c r="CZ101" s="324"/>
      <c r="DA101" s="324"/>
      <c r="DB101" s="324"/>
      <c r="DC101" s="324"/>
      <c r="DD101" s="324"/>
      <c r="DE101" s="324"/>
      <c r="DF101" s="324"/>
      <c r="DG101" s="324"/>
      <c r="DH101" s="324"/>
      <c r="DI101" s="324"/>
      <c r="DJ101" s="324"/>
      <c r="DK101" s="324"/>
      <c r="DL101" s="324"/>
      <c r="DM101" s="324"/>
      <c r="DN101" s="324"/>
      <c r="DO101" s="324"/>
      <c r="DP101" s="324"/>
      <c r="DQ101" s="324"/>
      <c r="DR101" s="324"/>
      <c r="DS101" s="324"/>
      <c r="DT101" s="324"/>
      <c r="DU101" s="324"/>
      <c r="DV101" s="324"/>
      <c r="DW101" s="324"/>
      <c r="DX101" s="324"/>
      <c r="DY101" s="324"/>
      <c r="DZ101" s="324"/>
      <c r="EA101" s="324"/>
      <c r="EB101" s="324"/>
      <c r="EC101" s="324"/>
      <c r="ED101" s="324"/>
      <c r="EE101" s="324"/>
      <c r="EF101" s="324"/>
      <c r="EG101" s="324"/>
      <c r="EH101" s="324"/>
      <c r="EI101" s="324"/>
      <c r="EJ101" s="324"/>
      <c r="EK101" s="324"/>
      <c r="EL101" s="324"/>
      <c r="EM101" s="324"/>
      <c r="EN101" s="324"/>
      <c r="EO101" s="324"/>
      <c r="EP101" s="324"/>
      <c r="EQ101" s="324"/>
      <c r="ER101" s="324"/>
      <c r="ES101" s="324"/>
      <c r="ET101" s="324"/>
      <c r="EU101" s="324"/>
      <c r="EV101" s="324"/>
      <c r="EW101" s="324"/>
      <c r="EX101" s="324"/>
      <c r="EY101" s="324"/>
      <c r="EZ101" s="324"/>
      <c r="FA101" s="324"/>
      <c r="FB101" s="324"/>
      <c r="FC101" s="324"/>
      <c r="FD101" s="324"/>
      <c r="FE101" s="324"/>
      <c r="FF101" s="324"/>
      <c r="FG101" s="324"/>
      <c r="FH101" s="324"/>
      <c r="FI101" s="324"/>
      <c r="FJ101" s="324"/>
      <c r="FK101" s="324"/>
      <c r="FL101" s="324"/>
      <c r="FM101" s="324"/>
      <c r="FN101" s="324"/>
      <c r="FO101" s="324"/>
      <c r="FP101" s="324"/>
      <c r="FQ101" s="324"/>
      <c r="FR101" s="324"/>
      <c r="FS101" s="324"/>
      <c r="FT101" s="324"/>
      <c r="FU101" s="324"/>
      <c r="FV101" s="324"/>
      <c r="FW101" s="324"/>
      <c r="FX101" s="324"/>
      <c r="FY101" s="324"/>
      <c r="FZ101" s="324"/>
      <c r="GA101" s="324"/>
      <c r="GB101" s="324"/>
      <c r="GC101" s="324"/>
      <c r="GD101" s="324"/>
      <c r="GE101" s="324"/>
      <c r="GF101" s="324"/>
      <c r="GG101" s="324"/>
      <c r="GH101" s="324"/>
      <c r="GI101" s="324"/>
      <c r="GJ101" s="324"/>
      <c r="GK101" s="324"/>
      <c r="GL101" s="324"/>
      <c r="GM101" s="324"/>
      <c r="GN101" s="324"/>
      <c r="GO101" s="324"/>
      <c r="GP101" s="324"/>
      <c r="GQ101" s="324"/>
      <c r="GR101" s="324"/>
      <c r="GS101" s="324"/>
      <c r="GT101" s="324"/>
      <c r="GU101" s="324"/>
      <c r="GV101" s="324"/>
      <c r="GW101" s="324"/>
      <c r="GX101" s="324"/>
      <c r="GY101" s="324"/>
      <c r="GZ101" s="324"/>
      <c r="HA101" s="324"/>
      <c r="HB101" s="324"/>
      <c r="HC101" s="324"/>
      <c r="HD101" s="324"/>
      <c r="HE101" s="324"/>
      <c r="HF101" s="324"/>
      <c r="HG101" s="324"/>
      <c r="HH101" s="324"/>
      <c r="HI101" s="324"/>
      <c r="HJ101" s="324"/>
      <c r="HK101" s="324"/>
      <c r="HL101" s="324"/>
      <c r="HM101" s="324"/>
      <c r="HN101" s="324"/>
      <c r="HO101" s="324"/>
      <c r="HP101" s="324"/>
      <c r="HQ101" s="324"/>
      <c r="HR101" s="324"/>
      <c r="HS101" s="324"/>
      <c r="HT101" s="324"/>
      <c r="HU101" s="324"/>
      <c r="HV101" s="324"/>
      <c r="HW101" s="324"/>
      <c r="HX101" s="324"/>
      <c r="HY101" s="324"/>
      <c r="HZ101" s="324"/>
      <c r="IA101" s="324"/>
      <c r="IB101" s="324"/>
      <c r="IC101" s="324"/>
      <c r="ID101" s="324"/>
      <c r="IE101" s="324"/>
      <c r="IF101" s="324"/>
      <c r="IG101" s="324"/>
      <c r="IH101" s="324"/>
      <c r="II101" s="324"/>
      <c r="IJ101" s="324"/>
      <c r="IK101" s="324"/>
      <c r="IL101" s="324"/>
      <c r="IM101" s="324"/>
    </row>
    <row r="102" spans="1:247" x14ac:dyDescent="0.35">
      <c r="A102" s="356">
        <v>3151</v>
      </c>
      <c r="B102" s="357" t="s">
        <v>109</v>
      </c>
      <c r="C102" s="172" t="s">
        <v>8</v>
      </c>
      <c r="D102" s="358" t="s">
        <v>2053</v>
      </c>
      <c r="E102" s="336">
        <f t="shared" si="18"/>
        <v>1.0740000000000001</v>
      </c>
      <c r="F102" s="331">
        <f t="shared" si="0"/>
        <v>1.0209999999999999</v>
      </c>
      <c r="G102" s="337">
        <f t="shared" si="16"/>
        <v>1.0269999999999999</v>
      </c>
      <c r="H102" s="336">
        <f t="shared" si="19"/>
        <v>1.0029999999999999</v>
      </c>
      <c r="I102" s="338">
        <f t="shared" si="20"/>
        <v>1.0289999999999999</v>
      </c>
      <c r="J102" s="338">
        <f t="shared" si="21"/>
        <v>1.0049999999999999</v>
      </c>
      <c r="K102" s="338">
        <f t="shared" si="22"/>
        <v>1.026</v>
      </c>
      <c r="L102" s="338">
        <f t="shared" si="23"/>
        <v>1.0129999999999999</v>
      </c>
      <c r="M102" s="338">
        <f t="shared" si="24"/>
        <v>1.0029999999999999</v>
      </c>
      <c r="N102" s="337">
        <f t="shared" si="17"/>
        <v>1.0029999999999999</v>
      </c>
      <c r="O102" s="339">
        <f t="shared" si="25"/>
        <v>1.0209999999999999</v>
      </c>
      <c r="P102" s="336">
        <f t="shared" si="14"/>
        <v>1.032</v>
      </c>
      <c r="Q102" s="337">
        <f t="shared" si="15"/>
        <v>1.0349999999999999</v>
      </c>
      <c r="R102" s="340">
        <f>PRODUCT(E102:Q102)</f>
        <v>1.3319480854780448</v>
      </c>
      <c r="S102" s="324"/>
      <c r="T102" s="324"/>
      <c r="U102" s="324"/>
      <c r="V102" s="324"/>
      <c r="W102" s="324"/>
      <c r="X102" s="324"/>
      <c r="Y102" s="324"/>
      <c r="Z102" s="324"/>
      <c r="AA102" s="324"/>
      <c r="AB102" s="324"/>
      <c r="AC102" s="324"/>
      <c r="AD102" s="324"/>
      <c r="AE102" s="324"/>
      <c r="AF102" s="324"/>
      <c r="AG102" s="324"/>
      <c r="AH102" s="324"/>
      <c r="AI102" s="324"/>
      <c r="AJ102" s="324"/>
      <c r="AK102" s="324"/>
      <c r="AL102" s="324"/>
      <c r="AM102" s="324"/>
      <c r="AN102" s="324"/>
      <c r="AO102" s="324"/>
      <c r="AP102" s="324"/>
      <c r="AQ102" s="324"/>
      <c r="AR102" s="324"/>
      <c r="AS102" s="324"/>
      <c r="AT102" s="324"/>
      <c r="AU102" s="324"/>
      <c r="AV102" s="324"/>
      <c r="AW102" s="324"/>
      <c r="AX102" s="324"/>
      <c r="AY102" s="324"/>
      <c r="AZ102" s="324"/>
      <c r="BA102" s="324"/>
      <c r="BB102" s="324"/>
      <c r="BC102" s="324"/>
      <c r="BD102" s="324"/>
      <c r="BE102" s="324"/>
      <c r="BF102" s="324"/>
      <c r="BG102" s="324"/>
      <c r="BH102" s="324"/>
      <c r="BI102" s="324"/>
      <c r="BJ102" s="324"/>
      <c r="BK102" s="324"/>
      <c r="BL102" s="324"/>
      <c r="BM102" s="324"/>
      <c r="BN102" s="324"/>
      <c r="BO102" s="324"/>
      <c r="BP102" s="324"/>
      <c r="BQ102" s="324"/>
      <c r="BR102" s="324"/>
      <c r="BS102" s="324"/>
      <c r="BT102" s="324"/>
      <c r="BU102" s="324"/>
      <c r="BV102" s="324"/>
      <c r="BW102" s="324"/>
      <c r="BX102" s="324"/>
      <c r="BY102" s="324"/>
      <c r="BZ102" s="324"/>
      <c r="CA102" s="324"/>
      <c r="CB102" s="324"/>
      <c r="CC102" s="324"/>
      <c r="CD102" s="324"/>
      <c r="CE102" s="324"/>
      <c r="CF102" s="324"/>
      <c r="CG102" s="324"/>
      <c r="CH102" s="324"/>
      <c r="CI102" s="324"/>
      <c r="CJ102" s="324"/>
      <c r="CK102" s="324"/>
      <c r="CL102" s="324"/>
      <c r="CM102" s="324"/>
      <c r="CN102" s="324"/>
      <c r="CO102" s="324"/>
      <c r="CP102" s="324"/>
      <c r="CQ102" s="324"/>
      <c r="CR102" s="324"/>
      <c r="CS102" s="324"/>
      <c r="CT102" s="324"/>
      <c r="CU102" s="324"/>
      <c r="CV102" s="324"/>
      <c r="CW102" s="324"/>
      <c r="CX102" s="324"/>
      <c r="CY102" s="324"/>
      <c r="CZ102" s="324"/>
      <c r="DA102" s="324"/>
      <c r="DB102" s="324"/>
      <c r="DC102" s="324"/>
      <c r="DD102" s="324"/>
      <c r="DE102" s="324"/>
      <c r="DF102" s="324"/>
      <c r="DG102" s="324"/>
      <c r="DH102" s="324"/>
      <c r="DI102" s="324"/>
      <c r="DJ102" s="324"/>
      <c r="DK102" s="324"/>
      <c r="DL102" s="324"/>
      <c r="DM102" s="324"/>
      <c r="DN102" s="324"/>
      <c r="DO102" s="324"/>
      <c r="DP102" s="324"/>
      <c r="DQ102" s="324"/>
      <c r="DR102" s="324"/>
      <c r="DS102" s="324"/>
      <c r="DT102" s="324"/>
      <c r="DU102" s="324"/>
      <c r="DV102" s="324"/>
      <c r="DW102" s="324"/>
      <c r="DX102" s="324"/>
      <c r="DY102" s="324"/>
      <c r="DZ102" s="324"/>
      <c r="EA102" s="324"/>
      <c r="EB102" s="324"/>
      <c r="EC102" s="324"/>
      <c r="ED102" s="324"/>
      <c r="EE102" s="324"/>
      <c r="EF102" s="324"/>
      <c r="EG102" s="324"/>
      <c r="EH102" s="324"/>
      <c r="EI102" s="324"/>
      <c r="EJ102" s="324"/>
      <c r="EK102" s="324"/>
      <c r="EL102" s="324"/>
      <c r="EM102" s="324"/>
      <c r="EN102" s="324"/>
      <c r="EO102" s="324"/>
      <c r="EP102" s="324"/>
      <c r="EQ102" s="324"/>
      <c r="ER102" s="324"/>
      <c r="ES102" s="324"/>
      <c r="ET102" s="324"/>
      <c r="EU102" s="324"/>
      <c r="EV102" s="324"/>
      <c r="EW102" s="324"/>
      <c r="EX102" s="324"/>
      <c r="EY102" s="324"/>
      <c r="EZ102" s="324"/>
      <c r="FA102" s="324"/>
      <c r="FB102" s="324"/>
      <c r="FC102" s="324"/>
      <c r="FD102" s="324"/>
      <c r="FE102" s="324"/>
      <c r="FF102" s="324"/>
      <c r="FG102" s="324"/>
      <c r="FH102" s="324"/>
      <c r="FI102" s="324"/>
      <c r="FJ102" s="324"/>
      <c r="FK102" s="324"/>
      <c r="FL102" s="324"/>
      <c r="FM102" s="324"/>
      <c r="FN102" s="324"/>
      <c r="FO102" s="324"/>
      <c r="FP102" s="324"/>
      <c r="FQ102" s="324"/>
      <c r="FR102" s="324"/>
      <c r="FS102" s="324"/>
      <c r="FT102" s="324"/>
      <c r="FU102" s="324"/>
      <c r="FV102" s="324"/>
      <c r="FW102" s="324"/>
      <c r="FX102" s="324"/>
      <c r="FY102" s="324"/>
      <c r="FZ102" s="324"/>
      <c r="GA102" s="324"/>
      <c r="GB102" s="324"/>
      <c r="GC102" s="324"/>
      <c r="GD102" s="324"/>
      <c r="GE102" s="324"/>
      <c r="GF102" s="324"/>
      <c r="GG102" s="324"/>
      <c r="GH102" s="324"/>
      <c r="GI102" s="324"/>
      <c r="GJ102" s="324"/>
      <c r="GK102" s="324"/>
      <c r="GL102" s="324"/>
      <c r="GM102" s="324"/>
      <c r="GN102" s="324"/>
      <c r="GO102" s="324"/>
      <c r="GP102" s="324"/>
      <c r="GQ102" s="324"/>
      <c r="GR102" s="324"/>
      <c r="GS102" s="324"/>
      <c r="GT102" s="324"/>
      <c r="GU102" s="324"/>
      <c r="GV102" s="324"/>
      <c r="GW102" s="324"/>
      <c r="GX102" s="324"/>
      <c r="GY102" s="324"/>
      <c r="GZ102" s="324"/>
      <c r="HA102" s="324"/>
      <c r="HB102" s="324"/>
      <c r="HC102" s="324"/>
      <c r="HD102" s="324"/>
      <c r="HE102" s="324"/>
      <c r="HF102" s="324"/>
      <c r="HG102" s="324"/>
      <c r="HH102" s="324"/>
      <c r="HI102" s="324"/>
      <c r="HJ102" s="324"/>
      <c r="HK102" s="324"/>
      <c r="HL102" s="324"/>
      <c r="HM102" s="324"/>
      <c r="HN102" s="324"/>
      <c r="HO102" s="324"/>
      <c r="HP102" s="324"/>
      <c r="HQ102" s="324"/>
      <c r="HR102" s="324"/>
      <c r="HS102" s="324"/>
      <c r="HT102" s="324"/>
      <c r="HU102" s="324"/>
      <c r="HV102" s="324"/>
      <c r="HW102" s="324"/>
      <c r="HX102" s="324"/>
      <c r="HY102" s="324"/>
      <c r="HZ102" s="324"/>
      <c r="IA102" s="324"/>
      <c r="IB102" s="324"/>
      <c r="IC102" s="324"/>
      <c r="ID102" s="324"/>
      <c r="IE102" s="324"/>
      <c r="IF102" s="324"/>
      <c r="IG102" s="324"/>
      <c r="IH102" s="324"/>
      <c r="II102" s="324"/>
      <c r="IJ102" s="324"/>
      <c r="IK102" s="324"/>
      <c r="IL102" s="324"/>
      <c r="IM102" s="324"/>
    </row>
    <row r="103" spans="1:247" x14ac:dyDescent="0.35">
      <c r="A103" s="356">
        <v>3161</v>
      </c>
      <c r="B103" s="357" t="s">
        <v>110</v>
      </c>
      <c r="C103" s="172" t="s">
        <v>8</v>
      </c>
      <c r="D103" s="358" t="s">
        <v>2053</v>
      </c>
      <c r="E103" s="336">
        <f t="shared" si="18"/>
        <v>1.0740000000000001</v>
      </c>
      <c r="F103" s="331">
        <f t="shared" si="0"/>
        <v>1.0209999999999999</v>
      </c>
      <c r="G103" s="337">
        <f t="shared" si="16"/>
        <v>1.0269999999999999</v>
      </c>
      <c r="H103" s="336">
        <f t="shared" si="19"/>
        <v>1.0029999999999999</v>
      </c>
      <c r="I103" s="338">
        <f t="shared" si="20"/>
        <v>1.0289999999999999</v>
      </c>
      <c r="J103" s="338">
        <f t="shared" si="21"/>
        <v>1.0049999999999999</v>
      </c>
      <c r="K103" s="338">
        <f t="shared" si="22"/>
        <v>1.026</v>
      </c>
      <c r="L103" s="338">
        <f t="shared" si="23"/>
        <v>1.0129999999999999</v>
      </c>
      <c r="M103" s="338">
        <f t="shared" si="24"/>
        <v>1.0029999999999999</v>
      </c>
      <c r="N103" s="337">
        <f t="shared" si="17"/>
        <v>1.0029999999999999</v>
      </c>
      <c r="O103" s="339">
        <f t="shared" si="25"/>
        <v>1.0209999999999999</v>
      </c>
      <c r="P103" s="336">
        <f t="shared" si="14"/>
        <v>1.032</v>
      </c>
      <c r="Q103" s="337">
        <f t="shared" si="15"/>
        <v>1.0349999999999999</v>
      </c>
      <c r="R103" s="340">
        <f>PRODUCT(E103:Q103)</f>
        <v>1.3319480854780448</v>
      </c>
      <c r="S103" s="324"/>
      <c r="T103" s="324"/>
      <c r="U103" s="324"/>
      <c r="V103" s="324"/>
      <c r="W103" s="324"/>
      <c r="X103" s="324"/>
      <c r="Y103" s="324"/>
      <c r="Z103" s="324"/>
      <c r="AA103" s="324"/>
      <c r="AB103" s="324"/>
      <c r="AC103" s="324"/>
      <c r="AD103" s="324"/>
      <c r="AE103" s="324"/>
      <c r="AF103" s="324"/>
      <c r="AG103" s="324"/>
      <c r="AH103" s="324"/>
      <c r="AI103" s="324"/>
      <c r="AJ103" s="324"/>
      <c r="AK103" s="324"/>
      <c r="AL103" s="324"/>
      <c r="AM103" s="324"/>
      <c r="AN103" s="324"/>
      <c r="AO103" s="324"/>
      <c r="AP103" s="324"/>
      <c r="AQ103" s="324"/>
      <c r="AR103" s="324"/>
      <c r="AS103" s="324"/>
      <c r="AT103" s="324"/>
      <c r="AU103" s="324"/>
      <c r="AV103" s="324"/>
      <c r="AW103" s="324"/>
      <c r="AX103" s="324"/>
      <c r="AY103" s="324"/>
      <c r="AZ103" s="324"/>
      <c r="BA103" s="324"/>
      <c r="BB103" s="324"/>
      <c r="BC103" s="324"/>
      <c r="BD103" s="324"/>
      <c r="BE103" s="324"/>
      <c r="BF103" s="324"/>
      <c r="BG103" s="324"/>
      <c r="BH103" s="324"/>
      <c r="BI103" s="324"/>
      <c r="BJ103" s="324"/>
      <c r="BK103" s="324"/>
      <c r="BL103" s="324"/>
      <c r="BM103" s="324"/>
      <c r="BN103" s="324"/>
      <c r="BO103" s="324"/>
      <c r="BP103" s="324"/>
      <c r="BQ103" s="324"/>
      <c r="BR103" s="324"/>
      <c r="BS103" s="324"/>
      <c r="BT103" s="324"/>
      <c r="BU103" s="324"/>
      <c r="BV103" s="324"/>
      <c r="BW103" s="324"/>
      <c r="BX103" s="324"/>
      <c r="BY103" s="324"/>
      <c r="BZ103" s="324"/>
      <c r="CA103" s="324"/>
      <c r="CB103" s="324"/>
      <c r="CC103" s="324"/>
      <c r="CD103" s="324"/>
      <c r="CE103" s="324"/>
      <c r="CF103" s="324"/>
      <c r="CG103" s="324"/>
      <c r="CH103" s="324"/>
      <c r="CI103" s="324"/>
      <c r="CJ103" s="324"/>
      <c r="CK103" s="324"/>
      <c r="CL103" s="324"/>
      <c r="CM103" s="324"/>
      <c r="CN103" s="324"/>
      <c r="CO103" s="324"/>
      <c r="CP103" s="324"/>
      <c r="CQ103" s="324"/>
      <c r="CR103" s="324"/>
      <c r="CS103" s="324"/>
      <c r="CT103" s="324"/>
      <c r="CU103" s="324"/>
      <c r="CV103" s="324"/>
      <c r="CW103" s="324"/>
      <c r="CX103" s="324"/>
      <c r="CY103" s="324"/>
      <c r="CZ103" s="324"/>
      <c r="DA103" s="324"/>
      <c r="DB103" s="324"/>
      <c r="DC103" s="324"/>
      <c r="DD103" s="324"/>
      <c r="DE103" s="324"/>
      <c r="DF103" s="324"/>
      <c r="DG103" s="324"/>
      <c r="DH103" s="324"/>
      <c r="DI103" s="324"/>
      <c r="DJ103" s="324"/>
      <c r="DK103" s="324"/>
      <c r="DL103" s="324"/>
      <c r="DM103" s="324"/>
      <c r="DN103" s="324"/>
      <c r="DO103" s="324"/>
      <c r="DP103" s="324"/>
      <c r="DQ103" s="324"/>
      <c r="DR103" s="324"/>
      <c r="DS103" s="324"/>
      <c r="DT103" s="324"/>
      <c r="DU103" s="324"/>
      <c r="DV103" s="324"/>
      <c r="DW103" s="324"/>
      <c r="DX103" s="324"/>
      <c r="DY103" s="324"/>
      <c r="DZ103" s="324"/>
      <c r="EA103" s="324"/>
      <c r="EB103" s="324"/>
      <c r="EC103" s="324"/>
      <c r="ED103" s="324"/>
      <c r="EE103" s="324"/>
      <c r="EF103" s="324"/>
      <c r="EG103" s="324"/>
      <c r="EH103" s="324"/>
      <c r="EI103" s="324"/>
      <c r="EJ103" s="324"/>
      <c r="EK103" s="324"/>
      <c r="EL103" s="324"/>
      <c r="EM103" s="324"/>
      <c r="EN103" s="324"/>
      <c r="EO103" s="324"/>
      <c r="EP103" s="324"/>
      <c r="EQ103" s="324"/>
      <c r="ER103" s="324"/>
      <c r="ES103" s="324"/>
      <c r="ET103" s="324"/>
      <c r="EU103" s="324"/>
      <c r="EV103" s="324"/>
      <c r="EW103" s="324"/>
      <c r="EX103" s="324"/>
      <c r="EY103" s="324"/>
      <c r="EZ103" s="324"/>
      <c r="FA103" s="324"/>
      <c r="FB103" s="324"/>
      <c r="FC103" s="324"/>
      <c r="FD103" s="324"/>
      <c r="FE103" s="324"/>
      <c r="FF103" s="324"/>
      <c r="FG103" s="324"/>
      <c r="FH103" s="324"/>
      <c r="FI103" s="324"/>
      <c r="FJ103" s="324"/>
      <c r="FK103" s="324"/>
      <c r="FL103" s="324"/>
      <c r="FM103" s="324"/>
      <c r="FN103" s="324"/>
      <c r="FO103" s="324"/>
      <c r="FP103" s="324"/>
      <c r="FQ103" s="324"/>
      <c r="FR103" s="324"/>
      <c r="FS103" s="324"/>
      <c r="FT103" s="324"/>
      <c r="FU103" s="324"/>
      <c r="FV103" s="324"/>
      <c r="FW103" s="324"/>
      <c r="FX103" s="324"/>
      <c r="FY103" s="324"/>
      <c r="FZ103" s="324"/>
      <c r="GA103" s="324"/>
      <c r="GB103" s="324"/>
      <c r="GC103" s="324"/>
      <c r="GD103" s="324"/>
      <c r="GE103" s="324"/>
      <c r="GF103" s="324"/>
      <c r="GG103" s="324"/>
      <c r="GH103" s="324"/>
      <c r="GI103" s="324"/>
      <c r="GJ103" s="324"/>
      <c r="GK103" s="324"/>
      <c r="GL103" s="324"/>
      <c r="GM103" s="324"/>
      <c r="GN103" s="324"/>
      <c r="GO103" s="324"/>
      <c r="GP103" s="324"/>
      <c r="GQ103" s="324"/>
      <c r="GR103" s="324"/>
      <c r="GS103" s="324"/>
      <c r="GT103" s="324"/>
      <c r="GU103" s="324"/>
      <c r="GV103" s="324"/>
      <c r="GW103" s="324"/>
      <c r="GX103" s="324"/>
      <c r="GY103" s="324"/>
      <c r="GZ103" s="324"/>
      <c r="HA103" s="324"/>
      <c r="HB103" s="324"/>
      <c r="HC103" s="324"/>
      <c r="HD103" s="324"/>
      <c r="HE103" s="324"/>
      <c r="HF103" s="324"/>
      <c r="HG103" s="324"/>
      <c r="HH103" s="324"/>
      <c r="HI103" s="324"/>
      <c r="HJ103" s="324"/>
      <c r="HK103" s="324"/>
      <c r="HL103" s="324"/>
      <c r="HM103" s="324"/>
      <c r="HN103" s="324"/>
      <c r="HO103" s="324"/>
      <c r="HP103" s="324"/>
      <c r="HQ103" s="324"/>
      <c r="HR103" s="324"/>
      <c r="HS103" s="324"/>
      <c r="HT103" s="324"/>
      <c r="HU103" s="324"/>
      <c r="HV103" s="324"/>
      <c r="HW103" s="324"/>
      <c r="HX103" s="324"/>
      <c r="HY103" s="324"/>
      <c r="HZ103" s="324"/>
      <c r="IA103" s="324"/>
      <c r="IB103" s="324"/>
      <c r="IC103" s="324"/>
      <c r="ID103" s="324"/>
      <c r="IE103" s="324"/>
      <c r="IF103" s="324"/>
      <c r="IG103" s="324"/>
      <c r="IH103" s="324"/>
      <c r="II103" s="324"/>
      <c r="IJ103" s="324"/>
      <c r="IK103" s="324"/>
      <c r="IL103" s="324"/>
      <c r="IM103" s="324"/>
    </row>
    <row r="104" spans="1:247" x14ac:dyDescent="0.35">
      <c r="A104" s="356">
        <v>3171</v>
      </c>
      <c r="B104" s="357" t="s">
        <v>111</v>
      </c>
      <c r="C104" s="172" t="s">
        <v>8</v>
      </c>
      <c r="D104" s="358" t="s">
        <v>2053</v>
      </c>
      <c r="E104" s="336">
        <f t="shared" si="18"/>
        <v>1.0740000000000001</v>
      </c>
      <c r="F104" s="331">
        <f t="shared" si="0"/>
        <v>1.0209999999999999</v>
      </c>
      <c r="G104" s="337">
        <f t="shared" si="16"/>
        <v>1.0269999999999999</v>
      </c>
      <c r="H104" s="336">
        <f t="shared" si="19"/>
        <v>1.0029999999999999</v>
      </c>
      <c r="I104" s="338">
        <f t="shared" si="20"/>
        <v>1.0289999999999999</v>
      </c>
      <c r="J104" s="338">
        <f t="shared" si="21"/>
        <v>1.0049999999999999</v>
      </c>
      <c r="K104" s="338">
        <f t="shared" si="22"/>
        <v>1.026</v>
      </c>
      <c r="L104" s="338">
        <f t="shared" si="23"/>
        <v>1.0129999999999999</v>
      </c>
      <c r="M104" s="338">
        <f t="shared" si="24"/>
        <v>1.0029999999999999</v>
      </c>
      <c r="N104" s="337">
        <f t="shared" si="17"/>
        <v>1.0029999999999999</v>
      </c>
      <c r="O104" s="339">
        <f t="shared" si="25"/>
        <v>1.0209999999999999</v>
      </c>
      <c r="P104" s="336">
        <f t="shared" si="14"/>
        <v>1.032</v>
      </c>
      <c r="Q104" s="337">
        <f t="shared" si="15"/>
        <v>1.0349999999999999</v>
      </c>
      <c r="R104" s="340">
        <f>PRODUCT(E104:Q104)</f>
        <v>1.3319480854780448</v>
      </c>
      <c r="S104" s="324"/>
      <c r="T104" s="324"/>
      <c r="U104" s="324"/>
      <c r="V104" s="324"/>
      <c r="W104" s="324"/>
      <c r="X104" s="324"/>
      <c r="Y104" s="324"/>
      <c r="Z104" s="324"/>
      <c r="AA104" s="324"/>
      <c r="AB104" s="324"/>
      <c r="AC104" s="324"/>
      <c r="AD104" s="324"/>
      <c r="AE104" s="324"/>
      <c r="AF104" s="324"/>
      <c r="AG104" s="324"/>
      <c r="AH104" s="324"/>
      <c r="AI104" s="324"/>
      <c r="AJ104" s="324"/>
      <c r="AK104" s="324"/>
      <c r="AL104" s="324"/>
      <c r="AM104" s="324"/>
      <c r="AN104" s="324"/>
      <c r="AO104" s="324"/>
      <c r="AP104" s="324"/>
      <c r="AQ104" s="324"/>
      <c r="AR104" s="324"/>
      <c r="AS104" s="324"/>
      <c r="AT104" s="324"/>
      <c r="AU104" s="324"/>
      <c r="AV104" s="324"/>
      <c r="AW104" s="324"/>
      <c r="AX104" s="324"/>
      <c r="AY104" s="324"/>
      <c r="AZ104" s="324"/>
      <c r="BA104" s="324"/>
      <c r="BB104" s="324"/>
      <c r="BC104" s="324"/>
      <c r="BD104" s="324"/>
      <c r="BE104" s="324"/>
      <c r="BF104" s="324"/>
      <c r="BG104" s="324"/>
      <c r="BH104" s="324"/>
      <c r="BI104" s="324"/>
      <c r="BJ104" s="324"/>
      <c r="BK104" s="324"/>
      <c r="BL104" s="324"/>
      <c r="BM104" s="324"/>
      <c r="BN104" s="324"/>
      <c r="BO104" s="324"/>
      <c r="BP104" s="324"/>
      <c r="BQ104" s="324"/>
      <c r="BR104" s="324"/>
      <c r="BS104" s="324"/>
      <c r="BT104" s="324"/>
      <c r="BU104" s="324"/>
      <c r="BV104" s="324"/>
      <c r="BW104" s="324"/>
      <c r="BX104" s="324"/>
      <c r="BY104" s="324"/>
      <c r="BZ104" s="324"/>
      <c r="CA104" s="324"/>
      <c r="CB104" s="324"/>
      <c r="CC104" s="324"/>
      <c r="CD104" s="324"/>
      <c r="CE104" s="324"/>
      <c r="CF104" s="324"/>
      <c r="CG104" s="324"/>
      <c r="CH104" s="324"/>
      <c r="CI104" s="324"/>
      <c r="CJ104" s="324"/>
      <c r="CK104" s="324"/>
      <c r="CL104" s="324"/>
      <c r="CM104" s="324"/>
      <c r="CN104" s="324"/>
      <c r="CO104" s="324"/>
      <c r="CP104" s="324"/>
      <c r="CQ104" s="324"/>
      <c r="CR104" s="324"/>
      <c r="CS104" s="324"/>
      <c r="CT104" s="324"/>
      <c r="CU104" s="324"/>
      <c r="CV104" s="324"/>
      <c r="CW104" s="324"/>
      <c r="CX104" s="324"/>
      <c r="CY104" s="324"/>
      <c r="CZ104" s="324"/>
      <c r="DA104" s="324"/>
      <c r="DB104" s="324"/>
      <c r="DC104" s="324"/>
      <c r="DD104" s="324"/>
      <c r="DE104" s="324"/>
      <c r="DF104" s="324"/>
      <c r="DG104" s="324"/>
      <c r="DH104" s="324"/>
      <c r="DI104" s="324"/>
      <c r="DJ104" s="324"/>
      <c r="DK104" s="324"/>
      <c r="DL104" s="324"/>
      <c r="DM104" s="324"/>
      <c r="DN104" s="324"/>
      <c r="DO104" s="324"/>
      <c r="DP104" s="324"/>
      <c r="DQ104" s="324"/>
      <c r="DR104" s="324"/>
      <c r="DS104" s="324"/>
      <c r="DT104" s="324"/>
      <c r="DU104" s="324"/>
      <c r="DV104" s="324"/>
      <c r="DW104" s="324"/>
      <c r="DX104" s="324"/>
      <c r="DY104" s="324"/>
      <c r="DZ104" s="324"/>
      <c r="EA104" s="324"/>
      <c r="EB104" s="324"/>
      <c r="EC104" s="324"/>
      <c r="ED104" s="324"/>
      <c r="EE104" s="324"/>
      <c r="EF104" s="324"/>
      <c r="EG104" s="324"/>
      <c r="EH104" s="324"/>
      <c r="EI104" s="324"/>
      <c r="EJ104" s="324"/>
      <c r="EK104" s="324"/>
      <c r="EL104" s="324"/>
      <c r="EM104" s="324"/>
      <c r="EN104" s="324"/>
      <c r="EO104" s="324"/>
      <c r="EP104" s="324"/>
      <c r="EQ104" s="324"/>
      <c r="ER104" s="324"/>
      <c r="ES104" s="324"/>
      <c r="ET104" s="324"/>
      <c r="EU104" s="324"/>
      <c r="EV104" s="324"/>
      <c r="EW104" s="324"/>
      <c r="EX104" s="324"/>
      <c r="EY104" s="324"/>
      <c r="EZ104" s="324"/>
      <c r="FA104" s="324"/>
      <c r="FB104" s="324"/>
      <c r="FC104" s="324"/>
      <c r="FD104" s="324"/>
      <c r="FE104" s="324"/>
      <c r="FF104" s="324"/>
      <c r="FG104" s="324"/>
      <c r="FH104" s="324"/>
      <c r="FI104" s="324"/>
      <c r="FJ104" s="324"/>
      <c r="FK104" s="324"/>
      <c r="FL104" s="324"/>
      <c r="FM104" s="324"/>
      <c r="FN104" s="324"/>
      <c r="FO104" s="324"/>
      <c r="FP104" s="324"/>
      <c r="FQ104" s="324"/>
      <c r="FR104" s="324"/>
      <c r="FS104" s="324"/>
      <c r="FT104" s="324"/>
      <c r="FU104" s="324"/>
      <c r="FV104" s="324"/>
      <c r="FW104" s="324"/>
      <c r="FX104" s="324"/>
      <c r="FY104" s="324"/>
      <c r="FZ104" s="324"/>
      <c r="GA104" s="324"/>
      <c r="GB104" s="324"/>
      <c r="GC104" s="324"/>
      <c r="GD104" s="324"/>
      <c r="GE104" s="324"/>
      <c r="GF104" s="324"/>
      <c r="GG104" s="324"/>
      <c r="GH104" s="324"/>
      <c r="GI104" s="324"/>
      <c r="GJ104" s="324"/>
      <c r="GK104" s="324"/>
      <c r="GL104" s="324"/>
      <c r="GM104" s="324"/>
      <c r="GN104" s="324"/>
      <c r="GO104" s="324"/>
      <c r="GP104" s="324"/>
      <c r="GQ104" s="324"/>
      <c r="GR104" s="324"/>
      <c r="GS104" s="324"/>
      <c r="GT104" s="324"/>
      <c r="GU104" s="324"/>
      <c r="GV104" s="324"/>
      <c r="GW104" s="324"/>
      <c r="GX104" s="324"/>
      <c r="GY104" s="324"/>
      <c r="GZ104" s="324"/>
      <c r="HA104" s="324"/>
      <c r="HB104" s="324"/>
      <c r="HC104" s="324"/>
      <c r="HD104" s="324"/>
      <c r="HE104" s="324"/>
      <c r="HF104" s="324"/>
      <c r="HG104" s="324"/>
      <c r="HH104" s="324"/>
      <c r="HI104" s="324"/>
      <c r="HJ104" s="324"/>
      <c r="HK104" s="324"/>
      <c r="HL104" s="324"/>
      <c r="HM104" s="324"/>
      <c r="HN104" s="324"/>
      <c r="HO104" s="324"/>
      <c r="HP104" s="324"/>
      <c r="HQ104" s="324"/>
      <c r="HR104" s="324"/>
      <c r="HS104" s="324"/>
      <c r="HT104" s="324"/>
      <c r="HU104" s="324"/>
      <c r="HV104" s="324"/>
      <c r="HW104" s="324"/>
      <c r="HX104" s="324"/>
      <c r="HY104" s="324"/>
      <c r="HZ104" s="324"/>
      <c r="IA104" s="324"/>
      <c r="IB104" s="324"/>
      <c r="IC104" s="324"/>
      <c r="ID104" s="324"/>
      <c r="IE104" s="324"/>
      <c r="IF104" s="324"/>
      <c r="IG104" s="324"/>
      <c r="IH104" s="324"/>
      <c r="II104" s="324"/>
      <c r="IJ104" s="324"/>
      <c r="IK104" s="324"/>
      <c r="IL104" s="324"/>
      <c r="IM104" s="324"/>
    </row>
    <row r="105" spans="1:247" x14ac:dyDescent="0.35">
      <c r="A105" s="356">
        <v>3181</v>
      </c>
      <c r="B105" s="357" t="s">
        <v>112</v>
      </c>
      <c r="C105" s="172" t="s">
        <v>8</v>
      </c>
      <c r="D105" s="358" t="s">
        <v>2053</v>
      </c>
      <c r="E105" s="336">
        <f t="shared" si="18"/>
        <v>1.0740000000000001</v>
      </c>
      <c r="F105" s="331">
        <f t="shared" si="0"/>
        <v>1.0209999999999999</v>
      </c>
      <c r="G105" s="337"/>
      <c r="H105" s="336">
        <f t="shared" si="19"/>
        <v>1.0029999999999999</v>
      </c>
      <c r="I105" s="338">
        <f t="shared" si="20"/>
        <v>1.0289999999999999</v>
      </c>
      <c r="J105" s="338">
        <f t="shared" si="21"/>
        <v>1.0049999999999999</v>
      </c>
      <c r="K105" s="338">
        <f t="shared" si="22"/>
        <v>1.026</v>
      </c>
      <c r="L105" s="338">
        <f t="shared" si="23"/>
        <v>1.0129999999999999</v>
      </c>
      <c r="M105" s="338">
        <f t="shared" si="24"/>
        <v>1.0029999999999999</v>
      </c>
      <c r="N105" s="337">
        <f t="shared" si="17"/>
        <v>1.0029999999999999</v>
      </c>
      <c r="O105" s="339">
        <f t="shared" si="25"/>
        <v>1.0209999999999999</v>
      </c>
      <c r="P105" s="336">
        <f t="shared" si="14"/>
        <v>1.032</v>
      </c>
      <c r="Q105" s="337">
        <f t="shared" si="15"/>
        <v>1.0349999999999999</v>
      </c>
      <c r="R105" s="340">
        <f t="shared" si="1"/>
        <v>1.2969309498325658</v>
      </c>
      <c r="S105" s="324"/>
      <c r="T105" s="324"/>
      <c r="U105" s="324"/>
      <c r="V105" s="324"/>
      <c r="W105" s="324"/>
      <c r="X105" s="324"/>
      <c r="Y105" s="324"/>
      <c r="Z105" s="324"/>
      <c r="AA105" s="324"/>
      <c r="AB105" s="324"/>
      <c r="AC105" s="324"/>
      <c r="AD105" s="324"/>
      <c r="AE105" s="324"/>
      <c r="AF105" s="324"/>
      <c r="AG105" s="324"/>
      <c r="AH105" s="324"/>
      <c r="AI105" s="324"/>
      <c r="AJ105" s="324"/>
      <c r="AK105" s="324"/>
      <c r="AL105" s="324"/>
      <c r="AM105" s="324"/>
      <c r="AN105" s="324"/>
      <c r="AO105" s="324"/>
      <c r="AP105" s="324"/>
      <c r="AQ105" s="324"/>
      <c r="AR105" s="324"/>
      <c r="AS105" s="324"/>
      <c r="AT105" s="324"/>
      <c r="AU105" s="324"/>
      <c r="AV105" s="324"/>
      <c r="AW105" s="324"/>
      <c r="AX105" s="324"/>
      <c r="AY105" s="324"/>
      <c r="AZ105" s="324"/>
      <c r="BA105" s="324"/>
      <c r="BB105" s="324"/>
      <c r="BC105" s="324"/>
      <c r="BD105" s="324"/>
      <c r="BE105" s="324"/>
      <c r="BF105" s="324"/>
      <c r="BG105" s="324"/>
      <c r="BH105" s="324"/>
      <c r="BI105" s="324"/>
      <c r="BJ105" s="324"/>
      <c r="BK105" s="324"/>
      <c r="BL105" s="324"/>
      <c r="BM105" s="324"/>
      <c r="BN105" s="324"/>
      <c r="BO105" s="324"/>
      <c r="BP105" s="324"/>
      <c r="BQ105" s="324"/>
      <c r="BR105" s="324"/>
      <c r="BS105" s="324"/>
      <c r="BT105" s="324"/>
      <c r="BU105" s="324"/>
      <c r="BV105" s="324"/>
      <c r="BW105" s="324"/>
      <c r="BX105" s="324"/>
      <c r="BY105" s="324"/>
      <c r="BZ105" s="324"/>
      <c r="CA105" s="324"/>
      <c r="CB105" s="324"/>
      <c r="CC105" s="324"/>
      <c r="CD105" s="324"/>
      <c r="CE105" s="324"/>
      <c r="CF105" s="324"/>
      <c r="CG105" s="324"/>
      <c r="CH105" s="324"/>
      <c r="CI105" s="324"/>
      <c r="CJ105" s="324"/>
      <c r="CK105" s="324"/>
      <c r="CL105" s="324"/>
      <c r="CM105" s="324"/>
      <c r="CN105" s="324"/>
      <c r="CO105" s="324"/>
      <c r="CP105" s="324"/>
      <c r="CQ105" s="324"/>
      <c r="CR105" s="324"/>
      <c r="CS105" s="324"/>
      <c r="CT105" s="324"/>
      <c r="CU105" s="324"/>
      <c r="CV105" s="324"/>
      <c r="CW105" s="324"/>
      <c r="CX105" s="324"/>
      <c r="CY105" s="324"/>
      <c r="CZ105" s="324"/>
      <c r="DA105" s="324"/>
      <c r="DB105" s="324"/>
      <c r="DC105" s="324"/>
      <c r="DD105" s="324"/>
      <c r="DE105" s="324"/>
      <c r="DF105" s="324"/>
      <c r="DG105" s="324"/>
      <c r="DH105" s="324"/>
      <c r="DI105" s="324"/>
      <c r="DJ105" s="324"/>
      <c r="DK105" s="324"/>
      <c r="DL105" s="324"/>
      <c r="DM105" s="324"/>
      <c r="DN105" s="324"/>
      <c r="DO105" s="324"/>
      <c r="DP105" s="324"/>
      <c r="DQ105" s="324"/>
      <c r="DR105" s="324"/>
      <c r="DS105" s="324"/>
      <c r="DT105" s="324"/>
      <c r="DU105" s="324"/>
      <c r="DV105" s="324"/>
      <c r="DW105" s="324"/>
      <c r="DX105" s="324"/>
      <c r="DY105" s="324"/>
      <c r="DZ105" s="324"/>
      <c r="EA105" s="324"/>
      <c r="EB105" s="324"/>
      <c r="EC105" s="324"/>
      <c r="ED105" s="324"/>
      <c r="EE105" s="324"/>
      <c r="EF105" s="324"/>
      <c r="EG105" s="324"/>
      <c r="EH105" s="324"/>
      <c r="EI105" s="324"/>
      <c r="EJ105" s="324"/>
      <c r="EK105" s="324"/>
      <c r="EL105" s="324"/>
      <c r="EM105" s="324"/>
      <c r="EN105" s="324"/>
      <c r="EO105" s="324"/>
      <c r="EP105" s="324"/>
      <c r="EQ105" s="324"/>
      <c r="ER105" s="324"/>
      <c r="ES105" s="324"/>
      <c r="ET105" s="324"/>
      <c r="EU105" s="324"/>
      <c r="EV105" s="324"/>
      <c r="EW105" s="324"/>
      <c r="EX105" s="324"/>
      <c r="EY105" s="324"/>
      <c r="EZ105" s="324"/>
      <c r="FA105" s="324"/>
      <c r="FB105" s="324"/>
      <c r="FC105" s="324"/>
      <c r="FD105" s="324"/>
      <c r="FE105" s="324"/>
      <c r="FF105" s="324"/>
      <c r="FG105" s="324"/>
      <c r="FH105" s="324"/>
      <c r="FI105" s="324"/>
      <c r="FJ105" s="324"/>
      <c r="FK105" s="324"/>
      <c r="FL105" s="324"/>
      <c r="FM105" s="324"/>
      <c r="FN105" s="324"/>
      <c r="FO105" s="324"/>
      <c r="FP105" s="324"/>
      <c r="FQ105" s="324"/>
      <c r="FR105" s="324"/>
      <c r="FS105" s="324"/>
      <c r="FT105" s="324"/>
      <c r="FU105" s="324"/>
      <c r="FV105" s="324"/>
      <c r="FW105" s="324"/>
      <c r="FX105" s="324"/>
      <c r="FY105" s="324"/>
      <c r="FZ105" s="324"/>
      <c r="GA105" s="324"/>
      <c r="GB105" s="324"/>
      <c r="GC105" s="324"/>
      <c r="GD105" s="324"/>
      <c r="GE105" s="324"/>
      <c r="GF105" s="324"/>
      <c r="GG105" s="324"/>
      <c r="GH105" s="324"/>
      <c r="GI105" s="324"/>
      <c r="GJ105" s="324"/>
      <c r="GK105" s="324"/>
      <c r="GL105" s="324"/>
      <c r="GM105" s="324"/>
      <c r="GN105" s="324"/>
      <c r="GO105" s="324"/>
      <c r="GP105" s="324"/>
      <c r="GQ105" s="324"/>
      <c r="GR105" s="324"/>
      <c r="GS105" s="324"/>
      <c r="GT105" s="324"/>
      <c r="GU105" s="324"/>
      <c r="GV105" s="324"/>
      <c r="GW105" s="324"/>
      <c r="GX105" s="324"/>
      <c r="GY105" s="324"/>
      <c r="GZ105" s="324"/>
      <c r="HA105" s="324"/>
      <c r="HB105" s="324"/>
      <c r="HC105" s="324"/>
      <c r="HD105" s="324"/>
      <c r="HE105" s="324"/>
      <c r="HF105" s="324"/>
      <c r="HG105" s="324"/>
      <c r="HH105" s="324"/>
      <c r="HI105" s="324"/>
      <c r="HJ105" s="324"/>
      <c r="HK105" s="324"/>
      <c r="HL105" s="324"/>
      <c r="HM105" s="324"/>
      <c r="HN105" s="324"/>
      <c r="HO105" s="324"/>
      <c r="HP105" s="324"/>
      <c r="HQ105" s="324"/>
      <c r="HR105" s="324"/>
      <c r="HS105" s="324"/>
      <c r="HT105" s="324"/>
      <c r="HU105" s="324"/>
      <c r="HV105" s="324"/>
      <c r="HW105" s="324"/>
      <c r="HX105" s="324"/>
      <c r="HY105" s="324"/>
      <c r="HZ105" s="324"/>
      <c r="IA105" s="324"/>
      <c r="IB105" s="324"/>
      <c r="IC105" s="324"/>
      <c r="ID105" s="324"/>
      <c r="IE105" s="324"/>
      <c r="IF105" s="324"/>
      <c r="IG105" s="324"/>
      <c r="IH105" s="324"/>
      <c r="II105" s="324"/>
      <c r="IJ105" s="324"/>
      <c r="IK105" s="324"/>
      <c r="IL105" s="324"/>
      <c r="IM105" s="324"/>
    </row>
    <row r="106" spans="1:247" x14ac:dyDescent="0.35">
      <c r="A106" s="356">
        <v>3191</v>
      </c>
      <c r="B106" s="357" t="s">
        <v>113</v>
      </c>
      <c r="C106" s="172" t="s">
        <v>8</v>
      </c>
      <c r="D106" s="358" t="s">
        <v>2053</v>
      </c>
      <c r="E106" s="336">
        <f t="shared" si="18"/>
        <v>1.0740000000000001</v>
      </c>
      <c r="F106" s="331">
        <f t="shared" si="0"/>
        <v>1.0209999999999999</v>
      </c>
      <c r="G106" s="337">
        <f t="shared" si="16"/>
        <v>1.0269999999999999</v>
      </c>
      <c r="H106" s="336">
        <f t="shared" si="19"/>
        <v>1.0029999999999999</v>
      </c>
      <c r="I106" s="338">
        <f t="shared" si="20"/>
        <v>1.0289999999999999</v>
      </c>
      <c r="J106" s="338">
        <f t="shared" si="21"/>
        <v>1.0049999999999999</v>
      </c>
      <c r="K106" s="338">
        <f t="shared" si="22"/>
        <v>1.026</v>
      </c>
      <c r="L106" s="338">
        <f t="shared" si="23"/>
        <v>1.0129999999999999</v>
      </c>
      <c r="M106" s="338">
        <f t="shared" si="24"/>
        <v>1.0029999999999999</v>
      </c>
      <c r="N106" s="337">
        <f t="shared" si="17"/>
        <v>1.0029999999999999</v>
      </c>
      <c r="O106" s="339">
        <f t="shared" si="25"/>
        <v>1.0209999999999999</v>
      </c>
      <c r="P106" s="336">
        <f t="shared" si="14"/>
        <v>1.032</v>
      </c>
      <c r="Q106" s="337">
        <f t="shared" si="15"/>
        <v>1.0349999999999999</v>
      </c>
      <c r="R106" s="340">
        <f>PRODUCT(E106:Q106)</f>
        <v>1.3319480854780448</v>
      </c>
      <c r="S106" s="324"/>
      <c r="T106" s="324"/>
      <c r="U106" s="324"/>
      <c r="V106" s="324"/>
      <c r="W106" s="324"/>
      <c r="X106" s="324"/>
      <c r="Y106" s="324"/>
      <c r="Z106" s="324"/>
      <c r="AA106" s="324"/>
      <c r="AB106" s="324"/>
      <c r="AC106" s="324"/>
      <c r="AD106" s="324"/>
      <c r="AE106" s="324"/>
      <c r="AF106" s="324"/>
      <c r="AG106" s="324"/>
      <c r="AH106" s="324"/>
      <c r="AI106" s="324"/>
      <c r="AJ106" s="324"/>
      <c r="AK106" s="324"/>
      <c r="AL106" s="324"/>
      <c r="AM106" s="324"/>
      <c r="AN106" s="324"/>
      <c r="AO106" s="324"/>
      <c r="AP106" s="324"/>
      <c r="AQ106" s="324"/>
      <c r="AR106" s="324"/>
      <c r="AS106" s="324"/>
      <c r="AT106" s="324"/>
      <c r="AU106" s="324"/>
      <c r="AV106" s="324"/>
      <c r="AW106" s="324"/>
      <c r="AX106" s="324"/>
      <c r="AY106" s="324"/>
      <c r="AZ106" s="324"/>
      <c r="BA106" s="324"/>
      <c r="BB106" s="324"/>
      <c r="BC106" s="324"/>
      <c r="BD106" s="324"/>
      <c r="BE106" s="324"/>
      <c r="BF106" s="324"/>
      <c r="BG106" s="324"/>
      <c r="BH106" s="324"/>
      <c r="BI106" s="324"/>
      <c r="BJ106" s="324"/>
      <c r="BK106" s="324"/>
      <c r="BL106" s="324"/>
      <c r="BM106" s="324"/>
      <c r="BN106" s="324"/>
      <c r="BO106" s="324"/>
      <c r="BP106" s="324"/>
      <c r="BQ106" s="324"/>
      <c r="BR106" s="324"/>
      <c r="BS106" s="324"/>
      <c r="BT106" s="324"/>
      <c r="BU106" s="324"/>
      <c r="BV106" s="324"/>
      <c r="BW106" s="324"/>
      <c r="BX106" s="324"/>
      <c r="BY106" s="324"/>
      <c r="BZ106" s="324"/>
      <c r="CA106" s="324"/>
      <c r="CB106" s="324"/>
      <c r="CC106" s="324"/>
      <c r="CD106" s="324"/>
      <c r="CE106" s="324"/>
      <c r="CF106" s="324"/>
      <c r="CG106" s="324"/>
      <c r="CH106" s="324"/>
      <c r="CI106" s="324"/>
      <c r="CJ106" s="324"/>
      <c r="CK106" s="324"/>
      <c r="CL106" s="324"/>
      <c r="CM106" s="324"/>
      <c r="CN106" s="324"/>
      <c r="CO106" s="324"/>
      <c r="CP106" s="324"/>
      <c r="CQ106" s="324"/>
      <c r="CR106" s="324"/>
      <c r="CS106" s="324"/>
      <c r="CT106" s="324"/>
      <c r="CU106" s="324"/>
      <c r="CV106" s="324"/>
      <c r="CW106" s="324"/>
      <c r="CX106" s="324"/>
      <c r="CY106" s="324"/>
      <c r="CZ106" s="324"/>
      <c r="DA106" s="324"/>
      <c r="DB106" s="324"/>
      <c r="DC106" s="324"/>
      <c r="DD106" s="324"/>
      <c r="DE106" s="324"/>
      <c r="DF106" s="324"/>
      <c r="DG106" s="324"/>
      <c r="DH106" s="324"/>
      <c r="DI106" s="324"/>
      <c r="DJ106" s="324"/>
      <c r="DK106" s="324"/>
      <c r="DL106" s="324"/>
      <c r="DM106" s="324"/>
      <c r="DN106" s="324"/>
      <c r="DO106" s="324"/>
      <c r="DP106" s="324"/>
      <c r="DQ106" s="324"/>
      <c r="DR106" s="324"/>
      <c r="DS106" s="324"/>
      <c r="DT106" s="324"/>
      <c r="DU106" s="324"/>
      <c r="DV106" s="324"/>
      <c r="DW106" s="324"/>
      <c r="DX106" s="324"/>
      <c r="DY106" s="324"/>
      <c r="DZ106" s="324"/>
      <c r="EA106" s="324"/>
      <c r="EB106" s="324"/>
      <c r="EC106" s="324"/>
      <c r="ED106" s="324"/>
      <c r="EE106" s="324"/>
      <c r="EF106" s="324"/>
      <c r="EG106" s="324"/>
      <c r="EH106" s="324"/>
      <c r="EI106" s="324"/>
      <c r="EJ106" s="324"/>
      <c r="EK106" s="324"/>
      <c r="EL106" s="324"/>
      <c r="EM106" s="324"/>
      <c r="EN106" s="324"/>
      <c r="EO106" s="324"/>
      <c r="EP106" s="324"/>
      <c r="EQ106" s="324"/>
      <c r="ER106" s="324"/>
      <c r="ES106" s="324"/>
      <c r="ET106" s="324"/>
      <c r="EU106" s="324"/>
      <c r="EV106" s="324"/>
      <c r="EW106" s="324"/>
      <c r="EX106" s="324"/>
      <c r="EY106" s="324"/>
      <c r="EZ106" s="324"/>
      <c r="FA106" s="324"/>
      <c r="FB106" s="324"/>
      <c r="FC106" s="324"/>
      <c r="FD106" s="324"/>
      <c r="FE106" s="324"/>
      <c r="FF106" s="324"/>
      <c r="FG106" s="324"/>
      <c r="FH106" s="324"/>
      <c r="FI106" s="324"/>
      <c r="FJ106" s="324"/>
      <c r="FK106" s="324"/>
      <c r="FL106" s="324"/>
      <c r="FM106" s="324"/>
      <c r="FN106" s="324"/>
      <c r="FO106" s="324"/>
      <c r="FP106" s="324"/>
      <c r="FQ106" s="324"/>
      <c r="FR106" s="324"/>
      <c r="FS106" s="324"/>
      <c r="FT106" s="324"/>
      <c r="FU106" s="324"/>
      <c r="FV106" s="324"/>
      <c r="FW106" s="324"/>
      <c r="FX106" s="324"/>
      <c r="FY106" s="324"/>
      <c r="FZ106" s="324"/>
      <c r="GA106" s="324"/>
      <c r="GB106" s="324"/>
      <c r="GC106" s="324"/>
      <c r="GD106" s="324"/>
      <c r="GE106" s="324"/>
      <c r="GF106" s="324"/>
      <c r="GG106" s="324"/>
      <c r="GH106" s="324"/>
      <c r="GI106" s="324"/>
      <c r="GJ106" s="324"/>
      <c r="GK106" s="324"/>
      <c r="GL106" s="324"/>
      <c r="GM106" s="324"/>
      <c r="GN106" s="324"/>
      <c r="GO106" s="324"/>
      <c r="GP106" s="324"/>
      <c r="GQ106" s="324"/>
      <c r="GR106" s="324"/>
      <c r="GS106" s="324"/>
      <c r="GT106" s="324"/>
      <c r="GU106" s="324"/>
      <c r="GV106" s="324"/>
      <c r="GW106" s="324"/>
      <c r="GX106" s="324"/>
      <c r="GY106" s="324"/>
      <c r="GZ106" s="324"/>
      <c r="HA106" s="324"/>
      <c r="HB106" s="324"/>
      <c r="HC106" s="324"/>
      <c r="HD106" s="324"/>
      <c r="HE106" s="324"/>
      <c r="HF106" s="324"/>
      <c r="HG106" s="324"/>
      <c r="HH106" s="324"/>
      <c r="HI106" s="324"/>
      <c r="HJ106" s="324"/>
      <c r="HK106" s="324"/>
      <c r="HL106" s="324"/>
      <c r="HM106" s="324"/>
      <c r="HN106" s="324"/>
      <c r="HO106" s="324"/>
      <c r="HP106" s="324"/>
      <c r="HQ106" s="324"/>
      <c r="HR106" s="324"/>
      <c r="HS106" s="324"/>
      <c r="HT106" s="324"/>
      <c r="HU106" s="324"/>
      <c r="HV106" s="324"/>
      <c r="HW106" s="324"/>
      <c r="HX106" s="324"/>
      <c r="HY106" s="324"/>
      <c r="HZ106" s="324"/>
      <c r="IA106" s="324"/>
      <c r="IB106" s="324"/>
      <c r="IC106" s="324"/>
      <c r="ID106" s="324"/>
      <c r="IE106" s="324"/>
      <c r="IF106" s="324"/>
      <c r="IG106" s="324"/>
      <c r="IH106" s="324"/>
      <c r="II106" s="324"/>
      <c r="IJ106" s="324"/>
      <c r="IK106" s="324"/>
      <c r="IL106" s="324"/>
      <c r="IM106" s="324"/>
    </row>
    <row r="107" spans="1:247" x14ac:dyDescent="0.35">
      <c r="A107" s="356">
        <v>3201</v>
      </c>
      <c r="B107" s="357" t="s">
        <v>114</v>
      </c>
      <c r="C107" s="172" t="s">
        <v>8</v>
      </c>
      <c r="D107" s="358" t="s">
        <v>2053</v>
      </c>
      <c r="E107" s="336">
        <f t="shared" si="18"/>
        <v>1.0740000000000001</v>
      </c>
      <c r="F107" s="331">
        <f t="shared" si="0"/>
        <v>1.0209999999999999</v>
      </c>
      <c r="G107" s="337">
        <f t="shared" si="16"/>
        <v>1.0269999999999999</v>
      </c>
      <c r="H107" s="336">
        <f t="shared" si="19"/>
        <v>1.0029999999999999</v>
      </c>
      <c r="I107" s="338">
        <f t="shared" si="20"/>
        <v>1.0289999999999999</v>
      </c>
      <c r="J107" s="338">
        <f t="shared" si="21"/>
        <v>1.0049999999999999</v>
      </c>
      <c r="K107" s="338">
        <f t="shared" si="22"/>
        <v>1.026</v>
      </c>
      <c r="L107" s="338">
        <f t="shared" si="23"/>
        <v>1.0129999999999999</v>
      </c>
      <c r="M107" s="338">
        <f t="shared" si="24"/>
        <v>1.0029999999999999</v>
      </c>
      <c r="N107" s="337">
        <f t="shared" si="17"/>
        <v>1.0029999999999999</v>
      </c>
      <c r="O107" s="339">
        <f t="shared" si="25"/>
        <v>1.0209999999999999</v>
      </c>
      <c r="P107" s="336">
        <f t="shared" si="14"/>
        <v>1.032</v>
      </c>
      <c r="Q107" s="337">
        <f t="shared" si="15"/>
        <v>1.0349999999999999</v>
      </c>
      <c r="R107" s="340">
        <f>PRODUCT(E107:Q107)</f>
        <v>1.3319480854780448</v>
      </c>
      <c r="S107" s="324"/>
      <c r="T107" s="324"/>
      <c r="U107" s="324"/>
      <c r="V107" s="324"/>
      <c r="W107" s="324"/>
      <c r="X107" s="324"/>
      <c r="Y107" s="324"/>
      <c r="Z107" s="324"/>
      <c r="AA107" s="324"/>
      <c r="AB107" s="324"/>
      <c r="AC107" s="324"/>
      <c r="AD107" s="324"/>
      <c r="AE107" s="324"/>
      <c r="AF107" s="324"/>
      <c r="AG107" s="324"/>
      <c r="AH107" s="324"/>
      <c r="AI107" s="324"/>
      <c r="AJ107" s="324"/>
      <c r="AK107" s="324"/>
      <c r="AL107" s="324"/>
      <c r="AM107" s="324"/>
      <c r="AN107" s="324"/>
      <c r="AO107" s="324"/>
      <c r="AP107" s="324"/>
      <c r="AQ107" s="324"/>
      <c r="AR107" s="324"/>
      <c r="AS107" s="324"/>
      <c r="AT107" s="324"/>
      <c r="AU107" s="324"/>
      <c r="AV107" s="324"/>
      <c r="AW107" s="324"/>
      <c r="AX107" s="324"/>
      <c r="AY107" s="324"/>
      <c r="AZ107" s="324"/>
      <c r="BA107" s="324"/>
      <c r="BB107" s="324"/>
      <c r="BC107" s="324"/>
      <c r="BD107" s="324"/>
      <c r="BE107" s="324"/>
      <c r="BF107" s="324"/>
      <c r="BG107" s="324"/>
      <c r="BH107" s="324"/>
      <c r="BI107" s="324"/>
      <c r="BJ107" s="324"/>
      <c r="BK107" s="324"/>
      <c r="BL107" s="324"/>
      <c r="BM107" s="324"/>
      <c r="BN107" s="324"/>
      <c r="BO107" s="324"/>
      <c r="BP107" s="324"/>
      <c r="BQ107" s="324"/>
      <c r="BR107" s="324"/>
      <c r="BS107" s="324"/>
      <c r="BT107" s="324"/>
      <c r="BU107" s="324"/>
      <c r="BV107" s="324"/>
      <c r="BW107" s="324"/>
      <c r="BX107" s="324"/>
      <c r="BY107" s="324"/>
      <c r="BZ107" s="324"/>
      <c r="CA107" s="324"/>
      <c r="CB107" s="324"/>
      <c r="CC107" s="324"/>
      <c r="CD107" s="324"/>
      <c r="CE107" s="324"/>
      <c r="CF107" s="324"/>
      <c r="CG107" s="324"/>
      <c r="CH107" s="324"/>
      <c r="CI107" s="324"/>
      <c r="CJ107" s="324"/>
      <c r="CK107" s="324"/>
      <c r="CL107" s="324"/>
      <c r="CM107" s="324"/>
      <c r="CN107" s="324"/>
      <c r="CO107" s="324"/>
      <c r="CP107" s="324"/>
      <c r="CQ107" s="324"/>
      <c r="CR107" s="324"/>
      <c r="CS107" s="324"/>
      <c r="CT107" s="324"/>
      <c r="CU107" s="324"/>
      <c r="CV107" s="324"/>
      <c r="CW107" s="324"/>
      <c r="CX107" s="324"/>
      <c r="CY107" s="324"/>
      <c r="CZ107" s="324"/>
      <c r="DA107" s="324"/>
      <c r="DB107" s="324"/>
      <c r="DC107" s="324"/>
      <c r="DD107" s="324"/>
      <c r="DE107" s="324"/>
      <c r="DF107" s="324"/>
      <c r="DG107" s="324"/>
      <c r="DH107" s="324"/>
      <c r="DI107" s="324"/>
      <c r="DJ107" s="324"/>
      <c r="DK107" s="324"/>
      <c r="DL107" s="324"/>
      <c r="DM107" s="324"/>
      <c r="DN107" s="324"/>
      <c r="DO107" s="324"/>
      <c r="DP107" s="324"/>
      <c r="DQ107" s="324"/>
      <c r="DR107" s="324"/>
      <c r="DS107" s="324"/>
      <c r="DT107" s="324"/>
      <c r="DU107" s="324"/>
      <c r="DV107" s="324"/>
      <c r="DW107" s="324"/>
      <c r="DX107" s="324"/>
      <c r="DY107" s="324"/>
      <c r="DZ107" s="324"/>
      <c r="EA107" s="324"/>
      <c r="EB107" s="324"/>
      <c r="EC107" s="324"/>
      <c r="ED107" s="324"/>
      <c r="EE107" s="324"/>
      <c r="EF107" s="324"/>
      <c r="EG107" s="324"/>
      <c r="EH107" s="324"/>
      <c r="EI107" s="324"/>
      <c r="EJ107" s="324"/>
      <c r="EK107" s="324"/>
      <c r="EL107" s="324"/>
      <c r="EM107" s="324"/>
      <c r="EN107" s="324"/>
      <c r="EO107" s="324"/>
      <c r="EP107" s="324"/>
      <c r="EQ107" s="324"/>
      <c r="ER107" s="324"/>
      <c r="ES107" s="324"/>
      <c r="ET107" s="324"/>
      <c r="EU107" s="324"/>
      <c r="EV107" s="324"/>
      <c r="EW107" s="324"/>
      <c r="EX107" s="324"/>
      <c r="EY107" s="324"/>
      <c r="EZ107" s="324"/>
      <c r="FA107" s="324"/>
      <c r="FB107" s="324"/>
      <c r="FC107" s="324"/>
      <c r="FD107" s="324"/>
      <c r="FE107" s="324"/>
      <c r="FF107" s="324"/>
      <c r="FG107" s="324"/>
      <c r="FH107" s="324"/>
      <c r="FI107" s="324"/>
      <c r="FJ107" s="324"/>
      <c r="FK107" s="324"/>
      <c r="FL107" s="324"/>
      <c r="FM107" s="324"/>
      <c r="FN107" s="324"/>
      <c r="FO107" s="324"/>
      <c r="FP107" s="324"/>
      <c r="FQ107" s="324"/>
      <c r="FR107" s="324"/>
      <c r="FS107" s="324"/>
      <c r="FT107" s="324"/>
      <c r="FU107" s="324"/>
      <c r="FV107" s="324"/>
      <c r="FW107" s="324"/>
      <c r="FX107" s="324"/>
      <c r="FY107" s="324"/>
      <c r="FZ107" s="324"/>
      <c r="GA107" s="324"/>
      <c r="GB107" s="324"/>
      <c r="GC107" s="324"/>
      <c r="GD107" s="324"/>
      <c r="GE107" s="324"/>
      <c r="GF107" s="324"/>
      <c r="GG107" s="324"/>
      <c r="GH107" s="324"/>
      <c r="GI107" s="324"/>
      <c r="GJ107" s="324"/>
      <c r="GK107" s="324"/>
      <c r="GL107" s="324"/>
      <c r="GM107" s="324"/>
      <c r="GN107" s="324"/>
      <c r="GO107" s="324"/>
      <c r="GP107" s="324"/>
      <c r="GQ107" s="324"/>
      <c r="GR107" s="324"/>
      <c r="GS107" s="324"/>
      <c r="GT107" s="324"/>
      <c r="GU107" s="324"/>
      <c r="GV107" s="324"/>
      <c r="GW107" s="324"/>
      <c r="GX107" s="324"/>
      <c r="GY107" s="324"/>
      <c r="GZ107" s="324"/>
      <c r="HA107" s="324"/>
      <c r="HB107" s="324"/>
      <c r="HC107" s="324"/>
      <c r="HD107" s="324"/>
      <c r="HE107" s="324"/>
      <c r="HF107" s="324"/>
      <c r="HG107" s="324"/>
      <c r="HH107" s="324"/>
      <c r="HI107" s="324"/>
      <c r="HJ107" s="324"/>
      <c r="HK107" s="324"/>
      <c r="HL107" s="324"/>
      <c r="HM107" s="324"/>
      <c r="HN107" s="324"/>
      <c r="HO107" s="324"/>
      <c r="HP107" s="324"/>
      <c r="HQ107" s="324"/>
      <c r="HR107" s="324"/>
      <c r="HS107" s="324"/>
      <c r="HT107" s="324"/>
      <c r="HU107" s="324"/>
      <c r="HV107" s="324"/>
      <c r="HW107" s="324"/>
      <c r="HX107" s="324"/>
      <c r="HY107" s="324"/>
      <c r="HZ107" s="324"/>
      <c r="IA107" s="324"/>
      <c r="IB107" s="324"/>
      <c r="IC107" s="324"/>
      <c r="ID107" s="324"/>
      <c r="IE107" s="324"/>
      <c r="IF107" s="324"/>
      <c r="IG107" s="324"/>
      <c r="IH107" s="324"/>
      <c r="II107" s="324"/>
      <c r="IJ107" s="324"/>
      <c r="IK107" s="324"/>
      <c r="IL107" s="324"/>
      <c r="IM107" s="324"/>
    </row>
    <row r="108" spans="1:247" x14ac:dyDescent="0.35">
      <c r="A108" s="356">
        <v>4114</v>
      </c>
      <c r="B108" s="357" t="s">
        <v>115</v>
      </c>
      <c r="C108" s="172" t="s">
        <v>5</v>
      </c>
      <c r="D108" s="358" t="s">
        <v>2051</v>
      </c>
      <c r="E108" s="336"/>
      <c r="F108" s="331">
        <f t="shared" si="0"/>
        <v>1.0209999999999999</v>
      </c>
      <c r="G108" s="337"/>
      <c r="H108" s="336"/>
      <c r="I108" s="338"/>
      <c r="J108" s="338"/>
      <c r="K108" s="338"/>
      <c r="L108" s="338"/>
      <c r="M108" s="338"/>
      <c r="N108" s="337"/>
      <c r="O108" s="339"/>
      <c r="P108" s="336"/>
      <c r="Q108" s="337"/>
      <c r="R108" s="340">
        <f t="shared" si="1"/>
        <v>1.0209999999999999</v>
      </c>
      <c r="S108" s="324"/>
      <c r="T108" s="324"/>
      <c r="U108" s="324"/>
      <c r="V108" s="324"/>
      <c r="W108" s="324"/>
      <c r="X108" s="324"/>
      <c r="Y108" s="324"/>
      <c r="Z108" s="324"/>
      <c r="AA108" s="324"/>
      <c r="AB108" s="324"/>
      <c r="AC108" s="324"/>
      <c r="AD108" s="324"/>
      <c r="AE108" s="324"/>
      <c r="AF108" s="324"/>
      <c r="AG108" s="324"/>
      <c r="AH108" s="324"/>
      <c r="AI108" s="324"/>
      <c r="AJ108" s="324"/>
      <c r="AK108" s="324"/>
      <c r="AL108" s="324"/>
      <c r="AM108" s="324"/>
      <c r="AN108" s="324"/>
      <c r="AO108" s="324"/>
      <c r="AP108" s="324"/>
      <c r="AQ108" s="324"/>
      <c r="AR108" s="324"/>
      <c r="AS108" s="324"/>
      <c r="AT108" s="324"/>
      <c r="AU108" s="324"/>
      <c r="AV108" s="324"/>
      <c r="AW108" s="324"/>
      <c r="AX108" s="324"/>
      <c r="AY108" s="324"/>
      <c r="AZ108" s="324"/>
      <c r="BA108" s="324"/>
      <c r="BB108" s="324"/>
      <c r="BC108" s="324"/>
      <c r="BD108" s="324"/>
      <c r="BE108" s="324"/>
      <c r="BF108" s="324"/>
      <c r="BG108" s="324"/>
      <c r="BH108" s="324"/>
      <c r="BI108" s="324"/>
      <c r="BJ108" s="324"/>
      <c r="BK108" s="324"/>
      <c r="BL108" s="324"/>
      <c r="BM108" s="324"/>
      <c r="BN108" s="324"/>
      <c r="BO108" s="324"/>
      <c r="BP108" s="324"/>
      <c r="BQ108" s="324"/>
      <c r="BR108" s="324"/>
      <c r="BS108" s="324"/>
      <c r="BT108" s="324"/>
      <c r="BU108" s="324"/>
      <c r="BV108" s="324"/>
      <c r="BW108" s="324"/>
      <c r="BX108" s="324"/>
      <c r="BY108" s="324"/>
      <c r="BZ108" s="324"/>
      <c r="CA108" s="324"/>
      <c r="CB108" s="324"/>
      <c r="CC108" s="324"/>
      <c r="CD108" s="324"/>
      <c r="CE108" s="324"/>
      <c r="CF108" s="324"/>
      <c r="CG108" s="324"/>
      <c r="CH108" s="324"/>
      <c r="CI108" s="324"/>
      <c r="CJ108" s="324"/>
      <c r="CK108" s="324"/>
      <c r="CL108" s="324"/>
      <c r="CM108" s="324"/>
      <c r="CN108" s="324"/>
      <c r="CO108" s="324"/>
      <c r="CP108" s="324"/>
      <c r="CQ108" s="324"/>
      <c r="CR108" s="324"/>
      <c r="CS108" s="324"/>
      <c r="CT108" s="324"/>
      <c r="CU108" s="324"/>
      <c r="CV108" s="324"/>
      <c r="CW108" s="324"/>
      <c r="CX108" s="324"/>
      <c r="CY108" s="324"/>
      <c r="CZ108" s="324"/>
      <c r="DA108" s="324"/>
      <c r="DB108" s="324"/>
      <c r="DC108" s="324"/>
      <c r="DD108" s="324"/>
      <c r="DE108" s="324"/>
      <c r="DF108" s="324"/>
      <c r="DG108" s="324"/>
      <c r="DH108" s="324"/>
      <c r="DI108" s="324"/>
      <c r="DJ108" s="324"/>
      <c r="DK108" s="324"/>
      <c r="DL108" s="324"/>
      <c r="DM108" s="324"/>
      <c r="DN108" s="324"/>
      <c r="DO108" s="324"/>
      <c r="DP108" s="324"/>
      <c r="DQ108" s="324"/>
      <c r="DR108" s="324"/>
      <c r="DS108" s="324"/>
      <c r="DT108" s="324"/>
      <c r="DU108" s="324"/>
      <c r="DV108" s="324"/>
      <c r="DW108" s="324"/>
      <c r="DX108" s="324"/>
      <c r="DY108" s="324"/>
      <c r="DZ108" s="324"/>
      <c r="EA108" s="324"/>
      <c r="EB108" s="324"/>
      <c r="EC108" s="324"/>
      <c r="ED108" s="324"/>
      <c r="EE108" s="324"/>
      <c r="EF108" s="324"/>
      <c r="EG108" s="324"/>
      <c r="EH108" s="324"/>
      <c r="EI108" s="324"/>
      <c r="EJ108" s="324"/>
      <c r="EK108" s="324"/>
      <c r="EL108" s="324"/>
      <c r="EM108" s="324"/>
      <c r="EN108" s="324"/>
      <c r="EO108" s="324"/>
      <c r="EP108" s="324"/>
      <c r="EQ108" s="324"/>
      <c r="ER108" s="324"/>
      <c r="ES108" s="324"/>
      <c r="ET108" s="324"/>
      <c r="EU108" s="324"/>
      <c r="EV108" s="324"/>
      <c r="EW108" s="324"/>
      <c r="EX108" s="324"/>
      <c r="EY108" s="324"/>
      <c r="EZ108" s="324"/>
      <c r="FA108" s="324"/>
      <c r="FB108" s="324"/>
      <c r="FC108" s="324"/>
      <c r="FD108" s="324"/>
      <c r="FE108" s="324"/>
      <c r="FF108" s="324"/>
      <c r="FG108" s="324"/>
      <c r="FH108" s="324"/>
      <c r="FI108" s="324"/>
      <c r="FJ108" s="324"/>
      <c r="FK108" s="324"/>
      <c r="FL108" s="324"/>
      <c r="FM108" s="324"/>
      <c r="FN108" s="324"/>
      <c r="FO108" s="324"/>
      <c r="FP108" s="324"/>
      <c r="FQ108" s="324"/>
      <c r="FR108" s="324"/>
      <c r="FS108" s="324"/>
      <c r="FT108" s="324"/>
      <c r="FU108" s="324"/>
      <c r="FV108" s="324"/>
      <c r="FW108" s="324"/>
      <c r="FX108" s="324"/>
      <c r="FY108" s="324"/>
      <c r="FZ108" s="324"/>
      <c r="GA108" s="324"/>
      <c r="GB108" s="324"/>
      <c r="GC108" s="324"/>
      <c r="GD108" s="324"/>
      <c r="GE108" s="324"/>
      <c r="GF108" s="324"/>
      <c r="GG108" s="324"/>
      <c r="GH108" s="324"/>
      <c r="GI108" s="324"/>
      <c r="GJ108" s="324"/>
      <c r="GK108" s="324"/>
      <c r="GL108" s="324"/>
      <c r="GM108" s="324"/>
      <c r="GN108" s="324"/>
      <c r="GO108" s="324"/>
      <c r="GP108" s="324"/>
      <c r="GQ108" s="324"/>
      <c r="GR108" s="324"/>
      <c r="GS108" s="324"/>
      <c r="GT108" s="324"/>
      <c r="GU108" s="324"/>
      <c r="GV108" s="324"/>
      <c r="GW108" s="324"/>
      <c r="GX108" s="324"/>
      <c r="GY108" s="324"/>
      <c r="GZ108" s="324"/>
      <c r="HA108" s="324"/>
      <c r="HB108" s="324"/>
      <c r="HC108" s="324"/>
      <c r="HD108" s="324"/>
      <c r="HE108" s="324"/>
      <c r="HF108" s="324"/>
      <c r="HG108" s="324"/>
      <c r="HH108" s="324"/>
      <c r="HI108" s="324"/>
      <c r="HJ108" s="324"/>
      <c r="HK108" s="324"/>
      <c r="HL108" s="324"/>
      <c r="HM108" s="324"/>
      <c r="HN108" s="324"/>
      <c r="HO108" s="324"/>
      <c r="HP108" s="324"/>
      <c r="HQ108" s="324"/>
      <c r="HR108" s="324"/>
      <c r="HS108" s="324"/>
      <c r="HT108" s="324"/>
      <c r="HU108" s="324"/>
      <c r="HV108" s="324"/>
      <c r="HW108" s="324"/>
      <c r="HX108" s="324"/>
      <c r="HY108" s="324"/>
      <c r="HZ108" s="324"/>
      <c r="IA108" s="324"/>
      <c r="IB108" s="324"/>
      <c r="IC108" s="324"/>
      <c r="ID108" s="324"/>
      <c r="IE108" s="324"/>
      <c r="IF108" s="324"/>
      <c r="IG108" s="324"/>
      <c r="IH108" s="324"/>
      <c r="II108" s="324"/>
      <c r="IJ108" s="324"/>
      <c r="IK108" s="324"/>
      <c r="IL108" s="324"/>
      <c r="IM108" s="324"/>
    </row>
    <row r="109" spans="1:247" x14ac:dyDescent="0.35">
      <c r="A109" s="356">
        <v>4212</v>
      </c>
      <c r="B109" s="357" t="s">
        <v>116</v>
      </c>
      <c r="C109" s="172" t="s">
        <v>8</v>
      </c>
      <c r="D109" s="358" t="s">
        <v>2053</v>
      </c>
      <c r="E109" s="336"/>
      <c r="F109" s="331">
        <f t="shared" si="0"/>
        <v>1.0209999999999999</v>
      </c>
      <c r="G109" s="337">
        <f>+$G$3</f>
        <v>1.0269999999999999</v>
      </c>
      <c r="H109" s="336">
        <f>+$H$3</f>
        <v>1.0029999999999999</v>
      </c>
      <c r="I109" s="338">
        <f>+$I$3</f>
        <v>1.0289999999999999</v>
      </c>
      <c r="J109" s="338">
        <f>+$J$3</f>
        <v>1.0049999999999999</v>
      </c>
      <c r="K109" s="338"/>
      <c r="L109" s="338"/>
      <c r="M109" s="338">
        <f>+$M$3</f>
        <v>1.0029999999999999</v>
      </c>
      <c r="N109" s="337">
        <f>+$N$3</f>
        <v>1.0029999999999999</v>
      </c>
      <c r="O109" s="339">
        <f>+$O$3</f>
        <v>1.0209999999999999</v>
      </c>
      <c r="P109" s="336">
        <f>+$P$3</f>
        <v>1.032</v>
      </c>
      <c r="Q109" s="337">
        <f>+$Q$3</f>
        <v>1.0349999999999999</v>
      </c>
      <c r="R109" s="340">
        <f t="shared" si="1"/>
        <v>1.1932356231980656</v>
      </c>
      <c r="S109" s="324"/>
      <c r="T109" s="324"/>
      <c r="U109" s="324"/>
      <c r="V109" s="324"/>
      <c r="W109" s="324"/>
      <c r="X109" s="324"/>
      <c r="Y109" s="324"/>
      <c r="Z109" s="324"/>
      <c r="AA109" s="324"/>
      <c r="AB109" s="324"/>
      <c r="AC109" s="324"/>
      <c r="AD109" s="324"/>
      <c r="AE109" s="324"/>
      <c r="AF109" s="324"/>
      <c r="AG109" s="324"/>
      <c r="AH109" s="324"/>
      <c r="AI109" s="324"/>
      <c r="AJ109" s="324"/>
      <c r="AK109" s="324"/>
      <c r="AL109" s="324"/>
      <c r="AM109" s="324"/>
      <c r="AN109" s="324"/>
      <c r="AO109" s="324"/>
      <c r="AP109" s="324"/>
      <c r="AQ109" s="324"/>
      <c r="AR109" s="324"/>
      <c r="AS109" s="324"/>
      <c r="AT109" s="324"/>
      <c r="AU109" s="324"/>
      <c r="AV109" s="324"/>
      <c r="AW109" s="324"/>
      <c r="AX109" s="324"/>
      <c r="AY109" s="324"/>
      <c r="AZ109" s="324"/>
      <c r="BA109" s="324"/>
      <c r="BB109" s="324"/>
      <c r="BC109" s="324"/>
      <c r="BD109" s="324"/>
      <c r="BE109" s="324"/>
      <c r="BF109" s="324"/>
      <c r="BG109" s="324"/>
      <c r="BH109" s="324"/>
      <c r="BI109" s="324"/>
      <c r="BJ109" s="324"/>
      <c r="BK109" s="324"/>
      <c r="BL109" s="324"/>
      <c r="BM109" s="324"/>
      <c r="BN109" s="324"/>
      <c r="BO109" s="324"/>
      <c r="BP109" s="324"/>
      <c r="BQ109" s="324"/>
      <c r="BR109" s="324"/>
      <c r="BS109" s="324"/>
      <c r="BT109" s="324"/>
      <c r="BU109" s="324"/>
      <c r="BV109" s="324"/>
      <c r="BW109" s="324"/>
      <c r="BX109" s="324"/>
      <c r="BY109" s="324"/>
      <c r="BZ109" s="324"/>
      <c r="CA109" s="324"/>
      <c r="CB109" s="324"/>
      <c r="CC109" s="324"/>
      <c r="CD109" s="324"/>
      <c r="CE109" s="324"/>
      <c r="CF109" s="324"/>
      <c r="CG109" s="324"/>
      <c r="CH109" s="324"/>
      <c r="CI109" s="324"/>
      <c r="CJ109" s="324"/>
      <c r="CK109" s="324"/>
      <c r="CL109" s="324"/>
      <c r="CM109" s="324"/>
      <c r="CN109" s="324"/>
      <c r="CO109" s="324"/>
      <c r="CP109" s="324"/>
      <c r="CQ109" s="324"/>
      <c r="CR109" s="324"/>
      <c r="CS109" s="324"/>
      <c r="CT109" s="324"/>
      <c r="CU109" s="324"/>
      <c r="CV109" s="324"/>
      <c r="CW109" s="324"/>
      <c r="CX109" s="324"/>
      <c r="CY109" s="324"/>
      <c r="CZ109" s="324"/>
      <c r="DA109" s="324"/>
      <c r="DB109" s="324"/>
      <c r="DC109" s="324"/>
      <c r="DD109" s="324"/>
      <c r="DE109" s="324"/>
      <c r="DF109" s="324"/>
      <c r="DG109" s="324"/>
      <c r="DH109" s="324"/>
      <c r="DI109" s="324"/>
      <c r="DJ109" s="324"/>
      <c r="DK109" s="324"/>
      <c r="DL109" s="324"/>
      <c r="DM109" s="324"/>
      <c r="DN109" s="324"/>
      <c r="DO109" s="324"/>
      <c r="DP109" s="324"/>
      <c r="DQ109" s="324"/>
      <c r="DR109" s="324"/>
      <c r="DS109" s="324"/>
      <c r="DT109" s="324"/>
      <c r="DU109" s="324"/>
      <c r="DV109" s="324"/>
      <c r="DW109" s="324"/>
      <c r="DX109" s="324"/>
      <c r="DY109" s="324"/>
      <c r="DZ109" s="324"/>
      <c r="EA109" s="324"/>
      <c r="EB109" s="324"/>
      <c r="EC109" s="324"/>
      <c r="ED109" s="324"/>
      <c r="EE109" s="324"/>
      <c r="EF109" s="324"/>
      <c r="EG109" s="324"/>
      <c r="EH109" s="324"/>
      <c r="EI109" s="324"/>
      <c r="EJ109" s="324"/>
      <c r="EK109" s="324"/>
      <c r="EL109" s="324"/>
      <c r="EM109" s="324"/>
      <c r="EN109" s="324"/>
      <c r="EO109" s="324"/>
      <c r="EP109" s="324"/>
      <c r="EQ109" s="324"/>
      <c r="ER109" s="324"/>
      <c r="ES109" s="324"/>
      <c r="ET109" s="324"/>
      <c r="EU109" s="324"/>
      <c r="EV109" s="324"/>
      <c r="EW109" s="324"/>
      <c r="EX109" s="324"/>
      <c r="EY109" s="324"/>
      <c r="EZ109" s="324"/>
      <c r="FA109" s="324"/>
      <c r="FB109" s="324"/>
      <c r="FC109" s="324"/>
      <c r="FD109" s="324"/>
      <c r="FE109" s="324"/>
      <c r="FF109" s="324"/>
      <c r="FG109" s="324"/>
      <c r="FH109" s="324"/>
      <c r="FI109" s="324"/>
      <c r="FJ109" s="324"/>
      <c r="FK109" s="324"/>
      <c r="FL109" s="324"/>
      <c r="FM109" s="324"/>
      <c r="FN109" s="324"/>
      <c r="FO109" s="324"/>
      <c r="FP109" s="324"/>
      <c r="FQ109" s="324"/>
      <c r="FR109" s="324"/>
      <c r="FS109" s="324"/>
      <c r="FT109" s="324"/>
      <c r="FU109" s="324"/>
      <c r="FV109" s="324"/>
      <c r="FW109" s="324"/>
      <c r="FX109" s="324"/>
      <c r="FY109" s="324"/>
      <c r="FZ109" s="324"/>
      <c r="GA109" s="324"/>
      <c r="GB109" s="324"/>
      <c r="GC109" s="324"/>
      <c r="GD109" s="324"/>
      <c r="GE109" s="324"/>
      <c r="GF109" s="324"/>
      <c r="GG109" s="324"/>
      <c r="GH109" s="324"/>
      <c r="GI109" s="324"/>
      <c r="GJ109" s="324"/>
      <c r="GK109" s="324"/>
      <c r="GL109" s="324"/>
      <c r="GM109" s="324"/>
      <c r="GN109" s="324"/>
      <c r="GO109" s="324"/>
      <c r="GP109" s="324"/>
      <c r="GQ109" s="324"/>
      <c r="GR109" s="324"/>
      <c r="GS109" s="324"/>
      <c r="GT109" s="324"/>
      <c r="GU109" s="324"/>
      <c r="GV109" s="324"/>
      <c r="GW109" s="324"/>
      <c r="GX109" s="324"/>
      <c r="GY109" s="324"/>
      <c r="GZ109" s="324"/>
      <c r="HA109" s="324"/>
      <c r="HB109" s="324"/>
      <c r="HC109" s="324"/>
      <c r="HD109" s="324"/>
      <c r="HE109" s="324"/>
      <c r="HF109" s="324"/>
      <c r="HG109" s="324"/>
      <c r="HH109" s="324"/>
      <c r="HI109" s="324"/>
      <c r="HJ109" s="324"/>
      <c r="HK109" s="324"/>
      <c r="HL109" s="324"/>
      <c r="HM109" s="324"/>
      <c r="HN109" s="324"/>
      <c r="HO109" s="324"/>
      <c r="HP109" s="324"/>
      <c r="HQ109" s="324"/>
      <c r="HR109" s="324"/>
      <c r="HS109" s="324"/>
      <c r="HT109" s="324"/>
      <c r="HU109" s="324"/>
      <c r="HV109" s="324"/>
      <c r="HW109" s="324"/>
      <c r="HX109" s="324"/>
      <c r="HY109" s="324"/>
      <c r="HZ109" s="324"/>
      <c r="IA109" s="324"/>
      <c r="IB109" s="324"/>
      <c r="IC109" s="324"/>
      <c r="ID109" s="324"/>
      <c r="IE109" s="324"/>
      <c r="IF109" s="324"/>
      <c r="IG109" s="324"/>
      <c r="IH109" s="324"/>
      <c r="II109" s="324"/>
      <c r="IJ109" s="324"/>
      <c r="IK109" s="324"/>
      <c r="IL109" s="324"/>
      <c r="IM109" s="324"/>
    </row>
    <row r="110" spans="1:247" x14ac:dyDescent="0.35">
      <c r="A110" s="356">
        <v>4231</v>
      </c>
      <c r="B110" s="357" t="s">
        <v>117</v>
      </c>
      <c r="C110" s="172" t="s">
        <v>5</v>
      </c>
      <c r="D110" s="358" t="s">
        <v>2051</v>
      </c>
      <c r="E110" s="336"/>
      <c r="F110" s="331">
        <f t="shared" si="0"/>
        <v>1.0209999999999999</v>
      </c>
      <c r="G110" s="337"/>
      <c r="H110" s="336"/>
      <c r="I110" s="338"/>
      <c r="J110" s="338"/>
      <c r="K110" s="338"/>
      <c r="L110" s="338"/>
      <c r="M110" s="338"/>
      <c r="N110" s="337"/>
      <c r="O110" s="339"/>
      <c r="P110" s="336"/>
      <c r="Q110" s="337"/>
      <c r="R110" s="340">
        <f t="shared" si="1"/>
        <v>1.0209999999999999</v>
      </c>
      <c r="S110" s="324"/>
      <c r="T110" s="324"/>
      <c r="U110" s="324"/>
      <c r="V110" s="324"/>
      <c r="W110" s="324"/>
      <c r="X110" s="324"/>
      <c r="Y110" s="324"/>
      <c r="Z110" s="324"/>
      <c r="AA110" s="324"/>
      <c r="AB110" s="324"/>
      <c r="AC110" s="324"/>
      <c r="AD110" s="324"/>
      <c r="AE110" s="324"/>
      <c r="AF110" s="324"/>
      <c r="AG110" s="324"/>
      <c r="AH110" s="324"/>
      <c r="AI110" s="324"/>
      <c r="AJ110" s="324"/>
      <c r="AK110" s="324"/>
      <c r="AL110" s="324"/>
      <c r="AM110" s="324"/>
      <c r="AN110" s="324"/>
      <c r="AO110" s="324"/>
      <c r="AP110" s="324"/>
      <c r="AQ110" s="324"/>
      <c r="AR110" s="324"/>
      <c r="AS110" s="324"/>
      <c r="AT110" s="324"/>
      <c r="AU110" s="324"/>
      <c r="AV110" s="324"/>
      <c r="AW110" s="324"/>
      <c r="AX110" s="324"/>
      <c r="AY110" s="324"/>
      <c r="AZ110" s="324"/>
      <c r="BA110" s="324"/>
      <c r="BB110" s="324"/>
      <c r="BC110" s="324"/>
      <c r="BD110" s="324"/>
      <c r="BE110" s="324"/>
      <c r="BF110" s="324"/>
      <c r="BG110" s="324"/>
      <c r="BH110" s="324"/>
      <c r="BI110" s="324"/>
      <c r="BJ110" s="324"/>
      <c r="BK110" s="324"/>
      <c r="BL110" s="324"/>
      <c r="BM110" s="324"/>
      <c r="BN110" s="324"/>
      <c r="BO110" s="324"/>
      <c r="BP110" s="324"/>
      <c r="BQ110" s="324"/>
      <c r="BR110" s="324"/>
      <c r="BS110" s="324"/>
      <c r="BT110" s="324"/>
      <c r="BU110" s="324"/>
      <c r="BV110" s="324"/>
      <c r="BW110" s="324"/>
      <c r="BX110" s="324"/>
      <c r="BY110" s="324"/>
      <c r="BZ110" s="324"/>
      <c r="CA110" s="324"/>
      <c r="CB110" s="324"/>
      <c r="CC110" s="324"/>
      <c r="CD110" s="324"/>
      <c r="CE110" s="324"/>
      <c r="CF110" s="324"/>
      <c r="CG110" s="324"/>
      <c r="CH110" s="324"/>
      <c r="CI110" s="324"/>
      <c r="CJ110" s="324"/>
      <c r="CK110" s="324"/>
      <c r="CL110" s="324"/>
      <c r="CM110" s="324"/>
      <c r="CN110" s="324"/>
      <c r="CO110" s="324"/>
      <c r="CP110" s="324"/>
      <c r="CQ110" s="324"/>
      <c r="CR110" s="324"/>
      <c r="CS110" s="324"/>
      <c r="CT110" s="324"/>
      <c r="CU110" s="324"/>
      <c r="CV110" s="324"/>
      <c r="CW110" s="324"/>
      <c r="CX110" s="324"/>
      <c r="CY110" s="324"/>
      <c r="CZ110" s="324"/>
      <c r="DA110" s="324"/>
      <c r="DB110" s="324"/>
      <c r="DC110" s="324"/>
      <c r="DD110" s="324"/>
      <c r="DE110" s="324"/>
      <c r="DF110" s="324"/>
      <c r="DG110" s="324"/>
      <c r="DH110" s="324"/>
      <c r="DI110" s="324"/>
      <c r="DJ110" s="324"/>
      <c r="DK110" s="324"/>
      <c r="DL110" s="324"/>
      <c r="DM110" s="324"/>
      <c r="DN110" s="324"/>
      <c r="DO110" s="324"/>
      <c r="DP110" s="324"/>
      <c r="DQ110" s="324"/>
      <c r="DR110" s="324"/>
      <c r="DS110" s="324"/>
      <c r="DT110" s="324"/>
      <c r="DU110" s="324"/>
      <c r="DV110" s="324"/>
      <c r="DW110" s="324"/>
      <c r="DX110" s="324"/>
      <c r="DY110" s="324"/>
      <c r="DZ110" s="324"/>
      <c r="EA110" s="324"/>
      <c r="EB110" s="324"/>
      <c r="EC110" s="324"/>
      <c r="ED110" s="324"/>
      <c r="EE110" s="324"/>
      <c r="EF110" s="324"/>
      <c r="EG110" s="324"/>
      <c r="EH110" s="324"/>
      <c r="EI110" s="324"/>
      <c r="EJ110" s="324"/>
      <c r="EK110" s="324"/>
      <c r="EL110" s="324"/>
      <c r="EM110" s="324"/>
      <c r="EN110" s="324"/>
      <c r="EO110" s="324"/>
      <c r="EP110" s="324"/>
      <c r="EQ110" s="324"/>
      <c r="ER110" s="324"/>
      <c r="ES110" s="324"/>
      <c r="ET110" s="324"/>
      <c r="EU110" s="324"/>
      <c r="EV110" s="324"/>
      <c r="EW110" s="324"/>
      <c r="EX110" s="324"/>
      <c r="EY110" s="324"/>
      <c r="EZ110" s="324"/>
      <c r="FA110" s="324"/>
      <c r="FB110" s="324"/>
      <c r="FC110" s="324"/>
      <c r="FD110" s="324"/>
      <c r="FE110" s="324"/>
      <c r="FF110" s="324"/>
      <c r="FG110" s="324"/>
      <c r="FH110" s="324"/>
      <c r="FI110" s="324"/>
      <c r="FJ110" s="324"/>
      <c r="FK110" s="324"/>
      <c r="FL110" s="324"/>
      <c r="FM110" s="324"/>
      <c r="FN110" s="324"/>
      <c r="FO110" s="324"/>
      <c r="FP110" s="324"/>
      <c r="FQ110" s="324"/>
      <c r="FR110" s="324"/>
      <c r="FS110" s="324"/>
      <c r="FT110" s="324"/>
      <c r="FU110" s="324"/>
      <c r="FV110" s="324"/>
      <c r="FW110" s="324"/>
      <c r="FX110" s="324"/>
      <c r="FY110" s="324"/>
      <c r="FZ110" s="324"/>
      <c r="GA110" s="324"/>
      <c r="GB110" s="324"/>
      <c r="GC110" s="324"/>
      <c r="GD110" s="324"/>
      <c r="GE110" s="324"/>
      <c r="GF110" s="324"/>
      <c r="GG110" s="324"/>
      <c r="GH110" s="324"/>
      <c r="GI110" s="324"/>
      <c r="GJ110" s="324"/>
      <c r="GK110" s="324"/>
      <c r="GL110" s="324"/>
      <c r="GM110" s="324"/>
      <c r="GN110" s="324"/>
      <c r="GO110" s="324"/>
      <c r="GP110" s="324"/>
      <c r="GQ110" s="324"/>
      <c r="GR110" s="324"/>
      <c r="GS110" s="324"/>
      <c r="GT110" s="324"/>
      <c r="GU110" s="324"/>
      <c r="GV110" s="324"/>
      <c r="GW110" s="324"/>
      <c r="GX110" s="324"/>
      <c r="GY110" s="324"/>
      <c r="GZ110" s="324"/>
      <c r="HA110" s="324"/>
      <c r="HB110" s="324"/>
      <c r="HC110" s="324"/>
      <c r="HD110" s="324"/>
      <c r="HE110" s="324"/>
      <c r="HF110" s="324"/>
      <c r="HG110" s="324"/>
      <c r="HH110" s="324"/>
      <c r="HI110" s="324"/>
      <c r="HJ110" s="324"/>
      <c r="HK110" s="324"/>
      <c r="HL110" s="324"/>
      <c r="HM110" s="324"/>
      <c r="HN110" s="324"/>
      <c r="HO110" s="324"/>
      <c r="HP110" s="324"/>
      <c r="HQ110" s="324"/>
      <c r="HR110" s="324"/>
      <c r="HS110" s="324"/>
      <c r="HT110" s="324"/>
      <c r="HU110" s="324"/>
      <c r="HV110" s="324"/>
      <c r="HW110" s="324"/>
      <c r="HX110" s="324"/>
      <c r="HY110" s="324"/>
      <c r="HZ110" s="324"/>
      <c r="IA110" s="324"/>
      <c r="IB110" s="324"/>
      <c r="IC110" s="324"/>
      <c r="ID110" s="324"/>
      <c r="IE110" s="324"/>
      <c r="IF110" s="324"/>
      <c r="IG110" s="324"/>
      <c r="IH110" s="324"/>
      <c r="II110" s="324"/>
      <c r="IJ110" s="324"/>
      <c r="IK110" s="324"/>
      <c r="IL110" s="324"/>
      <c r="IM110" s="324"/>
    </row>
    <row r="111" spans="1:247" x14ac:dyDescent="0.35">
      <c r="A111" s="356">
        <v>4251</v>
      </c>
      <c r="B111" s="357" t="s">
        <v>118</v>
      </c>
      <c r="C111" s="172" t="s">
        <v>3</v>
      </c>
      <c r="D111" s="358" t="s">
        <v>2051</v>
      </c>
      <c r="E111" s="336"/>
      <c r="F111" s="331">
        <f t="shared" si="0"/>
        <v>1.0209999999999999</v>
      </c>
      <c r="G111" s="337"/>
      <c r="H111" s="336"/>
      <c r="I111" s="338"/>
      <c r="J111" s="338"/>
      <c r="K111" s="338"/>
      <c r="L111" s="338"/>
      <c r="M111" s="338"/>
      <c r="N111" s="337"/>
      <c r="O111" s="339"/>
      <c r="P111" s="336">
        <f t="shared" ref="P111:P127" si="26">+$P$3</f>
        <v>1.032</v>
      </c>
      <c r="Q111" s="337">
        <f t="shared" ref="Q111:Q127" si="27">+$Q$3</f>
        <v>1.0349999999999999</v>
      </c>
      <c r="R111" s="340">
        <f t="shared" si="1"/>
        <v>1.0905505199999999</v>
      </c>
      <c r="S111" s="324"/>
      <c r="T111" s="324"/>
      <c r="U111" s="324"/>
      <c r="V111" s="324"/>
      <c r="W111" s="324"/>
      <c r="X111" s="324"/>
      <c r="Y111" s="324"/>
      <c r="Z111" s="324"/>
      <c r="AA111" s="324"/>
      <c r="AB111" s="324"/>
      <c r="AC111" s="324"/>
      <c r="AD111" s="324"/>
      <c r="AE111" s="324"/>
      <c r="AF111" s="324"/>
      <c r="AG111" s="324"/>
      <c r="AH111" s="324"/>
      <c r="AI111" s="324"/>
      <c r="AJ111" s="324"/>
      <c r="AK111" s="324"/>
      <c r="AL111" s="324"/>
      <c r="AM111" s="324"/>
      <c r="AN111" s="324"/>
      <c r="AO111" s="324"/>
      <c r="AP111" s="324"/>
      <c r="AQ111" s="324"/>
      <c r="AR111" s="324"/>
      <c r="AS111" s="324"/>
      <c r="AT111" s="324"/>
      <c r="AU111" s="324"/>
      <c r="AV111" s="324"/>
      <c r="AW111" s="324"/>
      <c r="AX111" s="324"/>
      <c r="AY111" s="324"/>
      <c r="AZ111" s="324"/>
      <c r="BA111" s="324"/>
      <c r="BB111" s="324"/>
      <c r="BC111" s="324"/>
      <c r="BD111" s="324"/>
      <c r="BE111" s="324"/>
      <c r="BF111" s="324"/>
      <c r="BG111" s="324"/>
      <c r="BH111" s="324"/>
      <c r="BI111" s="324"/>
      <c r="BJ111" s="324"/>
      <c r="BK111" s="324"/>
      <c r="BL111" s="324"/>
      <c r="BM111" s="324"/>
      <c r="BN111" s="324"/>
      <c r="BO111" s="324"/>
      <c r="BP111" s="324"/>
      <c r="BQ111" s="324"/>
      <c r="BR111" s="324"/>
      <c r="BS111" s="324"/>
      <c r="BT111" s="324"/>
      <c r="BU111" s="324"/>
      <c r="BV111" s="324"/>
      <c r="BW111" s="324"/>
      <c r="BX111" s="324"/>
      <c r="BY111" s="324"/>
      <c r="BZ111" s="324"/>
      <c r="CA111" s="324"/>
      <c r="CB111" s="324"/>
      <c r="CC111" s="324"/>
      <c r="CD111" s="324"/>
      <c r="CE111" s="324"/>
      <c r="CF111" s="324"/>
      <c r="CG111" s="324"/>
      <c r="CH111" s="324"/>
      <c r="CI111" s="324"/>
      <c r="CJ111" s="324"/>
      <c r="CK111" s="324"/>
      <c r="CL111" s="324"/>
      <c r="CM111" s="324"/>
      <c r="CN111" s="324"/>
      <c r="CO111" s="324"/>
      <c r="CP111" s="324"/>
      <c r="CQ111" s="324"/>
      <c r="CR111" s="324"/>
      <c r="CS111" s="324"/>
      <c r="CT111" s="324"/>
      <c r="CU111" s="324"/>
      <c r="CV111" s="324"/>
      <c r="CW111" s="324"/>
      <c r="CX111" s="324"/>
      <c r="CY111" s="324"/>
      <c r="CZ111" s="324"/>
      <c r="DA111" s="324"/>
      <c r="DB111" s="324"/>
      <c r="DC111" s="324"/>
      <c r="DD111" s="324"/>
      <c r="DE111" s="324"/>
      <c r="DF111" s="324"/>
      <c r="DG111" s="324"/>
      <c r="DH111" s="324"/>
      <c r="DI111" s="324"/>
      <c r="DJ111" s="324"/>
      <c r="DK111" s="324"/>
      <c r="DL111" s="324"/>
      <c r="DM111" s="324"/>
      <c r="DN111" s="324"/>
      <c r="DO111" s="324"/>
      <c r="DP111" s="324"/>
      <c r="DQ111" s="324"/>
      <c r="DR111" s="324"/>
      <c r="DS111" s="324"/>
      <c r="DT111" s="324"/>
      <c r="DU111" s="324"/>
      <c r="DV111" s="324"/>
      <c r="DW111" s="324"/>
      <c r="DX111" s="324"/>
      <c r="DY111" s="324"/>
      <c r="DZ111" s="324"/>
      <c r="EA111" s="324"/>
      <c r="EB111" s="324"/>
      <c r="EC111" s="324"/>
      <c r="ED111" s="324"/>
      <c r="EE111" s="324"/>
      <c r="EF111" s="324"/>
      <c r="EG111" s="324"/>
      <c r="EH111" s="324"/>
      <c r="EI111" s="324"/>
      <c r="EJ111" s="324"/>
      <c r="EK111" s="324"/>
      <c r="EL111" s="324"/>
      <c r="EM111" s="324"/>
      <c r="EN111" s="324"/>
      <c r="EO111" s="324"/>
      <c r="EP111" s="324"/>
      <c r="EQ111" s="324"/>
      <c r="ER111" s="324"/>
      <c r="ES111" s="324"/>
      <c r="ET111" s="324"/>
      <c r="EU111" s="324"/>
      <c r="EV111" s="324"/>
      <c r="EW111" s="324"/>
      <c r="EX111" s="324"/>
      <c r="EY111" s="324"/>
      <c r="EZ111" s="324"/>
      <c r="FA111" s="324"/>
      <c r="FB111" s="324"/>
      <c r="FC111" s="324"/>
      <c r="FD111" s="324"/>
      <c r="FE111" s="324"/>
      <c r="FF111" s="324"/>
      <c r="FG111" s="324"/>
      <c r="FH111" s="324"/>
      <c r="FI111" s="324"/>
      <c r="FJ111" s="324"/>
      <c r="FK111" s="324"/>
      <c r="FL111" s="324"/>
      <c r="FM111" s="324"/>
      <c r="FN111" s="324"/>
      <c r="FO111" s="324"/>
      <c r="FP111" s="324"/>
      <c r="FQ111" s="324"/>
      <c r="FR111" s="324"/>
      <c r="FS111" s="324"/>
      <c r="FT111" s="324"/>
      <c r="FU111" s="324"/>
      <c r="FV111" s="324"/>
      <c r="FW111" s="324"/>
      <c r="FX111" s="324"/>
      <c r="FY111" s="324"/>
      <c r="FZ111" s="324"/>
      <c r="GA111" s="324"/>
      <c r="GB111" s="324"/>
      <c r="GC111" s="324"/>
      <c r="GD111" s="324"/>
      <c r="GE111" s="324"/>
      <c r="GF111" s="324"/>
      <c r="GG111" s="324"/>
      <c r="GH111" s="324"/>
      <c r="GI111" s="324"/>
      <c r="GJ111" s="324"/>
      <c r="GK111" s="324"/>
      <c r="GL111" s="324"/>
      <c r="GM111" s="324"/>
      <c r="GN111" s="324"/>
      <c r="GO111" s="324"/>
      <c r="GP111" s="324"/>
      <c r="GQ111" s="324"/>
      <c r="GR111" s="324"/>
      <c r="GS111" s="324"/>
      <c r="GT111" s="324"/>
      <c r="GU111" s="324"/>
      <c r="GV111" s="324"/>
      <c r="GW111" s="324"/>
      <c r="GX111" s="324"/>
      <c r="GY111" s="324"/>
      <c r="GZ111" s="324"/>
      <c r="HA111" s="324"/>
      <c r="HB111" s="324"/>
      <c r="HC111" s="324"/>
      <c r="HD111" s="324"/>
      <c r="HE111" s="324"/>
      <c r="HF111" s="324"/>
      <c r="HG111" s="324"/>
      <c r="HH111" s="324"/>
      <c r="HI111" s="324"/>
      <c r="HJ111" s="324"/>
      <c r="HK111" s="324"/>
      <c r="HL111" s="324"/>
      <c r="HM111" s="324"/>
      <c r="HN111" s="324"/>
      <c r="HO111" s="324"/>
      <c r="HP111" s="324"/>
      <c r="HQ111" s="324"/>
      <c r="HR111" s="324"/>
      <c r="HS111" s="324"/>
      <c r="HT111" s="324"/>
      <c r="HU111" s="324"/>
      <c r="HV111" s="324"/>
      <c r="HW111" s="324"/>
      <c r="HX111" s="324"/>
      <c r="HY111" s="324"/>
      <c r="HZ111" s="324"/>
      <c r="IA111" s="324"/>
      <c r="IB111" s="324"/>
      <c r="IC111" s="324"/>
      <c r="ID111" s="324"/>
      <c r="IE111" s="324"/>
      <c r="IF111" s="324"/>
      <c r="IG111" s="324"/>
      <c r="IH111" s="324"/>
      <c r="II111" s="324"/>
      <c r="IJ111" s="324"/>
      <c r="IK111" s="324"/>
      <c r="IL111" s="324"/>
      <c r="IM111" s="324"/>
    </row>
    <row r="112" spans="1:247" x14ac:dyDescent="0.35">
      <c r="A112" s="356">
        <v>4311</v>
      </c>
      <c r="B112" s="357" t="s">
        <v>119</v>
      </c>
      <c r="C112" s="172" t="s">
        <v>8</v>
      </c>
      <c r="D112" s="358" t="s">
        <v>2053</v>
      </c>
      <c r="E112" s="336"/>
      <c r="F112" s="331">
        <f t="shared" si="0"/>
        <v>1.0209999999999999</v>
      </c>
      <c r="G112" s="337">
        <f>+$G$3</f>
        <v>1.0269999999999999</v>
      </c>
      <c r="H112" s="336">
        <f>+$H$3</f>
        <v>1.0029999999999999</v>
      </c>
      <c r="I112" s="338">
        <f>+$I$3</f>
        <v>1.0289999999999999</v>
      </c>
      <c r="J112" s="338">
        <f>+$J$3</f>
        <v>1.0049999999999999</v>
      </c>
      <c r="K112" s="338"/>
      <c r="L112" s="338"/>
      <c r="M112" s="338">
        <f>+$M$3</f>
        <v>1.0029999999999999</v>
      </c>
      <c r="N112" s="337">
        <f>+$N$3</f>
        <v>1.0029999999999999</v>
      </c>
      <c r="O112" s="339"/>
      <c r="P112" s="336">
        <f t="shared" si="26"/>
        <v>1.032</v>
      </c>
      <c r="Q112" s="337">
        <f t="shared" si="27"/>
        <v>1.0349999999999999</v>
      </c>
      <c r="R112" s="340">
        <f t="shared" si="1"/>
        <v>1.168693068754227</v>
      </c>
      <c r="S112" s="324"/>
      <c r="T112" s="324"/>
      <c r="U112" s="324"/>
      <c r="V112" s="324"/>
      <c r="W112" s="324"/>
      <c r="X112" s="324"/>
      <c r="Y112" s="324"/>
      <c r="Z112" s="324"/>
      <c r="AA112" s="324"/>
      <c r="AB112" s="324"/>
      <c r="AC112" s="324"/>
      <c r="AD112" s="324"/>
      <c r="AE112" s="324"/>
      <c r="AF112" s="324"/>
      <c r="AG112" s="324"/>
      <c r="AH112" s="324"/>
      <c r="AI112" s="324"/>
      <c r="AJ112" s="324"/>
      <c r="AK112" s="324"/>
      <c r="AL112" s="324"/>
      <c r="AM112" s="324"/>
      <c r="AN112" s="324"/>
      <c r="AO112" s="324"/>
      <c r="AP112" s="324"/>
      <c r="AQ112" s="324"/>
      <c r="AR112" s="324"/>
      <c r="AS112" s="324"/>
      <c r="AT112" s="324"/>
      <c r="AU112" s="324"/>
      <c r="AV112" s="324"/>
      <c r="AW112" s="324"/>
      <c r="AX112" s="324"/>
      <c r="AY112" s="324"/>
      <c r="AZ112" s="324"/>
      <c r="BA112" s="324"/>
      <c r="BB112" s="324"/>
      <c r="BC112" s="324"/>
      <c r="BD112" s="324"/>
      <c r="BE112" s="324"/>
      <c r="BF112" s="324"/>
      <c r="BG112" s="324"/>
      <c r="BH112" s="324"/>
      <c r="BI112" s="324"/>
      <c r="BJ112" s="324"/>
      <c r="BK112" s="324"/>
      <c r="BL112" s="324"/>
      <c r="BM112" s="324"/>
      <c r="BN112" s="324"/>
      <c r="BO112" s="324"/>
      <c r="BP112" s="324"/>
      <c r="BQ112" s="324"/>
      <c r="BR112" s="324"/>
      <c r="BS112" s="324"/>
      <c r="BT112" s="324"/>
      <c r="BU112" s="324"/>
      <c r="BV112" s="324"/>
      <c r="BW112" s="324"/>
      <c r="BX112" s="324"/>
      <c r="BY112" s="324"/>
      <c r="BZ112" s="324"/>
      <c r="CA112" s="324"/>
      <c r="CB112" s="324"/>
      <c r="CC112" s="324"/>
      <c r="CD112" s="324"/>
      <c r="CE112" s="324"/>
      <c r="CF112" s="324"/>
      <c r="CG112" s="324"/>
      <c r="CH112" s="324"/>
      <c r="CI112" s="324"/>
      <c r="CJ112" s="324"/>
      <c r="CK112" s="324"/>
      <c r="CL112" s="324"/>
      <c r="CM112" s="324"/>
      <c r="CN112" s="324"/>
      <c r="CO112" s="324"/>
      <c r="CP112" s="324"/>
      <c r="CQ112" s="324"/>
      <c r="CR112" s="324"/>
      <c r="CS112" s="324"/>
      <c r="CT112" s="324"/>
      <c r="CU112" s="324"/>
      <c r="CV112" s="324"/>
      <c r="CW112" s="324"/>
      <c r="CX112" s="324"/>
      <c r="CY112" s="324"/>
      <c r="CZ112" s="324"/>
      <c r="DA112" s="324"/>
      <c r="DB112" s="324"/>
      <c r="DC112" s="324"/>
      <c r="DD112" s="324"/>
      <c r="DE112" s="324"/>
      <c r="DF112" s="324"/>
      <c r="DG112" s="324"/>
      <c r="DH112" s="324"/>
      <c r="DI112" s="324"/>
      <c r="DJ112" s="324"/>
      <c r="DK112" s="324"/>
      <c r="DL112" s="324"/>
      <c r="DM112" s="324"/>
      <c r="DN112" s="324"/>
      <c r="DO112" s="324"/>
      <c r="DP112" s="324"/>
      <c r="DQ112" s="324"/>
      <c r="DR112" s="324"/>
      <c r="DS112" s="324"/>
      <c r="DT112" s="324"/>
      <c r="DU112" s="324"/>
      <c r="DV112" s="324"/>
      <c r="DW112" s="324"/>
      <c r="DX112" s="324"/>
      <c r="DY112" s="324"/>
      <c r="DZ112" s="324"/>
      <c r="EA112" s="324"/>
      <c r="EB112" s="324"/>
      <c r="EC112" s="324"/>
      <c r="ED112" s="324"/>
      <c r="EE112" s="324"/>
      <c r="EF112" s="324"/>
      <c r="EG112" s="324"/>
      <c r="EH112" s="324"/>
      <c r="EI112" s="324"/>
      <c r="EJ112" s="324"/>
      <c r="EK112" s="324"/>
      <c r="EL112" s="324"/>
      <c r="EM112" s="324"/>
      <c r="EN112" s="324"/>
      <c r="EO112" s="324"/>
      <c r="EP112" s="324"/>
      <c r="EQ112" s="324"/>
      <c r="ER112" s="324"/>
      <c r="ES112" s="324"/>
      <c r="ET112" s="324"/>
      <c r="EU112" s="324"/>
      <c r="EV112" s="324"/>
      <c r="EW112" s="324"/>
      <c r="EX112" s="324"/>
      <c r="EY112" s="324"/>
      <c r="EZ112" s="324"/>
      <c r="FA112" s="324"/>
      <c r="FB112" s="324"/>
      <c r="FC112" s="324"/>
      <c r="FD112" s="324"/>
      <c r="FE112" s="324"/>
      <c r="FF112" s="324"/>
      <c r="FG112" s="324"/>
      <c r="FH112" s="324"/>
      <c r="FI112" s="324"/>
      <c r="FJ112" s="324"/>
      <c r="FK112" s="324"/>
      <c r="FL112" s="324"/>
      <c r="FM112" s="324"/>
      <c r="FN112" s="324"/>
      <c r="FO112" s="324"/>
      <c r="FP112" s="324"/>
      <c r="FQ112" s="324"/>
      <c r="FR112" s="324"/>
      <c r="FS112" s="324"/>
      <c r="FT112" s="324"/>
      <c r="FU112" s="324"/>
      <c r="FV112" s="324"/>
      <c r="FW112" s="324"/>
      <c r="FX112" s="324"/>
      <c r="FY112" s="324"/>
      <c r="FZ112" s="324"/>
      <c r="GA112" s="324"/>
      <c r="GB112" s="324"/>
      <c r="GC112" s="324"/>
      <c r="GD112" s="324"/>
      <c r="GE112" s="324"/>
      <c r="GF112" s="324"/>
      <c r="GG112" s="324"/>
      <c r="GH112" s="324"/>
      <c r="GI112" s="324"/>
      <c r="GJ112" s="324"/>
      <c r="GK112" s="324"/>
      <c r="GL112" s="324"/>
      <c r="GM112" s="324"/>
      <c r="GN112" s="324"/>
      <c r="GO112" s="324"/>
      <c r="GP112" s="324"/>
      <c r="GQ112" s="324"/>
      <c r="GR112" s="324"/>
      <c r="GS112" s="324"/>
      <c r="GT112" s="324"/>
      <c r="GU112" s="324"/>
      <c r="GV112" s="324"/>
      <c r="GW112" s="324"/>
      <c r="GX112" s="324"/>
      <c r="GY112" s="324"/>
      <c r="GZ112" s="324"/>
      <c r="HA112" s="324"/>
      <c r="HB112" s="324"/>
      <c r="HC112" s="324"/>
      <c r="HD112" s="324"/>
      <c r="HE112" s="324"/>
      <c r="HF112" s="324"/>
      <c r="HG112" s="324"/>
      <c r="HH112" s="324"/>
      <c r="HI112" s="324"/>
      <c r="HJ112" s="324"/>
      <c r="HK112" s="324"/>
      <c r="HL112" s="324"/>
      <c r="HM112" s="324"/>
      <c r="HN112" s="324"/>
      <c r="HO112" s="324"/>
      <c r="HP112" s="324"/>
      <c r="HQ112" s="324"/>
      <c r="HR112" s="324"/>
      <c r="HS112" s="324"/>
      <c r="HT112" s="324"/>
      <c r="HU112" s="324"/>
      <c r="HV112" s="324"/>
      <c r="HW112" s="324"/>
      <c r="HX112" s="324"/>
      <c r="HY112" s="324"/>
      <c r="HZ112" s="324"/>
      <c r="IA112" s="324"/>
      <c r="IB112" s="324"/>
      <c r="IC112" s="324"/>
      <c r="ID112" s="324"/>
      <c r="IE112" s="324"/>
      <c r="IF112" s="324"/>
      <c r="IG112" s="324"/>
      <c r="IH112" s="324"/>
      <c r="II112" s="324"/>
      <c r="IJ112" s="324"/>
      <c r="IK112" s="324"/>
      <c r="IL112" s="324"/>
      <c r="IM112" s="324"/>
    </row>
    <row r="113" spans="1:247" x14ac:dyDescent="0.35">
      <c r="A113" s="356">
        <v>4321</v>
      </c>
      <c r="B113" s="357" t="s">
        <v>120</v>
      </c>
      <c r="C113" s="172" t="s">
        <v>8</v>
      </c>
      <c r="D113" s="358" t="s">
        <v>2053</v>
      </c>
      <c r="E113" s="336"/>
      <c r="F113" s="331">
        <f t="shared" si="0"/>
        <v>1.0209999999999999</v>
      </c>
      <c r="G113" s="337">
        <f>+$G$3</f>
        <v>1.0269999999999999</v>
      </c>
      <c r="H113" s="336"/>
      <c r="I113" s="338">
        <f>+$I$3</f>
        <v>1.0289999999999999</v>
      </c>
      <c r="J113" s="338">
        <f>+$J$3</f>
        <v>1.0049999999999999</v>
      </c>
      <c r="K113" s="338"/>
      <c r="L113" s="338"/>
      <c r="M113" s="338">
        <f>+$M$3</f>
        <v>1.0029999999999999</v>
      </c>
      <c r="N113" s="337">
        <f>+$N$3</f>
        <v>1.0029999999999999</v>
      </c>
      <c r="O113" s="339"/>
      <c r="P113" s="336">
        <f t="shared" si="26"/>
        <v>1.032</v>
      </c>
      <c r="Q113" s="337">
        <f t="shared" si="27"/>
        <v>1.0349999999999999</v>
      </c>
      <c r="R113" s="340">
        <f t="shared" si="1"/>
        <v>1.1651974763252515</v>
      </c>
      <c r="S113" s="324"/>
      <c r="T113" s="324"/>
      <c r="U113" s="324"/>
      <c r="V113" s="324"/>
      <c r="W113" s="324"/>
      <c r="X113" s="324"/>
      <c r="Y113" s="324"/>
      <c r="Z113" s="324"/>
      <c r="AA113" s="324"/>
      <c r="AB113" s="324"/>
      <c r="AC113" s="324"/>
      <c r="AD113" s="324"/>
      <c r="AE113" s="324"/>
      <c r="AF113" s="324"/>
      <c r="AG113" s="324"/>
      <c r="AH113" s="324"/>
      <c r="AI113" s="324"/>
      <c r="AJ113" s="324"/>
      <c r="AK113" s="324"/>
      <c r="AL113" s="324"/>
      <c r="AM113" s="324"/>
      <c r="AN113" s="324"/>
      <c r="AO113" s="324"/>
      <c r="AP113" s="324"/>
      <c r="AQ113" s="324"/>
      <c r="AR113" s="324"/>
      <c r="AS113" s="324"/>
      <c r="AT113" s="324"/>
      <c r="AU113" s="324"/>
      <c r="AV113" s="324"/>
      <c r="AW113" s="324"/>
      <c r="AX113" s="324"/>
      <c r="AY113" s="324"/>
      <c r="AZ113" s="324"/>
      <c r="BA113" s="324"/>
      <c r="BB113" s="324"/>
      <c r="BC113" s="324"/>
      <c r="BD113" s="324"/>
      <c r="BE113" s="324"/>
      <c r="BF113" s="324"/>
      <c r="BG113" s="324"/>
      <c r="BH113" s="324"/>
      <c r="BI113" s="324"/>
      <c r="BJ113" s="324"/>
      <c r="BK113" s="324"/>
      <c r="BL113" s="324"/>
      <c r="BM113" s="324"/>
      <c r="BN113" s="324"/>
      <c r="BO113" s="324"/>
      <c r="BP113" s="324"/>
      <c r="BQ113" s="324"/>
      <c r="BR113" s="324"/>
      <c r="BS113" s="324"/>
      <c r="BT113" s="324"/>
      <c r="BU113" s="324"/>
      <c r="BV113" s="324"/>
      <c r="BW113" s="324"/>
      <c r="BX113" s="324"/>
      <c r="BY113" s="324"/>
      <c r="BZ113" s="324"/>
      <c r="CA113" s="324"/>
      <c r="CB113" s="324"/>
      <c r="CC113" s="324"/>
      <c r="CD113" s="324"/>
      <c r="CE113" s="324"/>
      <c r="CF113" s="324"/>
      <c r="CG113" s="324"/>
      <c r="CH113" s="324"/>
      <c r="CI113" s="324"/>
      <c r="CJ113" s="324"/>
      <c r="CK113" s="324"/>
      <c r="CL113" s="324"/>
      <c r="CM113" s="324"/>
      <c r="CN113" s="324"/>
      <c r="CO113" s="324"/>
      <c r="CP113" s="324"/>
      <c r="CQ113" s="324"/>
      <c r="CR113" s="324"/>
      <c r="CS113" s="324"/>
      <c r="CT113" s="324"/>
      <c r="CU113" s="324"/>
      <c r="CV113" s="324"/>
      <c r="CW113" s="324"/>
      <c r="CX113" s="324"/>
      <c r="CY113" s="324"/>
      <c r="CZ113" s="324"/>
      <c r="DA113" s="324"/>
      <c r="DB113" s="324"/>
      <c r="DC113" s="324"/>
      <c r="DD113" s="324"/>
      <c r="DE113" s="324"/>
      <c r="DF113" s="324"/>
      <c r="DG113" s="324"/>
      <c r="DH113" s="324"/>
      <c r="DI113" s="324"/>
      <c r="DJ113" s="324"/>
      <c r="DK113" s="324"/>
      <c r="DL113" s="324"/>
      <c r="DM113" s="324"/>
      <c r="DN113" s="324"/>
      <c r="DO113" s="324"/>
      <c r="DP113" s="324"/>
      <c r="DQ113" s="324"/>
      <c r="DR113" s="324"/>
      <c r="DS113" s="324"/>
      <c r="DT113" s="324"/>
      <c r="DU113" s="324"/>
      <c r="DV113" s="324"/>
      <c r="DW113" s="324"/>
      <c r="DX113" s="324"/>
      <c r="DY113" s="324"/>
      <c r="DZ113" s="324"/>
      <c r="EA113" s="324"/>
      <c r="EB113" s="324"/>
      <c r="EC113" s="324"/>
      <c r="ED113" s="324"/>
      <c r="EE113" s="324"/>
      <c r="EF113" s="324"/>
      <c r="EG113" s="324"/>
      <c r="EH113" s="324"/>
      <c r="EI113" s="324"/>
      <c r="EJ113" s="324"/>
      <c r="EK113" s="324"/>
      <c r="EL113" s="324"/>
      <c r="EM113" s="324"/>
      <c r="EN113" s="324"/>
      <c r="EO113" s="324"/>
      <c r="EP113" s="324"/>
      <c r="EQ113" s="324"/>
      <c r="ER113" s="324"/>
      <c r="ES113" s="324"/>
      <c r="ET113" s="324"/>
      <c r="EU113" s="324"/>
      <c r="EV113" s="324"/>
      <c r="EW113" s="324"/>
      <c r="EX113" s="324"/>
      <c r="EY113" s="324"/>
      <c r="EZ113" s="324"/>
      <c r="FA113" s="324"/>
      <c r="FB113" s="324"/>
      <c r="FC113" s="324"/>
      <c r="FD113" s="324"/>
      <c r="FE113" s="324"/>
      <c r="FF113" s="324"/>
      <c r="FG113" s="324"/>
      <c r="FH113" s="324"/>
      <c r="FI113" s="324"/>
      <c r="FJ113" s="324"/>
      <c r="FK113" s="324"/>
      <c r="FL113" s="324"/>
      <c r="FM113" s="324"/>
      <c r="FN113" s="324"/>
      <c r="FO113" s="324"/>
      <c r="FP113" s="324"/>
      <c r="FQ113" s="324"/>
      <c r="FR113" s="324"/>
      <c r="FS113" s="324"/>
      <c r="FT113" s="324"/>
      <c r="FU113" s="324"/>
      <c r="FV113" s="324"/>
      <c r="FW113" s="324"/>
      <c r="FX113" s="324"/>
      <c r="FY113" s="324"/>
      <c r="FZ113" s="324"/>
      <c r="GA113" s="324"/>
      <c r="GB113" s="324"/>
      <c r="GC113" s="324"/>
      <c r="GD113" s="324"/>
      <c r="GE113" s="324"/>
      <c r="GF113" s="324"/>
      <c r="GG113" s="324"/>
      <c r="GH113" s="324"/>
      <c r="GI113" s="324"/>
      <c r="GJ113" s="324"/>
      <c r="GK113" s="324"/>
      <c r="GL113" s="324"/>
      <c r="GM113" s="324"/>
      <c r="GN113" s="324"/>
      <c r="GO113" s="324"/>
      <c r="GP113" s="324"/>
      <c r="GQ113" s="324"/>
      <c r="GR113" s="324"/>
      <c r="GS113" s="324"/>
      <c r="GT113" s="324"/>
      <c r="GU113" s="324"/>
      <c r="GV113" s="324"/>
      <c r="GW113" s="324"/>
      <c r="GX113" s="324"/>
      <c r="GY113" s="324"/>
      <c r="GZ113" s="324"/>
      <c r="HA113" s="324"/>
      <c r="HB113" s="324"/>
      <c r="HC113" s="324"/>
      <c r="HD113" s="324"/>
      <c r="HE113" s="324"/>
      <c r="HF113" s="324"/>
      <c r="HG113" s="324"/>
      <c r="HH113" s="324"/>
      <c r="HI113" s="324"/>
      <c r="HJ113" s="324"/>
      <c r="HK113" s="324"/>
      <c r="HL113" s="324"/>
      <c r="HM113" s="324"/>
      <c r="HN113" s="324"/>
      <c r="HO113" s="324"/>
      <c r="HP113" s="324"/>
      <c r="HQ113" s="324"/>
      <c r="HR113" s="324"/>
      <c r="HS113" s="324"/>
      <c r="HT113" s="324"/>
      <c r="HU113" s="324"/>
      <c r="HV113" s="324"/>
      <c r="HW113" s="324"/>
      <c r="HX113" s="324"/>
      <c r="HY113" s="324"/>
      <c r="HZ113" s="324"/>
      <c r="IA113" s="324"/>
      <c r="IB113" s="324"/>
      <c r="IC113" s="324"/>
      <c r="ID113" s="324"/>
      <c r="IE113" s="324"/>
      <c r="IF113" s="324"/>
      <c r="IG113" s="324"/>
      <c r="IH113" s="324"/>
      <c r="II113" s="324"/>
      <c r="IJ113" s="324"/>
      <c r="IK113" s="324"/>
      <c r="IL113" s="324"/>
      <c r="IM113" s="324"/>
    </row>
    <row r="114" spans="1:247" x14ac:dyDescent="0.35">
      <c r="A114" s="356">
        <v>4414</v>
      </c>
      <c r="B114" s="357" t="s">
        <v>121</v>
      </c>
      <c r="C114" s="172" t="s">
        <v>8</v>
      </c>
      <c r="D114" s="358" t="s">
        <v>2053</v>
      </c>
      <c r="E114" s="336"/>
      <c r="F114" s="331">
        <f t="shared" si="0"/>
        <v>1.0209999999999999</v>
      </c>
      <c r="G114" s="337">
        <f>+$G$3</f>
        <v>1.0269999999999999</v>
      </c>
      <c r="H114" s="336">
        <f>+$H$3</f>
        <v>1.0029999999999999</v>
      </c>
      <c r="I114" s="338">
        <f>+$I$3</f>
        <v>1.0289999999999999</v>
      </c>
      <c r="J114" s="338">
        <f>+$J$3</f>
        <v>1.0049999999999999</v>
      </c>
      <c r="K114" s="338"/>
      <c r="L114" s="338"/>
      <c r="M114" s="338">
        <f>+$M$3</f>
        <v>1.0029999999999999</v>
      </c>
      <c r="N114" s="337">
        <f>+$N$3</f>
        <v>1.0029999999999999</v>
      </c>
      <c r="O114" s="339"/>
      <c r="P114" s="336">
        <f t="shared" si="26"/>
        <v>1.032</v>
      </c>
      <c r="Q114" s="337">
        <f t="shared" si="27"/>
        <v>1.0349999999999999</v>
      </c>
      <c r="R114" s="340">
        <f t="shared" si="1"/>
        <v>1.168693068754227</v>
      </c>
      <c r="S114" s="324"/>
      <c r="T114" s="324"/>
      <c r="U114" s="324"/>
      <c r="V114" s="324"/>
      <c r="W114" s="324"/>
      <c r="X114" s="324"/>
      <c r="Y114" s="324"/>
      <c r="Z114" s="324"/>
      <c r="AA114" s="324"/>
      <c r="AB114" s="324"/>
      <c r="AC114" s="324"/>
      <c r="AD114" s="324"/>
      <c r="AE114" s="324"/>
      <c r="AF114" s="324"/>
      <c r="AG114" s="324"/>
      <c r="AH114" s="324"/>
      <c r="AI114" s="324"/>
      <c r="AJ114" s="324"/>
      <c r="AK114" s="324"/>
      <c r="AL114" s="324"/>
      <c r="AM114" s="324"/>
      <c r="AN114" s="324"/>
      <c r="AO114" s="324"/>
      <c r="AP114" s="324"/>
      <c r="AQ114" s="324"/>
      <c r="AR114" s="324"/>
      <c r="AS114" s="324"/>
      <c r="AT114" s="324"/>
      <c r="AU114" s="324"/>
      <c r="AV114" s="324"/>
      <c r="AW114" s="324"/>
      <c r="AX114" s="324"/>
      <c r="AY114" s="324"/>
      <c r="AZ114" s="324"/>
      <c r="BA114" s="324"/>
      <c r="BB114" s="324"/>
      <c r="BC114" s="324"/>
      <c r="BD114" s="324"/>
      <c r="BE114" s="324"/>
      <c r="BF114" s="324"/>
      <c r="BG114" s="324"/>
      <c r="BH114" s="324"/>
      <c r="BI114" s="324"/>
      <c r="BJ114" s="324"/>
      <c r="BK114" s="324"/>
      <c r="BL114" s="324"/>
      <c r="BM114" s="324"/>
      <c r="BN114" s="324"/>
      <c r="BO114" s="324"/>
      <c r="BP114" s="324"/>
      <c r="BQ114" s="324"/>
      <c r="BR114" s="324"/>
      <c r="BS114" s="324"/>
      <c r="BT114" s="324"/>
      <c r="BU114" s="324"/>
      <c r="BV114" s="324"/>
      <c r="BW114" s="324"/>
      <c r="BX114" s="324"/>
      <c r="BY114" s="324"/>
      <c r="BZ114" s="324"/>
      <c r="CA114" s="324"/>
      <c r="CB114" s="324"/>
      <c r="CC114" s="324"/>
      <c r="CD114" s="324"/>
      <c r="CE114" s="324"/>
      <c r="CF114" s="324"/>
      <c r="CG114" s="324"/>
      <c r="CH114" s="324"/>
      <c r="CI114" s="324"/>
      <c r="CJ114" s="324"/>
      <c r="CK114" s="324"/>
      <c r="CL114" s="324"/>
      <c r="CM114" s="324"/>
      <c r="CN114" s="324"/>
      <c r="CO114" s="324"/>
      <c r="CP114" s="324"/>
      <c r="CQ114" s="324"/>
      <c r="CR114" s="324"/>
      <c r="CS114" s="324"/>
      <c r="CT114" s="324"/>
      <c r="CU114" s="324"/>
      <c r="CV114" s="324"/>
      <c r="CW114" s="324"/>
      <c r="CX114" s="324"/>
      <c r="CY114" s="324"/>
      <c r="CZ114" s="324"/>
      <c r="DA114" s="324"/>
      <c r="DB114" s="324"/>
      <c r="DC114" s="324"/>
      <c r="DD114" s="324"/>
      <c r="DE114" s="324"/>
      <c r="DF114" s="324"/>
      <c r="DG114" s="324"/>
      <c r="DH114" s="324"/>
      <c r="DI114" s="324"/>
      <c r="DJ114" s="324"/>
      <c r="DK114" s="324"/>
      <c r="DL114" s="324"/>
      <c r="DM114" s="324"/>
      <c r="DN114" s="324"/>
      <c r="DO114" s="324"/>
      <c r="DP114" s="324"/>
      <c r="DQ114" s="324"/>
      <c r="DR114" s="324"/>
      <c r="DS114" s="324"/>
      <c r="DT114" s="324"/>
      <c r="DU114" s="324"/>
      <c r="DV114" s="324"/>
      <c r="DW114" s="324"/>
      <c r="DX114" s="324"/>
      <c r="DY114" s="324"/>
      <c r="DZ114" s="324"/>
      <c r="EA114" s="324"/>
      <c r="EB114" s="324"/>
      <c r="EC114" s="324"/>
      <c r="ED114" s="324"/>
      <c r="EE114" s="324"/>
      <c r="EF114" s="324"/>
      <c r="EG114" s="324"/>
      <c r="EH114" s="324"/>
      <c r="EI114" s="324"/>
      <c r="EJ114" s="324"/>
      <c r="EK114" s="324"/>
      <c r="EL114" s="324"/>
      <c r="EM114" s="324"/>
      <c r="EN114" s="324"/>
      <c r="EO114" s="324"/>
      <c r="EP114" s="324"/>
      <c r="EQ114" s="324"/>
      <c r="ER114" s="324"/>
      <c r="ES114" s="324"/>
      <c r="ET114" s="324"/>
      <c r="EU114" s="324"/>
      <c r="EV114" s="324"/>
      <c r="EW114" s="324"/>
      <c r="EX114" s="324"/>
      <c r="EY114" s="324"/>
      <c r="EZ114" s="324"/>
      <c r="FA114" s="324"/>
      <c r="FB114" s="324"/>
      <c r="FC114" s="324"/>
      <c r="FD114" s="324"/>
      <c r="FE114" s="324"/>
      <c r="FF114" s="324"/>
      <c r="FG114" s="324"/>
      <c r="FH114" s="324"/>
      <c r="FI114" s="324"/>
      <c r="FJ114" s="324"/>
      <c r="FK114" s="324"/>
      <c r="FL114" s="324"/>
      <c r="FM114" s="324"/>
      <c r="FN114" s="324"/>
      <c r="FO114" s="324"/>
      <c r="FP114" s="324"/>
      <c r="FQ114" s="324"/>
      <c r="FR114" s="324"/>
      <c r="FS114" s="324"/>
      <c r="FT114" s="324"/>
      <c r="FU114" s="324"/>
      <c r="FV114" s="324"/>
      <c r="FW114" s="324"/>
      <c r="FX114" s="324"/>
      <c r="FY114" s="324"/>
      <c r="FZ114" s="324"/>
      <c r="GA114" s="324"/>
      <c r="GB114" s="324"/>
      <c r="GC114" s="324"/>
      <c r="GD114" s="324"/>
      <c r="GE114" s="324"/>
      <c r="GF114" s="324"/>
      <c r="GG114" s="324"/>
      <c r="GH114" s="324"/>
      <c r="GI114" s="324"/>
      <c r="GJ114" s="324"/>
      <c r="GK114" s="324"/>
      <c r="GL114" s="324"/>
      <c r="GM114" s="324"/>
      <c r="GN114" s="324"/>
      <c r="GO114" s="324"/>
      <c r="GP114" s="324"/>
      <c r="GQ114" s="324"/>
      <c r="GR114" s="324"/>
      <c r="GS114" s="324"/>
      <c r="GT114" s="324"/>
      <c r="GU114" s="324"/>
      <c r="GV114" s="324"/>
      <c r="GW114" s="324"/>
      <c r="GX114" s="324"/>
      <c r="GY114" s="324"/>
      <c r="GZ114" s="324"/>
      <c r="HA114" s="324"/>
      <c r="HB114" s="324"/>
      <c r="HC114" s="324"/>
      <c r="HD114" s="324"/>
      <c r="HE114" s="324"/>
      <c r="HF114" s="324"/>
      <c r="HG114" s="324"/>
      <c r="HH114" s="324"/>
      <c r="HI114" s="324"/>
      <c r="HJ114" s="324"/>
      <c r="HK114" s="324"/>
      <c r="HL114" s="324"/>
      <c r="HM114" s="324"/>
      <c r="HN114" s="324"/>
      <c r="HO114" s="324"/>
      <c r="HP114" s="324"/>
      <c r="HQ114" s="324"/>
      <c r="HR114" s="324"/>
      <c r="HS114" s="324"/>
      <c r="HT114" s="324"/>
      <c r="HU114" s="324"/>
      <c r="HV114" s="324"/>
      <c r="HW114" s="324"/>
      <c r="HX114" s="324"/>
      <c r="HY114" s="324"/>
      <c r="HZ114" s="324"/>
      <c r="IA114" s="324"/>
      <c r="IB114" s="324"/>
      <c r="IC114" s="324"/>
      <c r="ID114" s="324"/>
      <c r="IE114" s="324"/>
      <c r="IF114" s="324"/>
      <c r="IG114" s="324"/>
      <c r="IH114" s="324"/>
      <c r="II114" s="324"/>
      <c r="IJ114" s="324"/>
      <c r="IK114" s="324"/>
      <c r="IL114" s="324"/>
      <c r="IM114" s="324"/>
    </row>
    <row r="115" spans="1:247" x14ac:dyDescent="0.35">
      <c r="A115" s="356">
        <v>4424</v>
      </c>
      <c r="B115" s="357" t="s">
        <v>122</v>
      </c>
      <c r="C115" s="172" t="s">
        <v>8</v>
      </c>
      <c r="D115" s="358" t="s">
        <v>2053</v>
      </c>
      <c r="E115" s="336"/>
      <c r="F115" s="331">
        <f t="shared" si="0"/>
        <v>1.0209999999999999</v>
      </c>
      <c r="G115" s="337">
        <f>+$G$3</f>
        <v>1.0269999999999999</v>
      </c>
      <c r="H115" s="336">
        <f>+$H$3</f>
        <v>1.0029999999999999</v>
      </c>
      <c r="I115" s="338">
        <f>+$I$3</f>
        <v>1.0289999999999999</v>
      </c>
      <c r="J115" s="338">
        <f>+$J$3</f>
        <v>1.0049999999999999</v>
      </c>
      <c r="K115" s="338"/>
      <c r="L115" s="338"/>
      <c r="M115" s="338">
        <f>+$M$3</f>
        <v>1.0029999999999999</v>
      </c>
      <c r="N115" s="337">
        <f>+$N$3</f>
        <v>1.0029999999999999</v>
      </c>
      <c r="O115" s="339"/>
      <c r="P115" s="336">
        <f t="shared" si="26"/>
        <v>1.032</v>
      </c>
      <c r="Q115" s="337">
        <f t="shared" si="27"/>
        <v>1.0349999999999999</v>
      </c>
      <c r="R115" s="340">
        <f t="shared" si="1"/>
        <v>1.168693068754227</v>
      </c>
      <c r="S115" s="324"/>
      <c r="T115" s="324"/>
      <c r="U115" s="324"/>
      <c r="V115" s="324"/>
      <c r="W115" s="324"/>
      <c r="X115" s="324"/>
      <c r="Y115" s="324"/>
      <c r="Z115" s="324"/>
      <c r="AA115" s="324"/>
      <c r="AB115" s="324"/>
      <c r="AC115" s="324"/>
      <c r="AD115" s="324"/>
      <c r="AE115" s="324"/>
      <c r="AF115" s="324"/>
      <c r="AG115" s="324"/>
      <c r="AH115" s="324"/>
      <c r="AI115" s="324"/>
      <c r="AJ115" s="324"/>
      <c r="AK115" s="324"/>
      <c r="AL115" s="324"/>
      <c r="AM115" s="324"/>
      <c r="AN115" s="324"/>
      <c r="AO115" s="324"/>
      <c r="AP115" s="324"/>
      <c r="AQ115" s="324"/>
      <c r="AR115" s="324"/>
      <c r="AS115" s="324"/>
      <c r="AT115" s="324"/>
      <c r="AU115" s="324"/>
      <c r="AV115" s="324"/>
      <c r="AW115" s="324"/>
      <c r="AX115" s="324"/>
      <c r="AY115" s="324"/>
      <c r="AZ115" s="324"/>
      <c r="BA115" s="324"/>
      <c r="BB115" s="324"/>
      <c r="BC115" s="324"/>
      <c r="BD115" s="324"/>
      <c r="BE115" s="324"/>
      <c r="BF115" s="324"/>
      <c r="BG115" s="324"/>
      <c r="BH115" s="324"/>
      <c r="BI115" s="324"/>
      <c r="BJ115" s="324"/>
      <c r="BK115" s="324"/>
      <c r="BL115" s="324"/>
      <c r="BM115" s="324"/>
      <c r="BN115" s="324"/>
      <c r="BO115" s="324"/>
      <c r="BP115" s="324"/>
      <c r="BQ115" s="324"/>
      <c r="BR115" s="324"/>
      <c r="BS115" s="324"/>
      <c r="BT115" s="324"/>
      <c r="BU115" s="324"/>
      <c r="BV115" s="324"/>
      <c r="BW115" s="324"/>
      <c r="BX115" s="324"/>
      <c r="BY115" s="324"/>
      <c r="BZ115" s="324"/>
      <c r="CA115" s="324"/>
      <c r="CB115" s="324"/>
      <c r="CC115" s="324"/>
      <c r="CD115" s="324"/>
      <c r="CE115" s="324"/>
      <c r="CF115" s="324"/>
      <c r="CG115" s="324"/>
      <c r="CH115" s="324"/>
      <c r="CI115" s="324"/>
      <c r="CJ115" s="324"/>
      <c r="CK115" s="324"/>
      <c r="CL115" s="324"/>
      <c r="CM115" s="324"/>
      <c r="CN115" s="324"/>
      <c r="CO115" s="324"/>
      <c r="CP115" s="324"/>
      <c r="CQ115" s="324"/>
      <c r="CR115" s="324"/>
      <c r="CS115" s="324"/>
      <c r="CT115" s="324"/>
      <c r="CU115" s="324"/>
      <c r="CV115" s="324"/>
      <c r="CW115" s="324"/>
      <c r="CX115" s="324"/>
      <c r="CY115" s="324"/>
      <c r="CZ115" s="324"/>
      <c r="DA115" s="324"/>
      <c r="DB115" s="324"/>
      <c r="DC115" s="324"/>
      <c r="DD115" s="324"/>
      <c r="DE115" s="324"/>
      <c r="DF115" s="324"/>
      <c r="DG115" s="324"/>
      <c r="DH115" s="324"/>
      <c r="DI115" s="324"/>
      <c r="DJ115" s="324"/>
      <c r="DK115" s="324"/>
      <c r="DL115" s="324"/>
      <c r="DM115" s="324"/>
      <c r="DN115" s="324"/>
      <c r="DO115" s="324"/>
      <c r="DP115" s="324"/>
      <c r="DQ115" s="324"/>
      <c r="DR115" s="324"/>
      <c r="DS115" s="324"/>
      <c r="DT115" s="324"/>
      <c r="DU115" s="324"/>
      <c r="DV115" s="324"/>
      <c r="DW115" s="324"/>
      <c r="DX115" s="324"/>
      <c r="DY115" s="324"/>
      <c r="DZ115" s="324"/>
      <c r="EA115" s="324"/>
      <c r="EB115" s="324"/>
      <c r="EC115" s="324"/>
      <c r="ED115" s="324"/>
      <c r="EE115" s="324"/>
      <c r="EF115" s="324"/>
      <c r="EG115" s="324"/>
      <c r="EH115" s="324"/>
      <c r="EI115" s="324"/>
      <c r="EJ115" s="324"/>
      <c r="EK115" s="324"/>
      <c r="EL115" s="324"/>
      <c r="EM115" s="324"/>
      <c r="EN115" s="324"/>
      <c r="EO115" s="324"/>
      <c r="EP115" s="324"/>
      <c r="EQ115" s="324"/>
      <c r="ER115" s="324"/>
      <c r="ES115" s="324"/>
      <c r="ET115" s="324"/>
      <c r="EU115" s="324"/>
      <c r="EV115" s="324"/>
      <c r="EW115" s="324"/>
      <c r="EX115" s="324"/>
      <c r="EY115" s="324"/>
      <c r="EZ115" s="324"/>
      <c r="FA115" s="324"/>
      <c r="FB115" s="324"/>
      <c r="FC115" s="324"/>
      <c r="FD115" s="324"/>
      <c r="FE115" s="324"/>
      <c r="FF115" s="324"/>
      <c r="FG115" s="324"/>
      <c r="FH115" s="324"/>
      <c r="FI115" s="324"/>
      <c r="FJ115" s="324"/>
      <c r="FK115" s="324"/>
      <c r="FL115" s="324"/>
      <c r="FM115" s="324"/>
      <c r="FN115" s="324"/>
      <c r="FO115" s="324"/>
      <c r="FP115" s="324"/>
      <c r="FQ115" s="324"/>
      <c r="FR115" s="324"/>
      <c r="FS115" s="324"/>
      <c r="FT115" s="324"/>
      <c r="FU115" s="324"/>
      <c r="FV115" s="324"/>
      <c r="FW115" s="324"/>
      <c r="FX115" s="324"/>
      <c r="FY115" s="324"/>
      <c r="FZ115" s="324"/>
      <c r="GA115" s="324"/>
      <c r="GB115" s="324"/>
      <c r="GC115" s="324"/>
      <c r="GD115" s="324"/>
      <c r="GE115" s="324"/>
      <c r="GF115" s="324"/>
      <c r="GG115" s="324"/>
      <c r="GH115" s="324"/>
      <c r="GI115" s="324"/>
      <c r="GJ115" s="324"/>
      <c r="GK115" s="324"/>
      <c r="GL115" s="324"/>
      <c r="GM115" s="324"/>
      <c r="GN115" s="324"/>
      <c r="GO115" s="324"/>
      <c r="GP115" s="324"/>
      <c r="GQ115" s="324"/>
      <c r="GR115" s="324"/>
      <c r="GS115" s="324"/>
      <c r="GT115" s="324"/>
      <c r="GU115" s="324"/>
      <c r="GV115" s="324"/>
      <c r="GW115" s="324"/>
      <c r="GX115" s="324"/>
      <c r="GY115" s="324"/>
      <c r="GZ115" s="324"/>
      <c r="HA115" s="324"/>
      <c r="HB115" s="324"/>
      <c r="HC115" s="324"/>
      <c r="HD115" s="324"/>
      <c r="HE115" s="324"/>
      <c r="HF115" s="324"/>
      <c r="HG115" s="324"/>
      <c r="HH115" s="324"/>
      <c r="HI115" s="324"/>
      <c r="HJ115" s="324"/>
      <c r="HK115" s="324"/>
      <c r="HL115" s="324"/>
      <c r="HM115" s="324"/>
      <c r="HN115" s="324"/>
      <c r="HO115" s="324"/>
      <c r="HP115" s="324"/>
      <c r="HQ115" s="324"/>
      <c r="HR115" s="324"/>
      <c r="HS115" s="324"/>
      <c r="HT115" s="324"/>
      <c r="HU115" s="324"/>
      <c r="HV115" s="324"/>
      <c r="HW115" s="324"/>
      <c r="HX115" s="324"/>
      <c r="HY115" s="324"/>
      <c r="HZ115" s="324"/>
      <c r="IA115" s="324"/>
      <c r="IB115" s="324"/>
      <c r="IC115" s="324"/>
      <c r="ID115" s="324"/>
      <c r="IE115" s="324"/>
      <c r="IF115" s="324"/>
      <c r="IG115" s="324"/>
      <c r="IH115" s="324"/>
      <c r="II115" s="324"/>
      <c r="IJ115" s="324"/>
      <c r="IK115" s="324"/>
      <c r="IL115" s="324"/>
      <c r="IM115" s="324"/>
    </row>
    <row r="116" spans="1:247" x14ac:dyDescent="0.35">
      <c r="A116" s="356">
        <v>4425</v>
      </c>
      <c r="B116" s="357" t="s">
        <v>123</v>
      </c>
      <c r="C116" s="172" t="s">
        <v>8</v>
      </c>
      <c r="D116" s="358" t="s">
        <v>2053</v>
      </c>
      <c r="E116" s="336"/>
      <c r="F116" s="331">
        <f t="shared" si="0"/>
        <v>1.0209999999999999</v>
      </c>
      <c r="G116" s="337">
        <f>+$G$3</f>
        <v>1.0269999999999999</v>
      </c>
      <c r="H116" s="336"/>
      <c r="I116" s="338"/>
      <c r="J116" s="338">
        <f>+$J$3</f>
        <v>1.0049999999999999</v>
      </c>
      <c r="K116" s="338"/>
      <c r="L116" s="338"/>
      <c r="M116" s="338"/>
      <c r="N116" s="337"/>
      <c r="O116" s="339"/>
      <c r="P116" s="336">
        <f t="shared" si="26"/>
        <v>1.032</v>
      </c>
      <c r="Q116" s="337">
        <f t="shared" si="27"/>
        <v>1.0349999999999999</v>
      </c>
      <c r="R116" s="340">
        <f t="shared" si="1"/>
        <v>1.1255953609601996</v>
      </c>
      <c r="S116" s="324"/>
      <c r="T116" s="324"/>
      <c r="U116" s="324"/>
      <c r="V116" s="324"/>
      <c r="W116" s="324"/>
      <c r="X116" s="324"/>
      <c r="Y116" s="324"/>
      <c r="Z116" s="324"/>
      <c r="AA116" s="324"/>
      <c r="AB116" s="324"/>
      <c r="AC116" s="324"/>
      <c r="AD116" s="324"/>
      <c r="AE116" s="324"/>
      <c r="AF116" s="324"/>
      <c r="AG116" s="324"/>
      <c r="AH116" s="324"/>
      <c r="AI116" s="324"/>
      <c r="AJ116" s="324"/>
      <c r="AK116" s="324"/>
      <c r="AL116" s="324"/>
      <c r="AM116" s="324"/>
      <c r="AN116" s="324"/>
      <c r="AO116" s="324"/>
      <c r="AP116" s="324"/>
      <c r="AQ116" s="324"/>
      <c r="AR116" s="324"/>
      <c r="AS116" s="324"/>
      <c r="AT116" s="324"/>
      <c r="AU116" s="324"/>
      <c r="AV116" s="324"/>
      <c r="AW116" s="324"/>
      <c r="AX116" s="324"/>
      <c r="AY116" s="324"/>
      <c r="AZ116" s="324"/>
      <c r="BA116" s="324"/>
      <c r="BB116" s="324"/>
      <c r="BC116" s="324"/>
      <c r="BD116" s="324"/>
      <c r="BE116" s="324"/>
      <c r="BF116" s="324"/>
      <c r="BG116" s="324"/>
      <c r="BH116" s="324"/>
      <c r="BI116" s="324"/>
      <c r="BJ116" s="324"/>
      <c r="BK116" s="324"/>
      <c r="BL116" s="324"/>
      <c r="BM116" s="324"/>
      <c r="BN116" s="324"/>
      <c r="BO116" s="324"/>
      <c r="BP116" s="324"/>
      <c r="BQ116" s="324"/>
      <c r="BR116" s="324"/>
      <c r="BS116" s="324"/>
      <c r="BT116" s="324"/>
      <c r="BU116" s="324"/>
      <c r="BV116" s="324"/>
      <c r="BW116" s="324"/>
      <c r="BX116" s="324"/>
      <c r="BY116" s="324"/>
      <c r="BZ116" s="324"/>
      <c r="CA116" s="324"/>
      <c r="CB116" s="324"/>
      <c r="CC116" s="324"/>
      <c r="CD116" s="324"/>
      <c r="CE116" s="324"/>
      <c r="CF116" s="324"/>
      <c r="CG116" s="324"/>
      <c r="CH116" s="324"/>
      <c r="CI116" s="324"/>
      <c r="CJ116" s="324"/>
      <c r="CK116" s="324"/>
      <c r="CL116" s="324"/>
      <c r="CM116" s="324"/>
      <c r="CN116" s="324"/>
      <c r="CO116" s="324"/>
      <c r="CP116" s="324"/>
      <c r="CQ116" s="324"/>
      <c r="CR116" s="324"/>
      <c r="CS116" s="324"/>
      <c r="CT116" s="324"/>
      <c r="CU116" s="324"/>
      <c r="CV116" s="324"/>
      <c r="CW116" s="324"/>
      <c r="CX116" s="324"/>
      <c r="CY116" s="324"/>
      <c r="CZ116" s="324"/>
      <c r="DA116" s="324"/>
      <c r="DB116" s="324"/>
      <c r="DC116" s="324"/>
      <c r="DD116" s="324"/>
      <c r="DE116" s="324"/>
      <c r="DF116" s="324"/>
      <c r="DG116" s="324"/>
      <c r="DH116" s="324"/>
      <c r="DI116" s="324"/>
      <c r="DJ116" s="324"/>
      <c r="DK116" s="324"/>
      <c r="DL116" s="324"/>
      <c r="DM116" s="324"/>
      <c r="DN116" s="324"/>
      <c r="DO116" s="324"/>
      <c r="DP116" s="324"/>
      <c r="DQ116" s="324"/>
      <c r="DR116" s="324"/>
      <c r="DS116" s="324"/>
      <c r="DT116" s="324"/>
      <c r="DU116" s="324"/>
      <c r="DV116" s="324"/>
      <c r="DW116" s="324"/>
      <c r="DX116" s="324"/>
      <c r="DY116" s="324"/>
      <c r="DZ116" s="324"/>
      <c r="EA116" s="324"/>
      <c r="EB116" s="324"/>
      <c r="EC116" s="324"/>
      <c r="ED116" s="324"/>
      <c r="EE116" s="324"/>
      <c r="EF116" s="324"/>
      <c r="EG116" s="324"/>
      <c r="EH116" s="324"/>
      <c r="EI116" s="324"/>
      <c r="EJ116" s="324"/>
      <c r="EK116" s="324"/>
      <c r="EL116" s="324"/>
      <c r="EM116" s="324"/>
      <c r="EN116" s="324"/>
      <c r="EO116" s="324"/>
      <c r="EP116" s="324"/>
      <c r="EQ116" s="324"/>
      <c r="ER116" s="324"/>
      <c r="ES116" s="324"/>
      <c r="ET116" s="324"/>
      <c r="EU116" s="324"/>
      <c r="EV116" s="324"/>
      <c r="EW116" s="324"/>
      <c r="EX116" s="324"/>
      <c r="EY116" s="324"/>
      <c r="EZ116" s="324"/>
      <c r="FA116" s="324"/>
      <c r="FB116" s="324"/>
      <c r="FC116" s="324"/>
      <c r="FD116" s="324"/>
      <c r="FE116" s="324"/>
      <c r="FF116" s="324"/>
      <c r="FG116" s="324"/>
      <c r="FH116" s="324"/>
      <c r="FI116" s="324"/>
      <c r="FJ116" s="324"/>
      <c r="FK116" s="324"/>
      <c r="FL116" s="324"/>
      <c r="FM116" s="324"/>
      <c r="FN116" s="324"/>
      <c r="FO116" s="324"/>
      <c r="FP116" s="324"/>
      <c r="FQ116" s="324"/>
      <c r="FR116" s="324"/>
      <c r="FS116" s="324"/>
      <c r="FT116" s="324"/>
      <c r="FU116" s="324"/>
      <c r="FV116" s="324"/>
      <c r="FW116" s="324"/>
      <c r="FX116" s="324"/>
      <c r="FY116" s="324"/>
      <c r="FZ116" s="324"/>
      <c r="GA116" s="324"/>
      <c r="GB116" s="324"/>
      <c r="GC116" s="324"/>
      <c r="GD116" s="324"/>
      <c r="GE116" s="324"/>
      <c r="GF116" s="324"/>
      <c r="GG116" s="324"/>
      <c r="GH116" s="324"/>
      <c r="GI116" s="324"/>
      <c r="GJ116" s="324"/>
      <c r="GK116" s="324"/>
      <c r="GL116" s="324"/>
      <c r="GM116" s="324"/>
      <c r="GN116" s="324"/>
      <c r="GO116" s="324"/>
      <c r="GP116" s="324"/>
      <c r="GQ116" s="324"/>
      <c r="GR116" s="324"/>
      <c r="GS116" s="324"/>
      <c r="GT116" s="324"/>
      <c r="GU116" s="324"/>
      <c r="GV116" s="324"/>
      <c r="GW116" s="324"/>
      <c r="GX116" s="324"/>
      <c r="GY116" s="324"/>
      <c r="GZ116" s="324"/>
      <c r="HA116" s="324"/>
      <c r="HB116" s="324"/>
      <c r="HC116" s="324"/>
      <c r="HD116" s="324"/>
      <c r="HE116" s="324"/>
      <c r="HF116" s="324"/>
      <c r="HG116" s="324"/>
      <c r="HH116" s="324"/>
      <c r="HI116" s="324"/>
      <c r="HJ116" s="324"/>
      <c r="HK116" s="324"/>
      <c r="HL116" s="324"/>
      <c r="HM116" s="324"/>
      <c r="HN116" s="324"/>
      <c r="HO116" s="324"/>
      <c r="HP116" s="324"/>
      <c r="HQ116" s="324"/>
      <c r="HR116" s="324"/>
      <c r="HS116" s="324"/>
      <c r="HT116" s="324"/>
      <c r="HU116" s="324"/>
      <c r="HV116" s="324"/>
      <c r="HW116" s="324"/>
      <c r="HX116" s="324"/>
      <c r="HY116" s="324"/>
      <c r="HZ116" s="324"/>
      <c r="IA116" s="324"/>
      <c r="IB116" s="324"/>
      <c r="IC116" s="324"/>
      <c r="ID116" s="324"/>
      <c r="IE116" s="324"/>
      <c r="IF116" s="324"/>
      <c r="IG116" s="324"/>
      <c r="IH116" s="324"/>
      <c r="II116" s="324"/>
      <c r="IJ116" s="324"/>
      <c r="IK116" s="324"/>
      <c r="IL116" s="324"/>
      <c r="IM116" s="324"/>
    </row>
    <row r="117" spans="1:247" x14ac:dyDescent="0.35">
      <c r="A117" s="356">
        <v>4426</v>
      </c>
      <c r="B117" s="357" t="s">
        <v>124</v>
      </c>
      <c r="C117" s="172" t="s">
        <v>8</v>
      </c>
      <c r="D117" s="358" t="s">
        <v>2053</v>
      </c>
      <c r="E117" s="336"/>
      <c r="F117" s="331">
        <f t="shared" si="0"/>
        <v>1.0209999999999999</v>
      </c>
      <c r="G117" s="337"/>
      <c r="H117" s="336"/>
      <c r="I117" s="338"/>
      <c r="J117" s="338"/>
      <c r="K117" s="338"/>
      <c r="L117" s="338"/>
      <c r="M117" s="338"/>
      <c r="N117" s="337"/>
      <c r="O117" s="339"/>
      <c r="P117" s="336">
        <f t="shared" si="26"/>
        <v>1.032</v>
      </c>
      <c r="Q117" s="337">
        <f t="shared" si="27"/>
        <v>1.0349999999999999</v>
      </c>
      <c r="R117" s="340">
        <f t="shared" si="1"/>
        <v>1.0905505199999999</v>
      </c>
      <c r="S117" s="324"/>
      <c r="T117" s="324"/>
      <c r="U117" s="324"/>
      <c r="V117" s="324"/>
      <c r="W117" s="324"/>
      <c r="X117" s="324"/>
      <c r="Y117" s="324"/>
      <c r="Z117" s="324"/>
      <c r="AA117" s="324"/>
      <c r="AB117" s="324"/>
      <c r="AC117" s="324"/>
      <c r="AD117" s="324"/>
      <c r="AE117" s="324"/>
      <c r="AF117" s="324"/>
      <c r="AG117" s="324"/>
      <c r="AH117" s="324"/>
      <c r="AI117" s="324"/>
      <c r="AJ117" s="324"/>
      <c r="AK117" s="324"/>
      <c r="AL117" s="324"/>
      <c r="AM117" s="324"/>
      <c r="AN117" s="324"/>
      <c r="AO117" s="324"/>
      <c r="AP117" s="324"/>
      <c r="AQ117" s="324"/>
      <c r="AR117" s="324"/>
      <c r="AS117" s="324"/>
      <c r="AT117" s="324"/>
      <c r="AU117" s="324"/>
      <c r="AV117" s="324"/>
      <c r="AW117" s="324"/>
      <c r="AX117" s="324"/>
      <c r="AY117" s="324"/>
      <c r="AZ117" s="324"/>
      <c r="BA117" s="324"/>
      <c r="BB117" s="324"/>
      <c r="BC117" s="324"/>
      <c r="BD117" s="324"/>
      <c r="BE117" s="324"/>
      <c r="BF117" s="324"/>
      <c r="BG117" s="324"/>
      <c r="BH117" s="324"/>
      <c r="BI117" s="324"/>
      <c r="BJ117" s="324"/>
      <c r="BK117" s="324"/>
      <c r="BL117" s="324"/>
      <c r="BM117" s="324"/>
      <c r="BN117" s="324"/>
      <c r="BO117" s="324"/>
      <c r="BP117" s="324"/>
      <c r="BQ117" s="324"/>
      <c r="BR117" s="324"/>
      <c r="BS117" s="324"/>
      <c r="BT117" s="324"/>
      <c r="BU117" s="324"/>
      <c r="BV117" s="324"/>
      <c r="BW117" s="324"/>
      <c r="BX117" s="324"/>
      <c r="BY117" s="324"/>
      <c r="BZ117" s="324"/>
      <c r="CA117" s="324"/>
      <c r="CB117" s="324"/>
      <c r="CC117" s="324"/>
      <c r="CD117" s="324"/>
      <c r="CE117" s="324"/>
      <c r="CF117" s="324"/>
      <c r="CG117" s="324"/>
      <c r="CH117" s="324"/>
      <c r="CI117" s="324"/>
      <c r="CJ117" s="324"/>
      <c r="CK117" s="324"/>
      <c r="CL117" s="324"/>
      <c r="CM117" s="324"/>
      <c r="CN117" s="324"/>
      <c r="CO117" s="324"/>
      <c r="CP117" s="324"/>
      <c r="CQ117" s="324"/>
      <c r="CR117" s="324"/>
      <c r="CS117" s="324"/>
      <c r="CT117" s="324"/>
      <c r="CU117" s="324"/>
      <c r="CV117" s="324"/>
      <c r="CW117" s="324"/>
      <c r="CX117" s="324"/>
      <c r="CY117" s="324"/>
      <c r="CZ117" s="324"/>
      <c r="DA117" s="324"/>
      <c r="DB117" s="324"/>
      <c r="DC117" s="324"/>
      <c r="DD117" s="324"/>
      <c r="DE117" s="324"/>
      <c r="DF117" s="324"/>
      <c r="DG117" s="324"/>
      <c r="DH117" s="324"/>
      <c r="DI117" s="324"/>
      <c r="DJ117" s="324"/>
      <c r="DK117" s="324"/>
      <c r="DL117" s="324"/>
      <c r="DM117" s="324"/>
      <c r="DN117" s="324"/>
      <c r="DO117" s="324"/>
      <c r="DP117" s="324"/>
      <c r="DQ117" s="324"/>
      <c r="DR117" s="324"/>
      <c r="DS117" s="324"/>
      <c r="DT117" s="324"/>
      <c r="DU117" s="324"/>
      <c r="DV117" s="324"/>
      <c r="DW117" s="324"/>
      <c r="DX117" s="324"/>
      <c r="DY117" s="324"/>
      <c r="DZ117" s="324"/>
      <c r="EA117" s="324"/>
      <c r="EB117" s="324"/>
      <c r="EC117" s="324"/>
      <c r="ED117" s="324"/>
      <c r="EE117" s="324"/>
      <c r="EF117" s="324"/>
      <c r="EG117" s="324"/>
      <c r="EH117" s="324"/>
      <c r="EI117" s="324"/>
      <c r="EJ117" s="324"/>
      <c r="EK117" s="324"/>
      <c r="EL117" s="324"/>
      <c r="EM117" s="324"/>
      <c r="EN117" s="324"/>
      <c r="EO117" s="324"/>
      <c r="EP117" s="324"/>
      <c r="EQ117" s="324"/>
      <c r="ER117" s="324"/>
      <c r="ES117" s="324"/>
      <c r="ET117" s="324"/>
      <c r="EU117" s="324"/>
      <c r="EV117" s="324"/>
      <c r="EW117" s="324"/>
      <c r="EX117" s="324"/>
      <c r="EY117" s="324"/>
      <c r="EZ117" s="324"/>
      <c r="FA117" s="324"/>
      <c r="FB117" s="324"/>
      <c r="FC117" s="324"/>
      <c r="FD117" s="324"/>
      <c r="FE117" s="324"/>
      <c r="FF117" s="324"/>
      <c r="FG117" s="324"/>
      <c r="FH117" s="324"/>
      <c r="FI117" s="324"/>
      <c r="FJ117" s="324"/>
      <c r="FK117" s="324"/>
      <c r="FL117" s="324"/>
      <c r="FM117" s="324"/>
      <c r="FN117" s="324"/>
      <c r="FO117" s="324"/>
      <c r="FP117" s="324"/>
      <c r="FQ117" s="324"/>
      <c r="FR117" s="324"/>
      <c r="FS117" s="324"/>
      <c r="FT117" s="324"/>
      <c r="FU117" s="324"/>
      <c r="FV117" s="324"/>
      <c r="FW117" s="324"/>
      <c r="FX117" s="324"/>
      <c r="FY117" s="324"/>
      <c r="FZ117" s="324"/>
      <c r="GA117" s="324"/>
      <c r="GB117" s="324"/>
      <c r="GC117" s="324"/>
      <c r="GD117" s="324"/>
      <c r="GE117" s="324"/>
      <c r="GF117" s="324"/>
      <c r="GG117" s="324"/>
      <c r="GH117" s="324"/>
      <c r="GI117" s="324"/>
      <c r="GJ117" s="324"/>
      <c r="GK117" s="324"/>
      <c r="GL117" s="324"/>
      <c r="GM117" s="324"/>
      <c r="GN117" s="324"/>
      <c r="GO117" s="324"/>
      <c r="GP117" s="324"/>
      <c r="GQ117" s="324"/>
      <c r="GR117" s="324"/>
      <c r="GS117" s="324"/>
      <c r="GT117" s="324"/>
      <c r="GU117" s="324"/>
      <c r="GV117" s="324"/>
      <c r="GW117" s="324"/>
      <c r="GX117" s="324"/>
      <c r="GY117" s="324"/>
      <c r="GZ117" s="324"/>
      <c r="HA117" s="324"/>
      <c r="HB117" s="324"/>
      <c r="HC117" s="324"/>
      <c r="HD117" s="324"/>
      <c r="HE117" s="324"/>
      <c r="HF117" s="324"/>
      <c r="HG117" s="324"/>
      <c r="HH117" s="324"/>
      <c r="HI117" s="324"/>
      <c r="HJ117" s="324"/>
      <c r="HK117" s="324"/>
      <c r="HL117" s="324"/>
      <c r="HM117" s="324"/>
      <c r="HN117" s="324"/>
      <c r="HO117" s="324"/>
      <c r="HP117" s="324"/>
      <c r="HQ117" s="324"/>
      <c r="HR117" s="324"/>
      <c r="HS117" s="324"/>
      <c r="HT117" s="324"/>
      <c r="HU117" s="324"/>
      <c r="HV117" s="324"/>
      <c r="HW117" s="324"/>
      <c r="HX117" s="324"/>
      <c r="HY117" s="324"/>
      <c r="HZ117" s="324"/>
      <c r="IA117" s="324"/>
      <c r="IB117" s="324"/>
      <c r="IC117" s="324"/>
      <c r="ID117" s="324"/>
      <c r="IE117" s="324"/>
      <c r="IF117" s="324"/>
      <c r="IG117" s="324"/>
      <c r="IH117" s="324"/>
      <c r="II117" s="324"/>
      <c r="IJ117" s="324"/>
      <c r="IK117" s="324"/>
      <c r="IL117" s="324"/>
      <c r="IM117" s="324"/>
    </row>
    <row r="118" spans="1:247" x14ac:dyDescent="0.35">
      <c r="A118" s="356">
        <v>4428</v>
      </c>
      <c r="B118" s="357" t="s">
        <v>125</v>
      </c>
      <c r="C118" s="172" t="s">
        <v>8</v>
      </c>
      <c r="D118" s="358" t="s">
        <v>2053</v>
      </c>
      <c r="E118" s="336"/>
      <c r="F118" s="331">
        <f t="shared" si="0"/>
        <v>1.0209999999999999</v>
      </c>
      <c r="G118" s="337"/>
      <c r="H118" s="336"/>
      <c r="I118" s="338"/>
      <c r="J118" s="338">
        <f>+$J$3</f>
        <v>1.0049999999999999</v>
      </c>
      <c r="K118" s="338"/>
      <c r="L118" s="338"/>
      <c r="M118" s="338">
        <f>+$M$3</f>
        <v>1.0029999999999999</v>
      </c>
      <c r="N118" s="337">
        <f>+$N$3</f>
        <v>1.0029999999999999</v>
      </c>
      <c r="O118" s="339"/>
      <c r="P118" s="336">
        <f t="shared" si="26"/>
        <v>1.032</v>
      </c>
      <c r="Q118" s="337">
        <f t="shared" si="27"/>
        <v>1.0349999999999999</v>
      </c>
      <c r="R118" s="340">
        <f t="shared" si="1"/>
        <v>1.1025891562650529</v>
      </c>
      <c r="S118" s="324"/>
      <c r="T118" s="324"/>
      <c r="U118" s="324"/>
      <c r="V118" s="324"/>
      <c r="W118" s="324"/>
      <c r="X118" s="324"/>
      <c r="Y118" s="324"/>
      <c r="Z118" s="324"/>
      <c r="AA118" s="324"/>
      <c r="AB118" s="324"/>
      <c r="AC118" s="324"/>
      <c r="AD118" s="324"/>
      <c r="AE118" s="324"/>
      <c r="AF118" s="324"/>
      <c r="AG118" s="324"/>
      <c r="AH118" s="324"/>
      <c r="AI118" s="324"/>
      <c r="AJ118" s="324"/>
      <c r="AK118" s="324"/>
      <c r="AL118" s="324"/>
      <c r="AM118" s="324"/>
      <c r="AN118" s="324"/>
      <c r="AO118" s="324"/>
      <c r="AP118" s="324"/>
      <c r="AQ118" s="324"/>
      <c r="AR118" s="324"/>
      <c r="AS118" s="324"/>
      <c r="AT118" s="324"/>
      <c r="AU118" s="324"/>
      <c r="AV118" s="324"/>
      <c r="AW118" s="324"/>
      <c r="AX118" s="324"/>
      <c r="AY118" s="324"/>
      <c r="AZ118" s="324"/>
      <c r="BA118" s="324"/>
      <c r="BB118" s="324"/>
      <c r="BC118" s="324"/>
      <c r="BD118" s="324"/>
      <c r="BE118" s="324"/>
      <c r="BF118" s="324"/>
      <c r="BG118" s="324"/>
      <c r="BH118" s="324"/>
      <c r="BI118" s="324"/>
      <c r="BJ118" s="324"/>
      <c r="BK118" s="324"/>
      <c r="BL118" s="324"/>
      <c r="BM118" s="324"/>
      <c r="BN118" s="324"/>
      <c r="BO118" s="324"/>
      <c r="BP118" s="324"/>
      <c r="BQ118" s="324"/>
      <c r="BR118" s="324"/>
      <c r="BS118" s="324"/>
      <c r="BT118" s="324"/>
      <c r="BU118" s="324"/>
      <c r="BV118" s="324"/>
      <c r="BW118" s="324"/>
      <c r="BX118" s="324"/>
      <c r="BY118" s="324"/>
      <c r="BZ118" s="324"/>
      <c r="CA118" s="324"/>
      <c r="CB118" s="324"/>
      <c r="CC118" s="324"/>
      <c r="CD118" s="324"/>
      <c r="CE118" s="324"/>
      <c r="CF118" s="324"/>
      <c r="CG118" s="324"/>
      <c r="CH118" s="324"/>
      <c r="CI118" s="324"/>
      <c r="CJ118" s="324"/>
      <c r="CK118" s="324"/>
      <c r="CL118" s="324"/>
      <c r="CM118" s="324"/>
      <c r="CN118" s="324"/>
      <c r="CO118" s="324"/>
      <c r="CP118" s="324"/>
      <c r="CQ118" s="324"/>
      <c r="CR118" s="324"/>
      <c r="CS118" s="324"/>
      <c r="CT118" s="324"/>
      <c r="CU118" s="324"/>
      <c r="CV118" s="324"/>
      <c r="CW118" s="324"/>
      <c r="CX118" s="324"/>
      <c r="CY118" s="324"/>
      <c r="CZ118" s="324"/>
      <c r="DA118" s="324"/>
      <c r="DB118" s="324"/>
      <c r="DC118" s="324"/>
      <c r="DD118" s="324"/>
      <c r="DE118" s="324"/>
      <c r="DF118" s="324"/>
      <c r="DG118" s="324"/>
      <c r="DH118" s="324"/>
      <c r="DI118" s="324"/>
      <c r="DJ118" s="324"/>
      <c r="DK118" s="324"/>
      <c r="DL118" s="324"/>
      <c r="DM118" s="324"/>
      <c r="DN118" s="324"/>
      <c r="DO118" s="324"/>
      <c r="DP118" s="324"/>
      <c r="DQ118" s="324"/>
      <c r="DR118" s="324"/>
      <c r="DS118" s="324"/>
      <c r="DT118" s="324"/>
      <c r="DU118" s="324"/>
      <c r="DV118" s="324"/>
      <c r="DW118" s="324"/>
      <c r="DX118" s="324"/>
      <c r="DY118" s="324"/>
      <c r="DZ118" s="324"/>
      <c r="EA118" s="324"/>
      <c r="EB118" s="324"/>
      <c r="EC118" s="324"/>
      <c r="ED118" s="324"/>
      <c r="EE118" s="324"/>
      <c r="EF118" s="324"/>
      <c r="EG118" s="324"/>
      <c r="EH118" s="324"/>
      <c r="EI118" s="324"/>
      <c r="EJ118" s="324"/>
      <c r="EK118" s="324"/>
      <c r="EL118" s="324"/>
      <c r="EM118" s="324"/>
      <c r="EN118" s="324"/>
      <c r="EO118" s="324"/>
      <c r="EP118" s="324"/>
      <c r="EQ118" s="324"/>
      <c r="ER118" s="324"/>
      <c r="ES118" s="324"/>
      <c r="ET118" s="324"/>
      <c r="EU118" s="324"/>
      <c r="EV118" s="324"/>
      <c r="EW118" s="324"/>
      <c r="EX118" s="324"/>
      <c r="EY118" s="324"/>
      <c r="EZ118" s="324"/>
      <c r="FA118" s="324"/>
      <c r="FB118" s="324"/>
      <c r="FC118" s="324"/>
      <c r="FD118" s="324"/>
      <c r="FE118" s="324"/>
      <c r="FF118" s="324"/>
      <c r="FG118" s="324"/>
      <c r="FH118" s="324"/>
      <c r="FI118" s="324"/>
      <c r="FJ118" s="324"/>
      <c r="FK118" s="324"/>
      <c r="FL118" s="324"/>
      <c r="FM118" s="324"/>
      <c r="FN118" s="324"/>
      <c r="FO118" s="324"/>
      <c r="FP118" s="324"/>
      <c r="FQ118" s="324"/>
      <c r="FR118" s="324"/>
      <c r="FS118" s="324"/>
      <c r="FT118" s="324"/>
      <c r="FU118" s="324"/>
      <c r="FV118" s="324"/>
      <c r="FW118" s="324"/>
      <c r="FX118" s="324"/>
      <c r="FY118" s="324"/>
      <c r="FZ118" s="324"/>
      <c r="GA118" s="324"/>
      <c r="GB118" s="324"/>
      <c r="GC118" s="324"/>
      <c r="GD118" s="324"/>
      <c r="GE118" s="324"/>
      <c r="GF118" s="324"/>
      <c r="GG118" s="324"/>
      <c r="GH118" s="324"/>
      <c r="GI118" s="324"/>
      <c r="GJ118" s="324"/>
      <c r="GK118" s="324"/>
      <c r="GL118" s="324"/>
      <c r="GM118" s="324"/>
      <c r="GN118" s="324"/>
      <c r="GO118" s="324"/>
      <c r="GP118" s="324"/>
      <c r="GQ118" s="324"/>
      <c r="GR118" s="324"/>
      <c r="GS118" s="324"/>
      <c r="GT118" s="324"/>
      <c r="GU118" s="324"/>
      <c r="GV118" s="324"/>
      <c r="GW118" s="324"/>
      <c r="GX118" s="324"/>
      <c r="GY118" s="324"/>
      <c r="GZ118" s="324"/>
      <c r="HA118" s="324"/>
      <c r="HB118" s="324"/>
      <c r="HC118" s="324"/>
      <c r="HD118" s="324"/>
      <c r="HE118" s="324"/>
      <c r="HF118" s="324"/>
      <c r="HG118" s="324"/>
      <c r="HH118" s="324"/>
      <c r="HI118" s="324"/>
      <c r="HJ118" s="324"/>
      <c r="HK118" s="324"/>
      <c r="HL118" s="324"/>
      <c r="HM118" s="324"/>
      <c r="HN118" s="324"/>
      <c r="HO118" s="324"/>
      <c r="HP118" s="324"/>
      <c r="HQ118" s="324"/>
      <c r="HR118" s="324"/>
      <c r="HS118" s="324"/>
      <c r="HT118" s="324"/>
      <c r="HU118" s="324"/>
      <c r="HV118" s="324"/>
      <c r="HW118" s="324"/>
      <c r="HX118" s="324"/>
      <c r="HY118" s="324"/>
      <c r="HZ118" s="324"/>
      <c r="IA118" s="324"/>
      <c r="IB118" s="324"/>
      <c r="IC118" s="324"/>
      <c r="ID118" s="324"/>
      <c r="IE118" s="324"/>
      <c r="IF118" s="324"/>
      <c r="IG118" s="324"/>
      <c r="IH118" s="324"/>
      <c r="II118" s="324"/>
      <c r="IJ118" s="324"/>
      <c r="IK118" s="324"/>
      <c r="IL118" s="324"/>
      <c r="IM118" s="324"/>
    </row>
    <row r="119" spans="1:247" x14ac:dyDescent="0.35">
      <c r="A119" s="356">
        <v>4511</v>
      </c>
      <c r="B119" s="357" t="s">
        <v>126</v>
      </c>
      <c r="C119" s="172" t="s">
        <v>3</v>
      </c>
      <c r="D119" s="358" t="s">
        <v>2051</v>
      </c>
      <c r="E119" s="336"/>
      <c r="F119" s="331">
        <f t="shared" si="0"/>
        <v>1.0209999999999999</v>
      </c>
      <c r="G119" s="337"/>
      <c r="H119" s="336"/>
      <c r="I119" s="338"/>
      <c r="J119" s="338"/>
      <c r="K119" s="338"/>
      <c r="L119" s="338"/>
      <c r="M119" s="338"/>
      <c r="N119" s="337"/>
      <c r="O119" s="339"/>
      <c r="P119" s="336">
        <f t="shared" si="26"/>
        <v>1.032</v>
      </c>
      <c r="Q119" s="337">
        <f t="shared" si="27"/>
        <v>1.0349999999999999</v>
      </c>
      <c r="R119" s="340">
        <f>PRODUCT(E119:Q119)</f>
        <v>1.0905505199999999</v>
      </c>
      <c r="S119" s="324"/>
      <c r="T119" s="324"/>
      <c r="U119" s="324"/>
      <c r="V119" s="324"/>
      <c r="W119" s="324"/>
      <c r="X119" s="324"/>
      <c r="Y119" s="324"/>
      <c r="Z119" s="324"/>
      <c r="AA119" s="324"/>
      <c r="AB119" s="324"/>
      <c r="AC119" s="324"/>
      <c r="AD119" s="324"/>
      <c r="AE119" s="324"/>
      <c r="AF119" s="324"/>
      <c r="AG119" s="324"/>
      <c r="AH119" s="324"/>
      <c r="AI119" s="324"/>
      <c r="AJ119" s="324"/>
      <c r="AK119" s="324"/>
      <c r="AL119" s="324"/>
      <c r="AM119" s="324"/>
      <c r="AN119" s="324"/>
      <c r="AO119" s="324"/>
      <c r="AP119" s="324"/>
      <c r="AQ119" s="324"/>
      <c r="AR119" s="324"/>
      <c r="AS119" s="324"/>
      <c r="AT119" s="324"/>
      <c r="AU119" s="324"/>
      <c r="AV119" s="324"/>
      <c r="AW119" s="324"/>
      <c r="AX119" s="324"/>
      <c r="AY119" s="324"/>
      <c r="AZ119" s="324"/>
      <c r="BA119" s="324"/>
      <c r="BB119" s="324"/>
      <c r="BC119" s="324"/>
      <c r="BD119" s="324"/>
      <c r="BE119" s="324"/>
      <c r="BF119" s="324"/>
      <c r="BG119" s="324"/>
      <c r="BH119" s="324"/>
      <c r="BI119" s="324"/>
      <c r="BJ119" s="324"/>
      <c r="BK119" s="324"/>
      <c r="BL119" s="324"/>
      <c r="BM119" s="324"/>
      <c r="BN119" s="324"/>
      <c r="BO119" s="324"/>
      <c r="BP119" s="324"/>
      <c r="BQ119" s="324"/>
      <c r="BR119" s="324"/>
      <c r="BS119" s="324"/>
      <c r="BT119" s="324"/>
      <c r="BU119" s="324"/>
      <c r="BV119" s="324"/>
      <c r="BW119" s="324"/>
      <c r="BX119" s="324"/>
      <c r="BY119" s="324"/>
      <c r="BZ119" s="324"/>
      <c r="CA119" s="324"/>
      <c r="CB119" s="324"/>
      <c r="CC119" s="324"/>
      <c r="CD119" s="324"/>
      <c r="CE119" s="324"/>
      <c r="CF119" s="324"/>
      <c r="CG119" s="324"/>
      <c r="CH119" s="324"/>
      <c r="CI119" s="324"/>
      <c r="CJ119" s="324"/>
      <c r="CK119" s="324"/>
      <c r="CL119" s="324"/>
      <c r="CM119" s="324"/>
      <c r="CN119" s="324"/>
      <c r="CO119" s="324"/>
      <c r="CP119" s="324"/>
      <c r="CQ119" s="324"/>
      <c r="CR119" s="324"/>
      <c r="CS119" s="324"/>
      <c r="CT119" s="324"/>
      <c r="CU119" s="324"/>
      <c r="CV119" s="324"/>
      <c r="CW119" s="324"/>
      <c r="CX119" s="324"/>
      <c r="CY119" s="324"/>
      <c r="CZ119" s="324"/>
      <c r="DA119" s="324"/>
      <c r="DB119" s="324"/>
      <c r="DC119" s="324"/>
      <c r="DD119" s="324"/>
      <c r="DE119" s="324"/>
      <c r="DF119" s="324"/>
      <c r="DG119" s="324"/>
      <c r="DH119" s="324"/>
      <c r="DI119" s="324"/>
      <c r="DJ119" s="324"/>
      <c r="DK119" s="324"/>
      <c r="DL119" s="324"/>
      <c r="DM119" s="324"/>
      <c r="DN119" s="324"/>
      <c r="DO119" s="324"/>
      <c r="DP119" s="324"/>
      <c r="DQ119" s="324"/>
      <c r="DR119" s="324"/>
      <c r="DS119" s="324"/>
      <c r="DT119" s="324"/>
      <c r="DU119" s="324"/>
      <c r="DV119" s="324"/>
      <c r="DW119" s="324"/>
      <c r="DX119" s="324"/>
      <c r="DY119" s="324"/>
      <c r="DZ119" s="324"/>
      <c r="EA119" s="324"/>
      <c r="EB119" s="324"/>
      <c r="EC119" s="324"/>
      <c r="ED119" s="324"/>
      <c r="EE119" s="324"/>
      <c r="EF119" s="324"/>
      <c r="EG119" s="324"/>
      <c r="EH119" s="324"/>
      <c r="EI119" s="324"/>
      <c r="EJ119" s="324"/>
      <c r="EK119" s="324"/>
      <c r="EL119" s="324"/>
      <c r="EM119" s="324"/>
      <c r="EN119" s="324"/>
      <c r="EO119" s="324"/>
      <c r="EP119" s="324"/>
      <c r="EQ119" s="324"/>
      <c r="ER119" s="324"/>
      <c r="ES119" s="324"/>
      <c r="ET119" s="324"/>
      <c r="EU119" s="324"/>
      <c r="EV119" s="324"/>
      <c r="EW119" s="324"/>
      <c r="EX119" s="324"/>
      <c r="EY119" s="324"/>
      <c r="EZ119" s="324"/>
      <c r="FA119" s="324"/>
      <c r="FB119" s="324"/>
      <c r="FC119" s="324"/>
      <c r="FD119" s="324"/>
      <c r="FE119" s="324"/>
      <c r="FF119" s="324"/>
      <c r="FG119" s="324"/>
      <c r="FH119" s="324"/>
      <c r="FI119" s="324"/>
      <c r="FJ119" s="324"/>
      <c r="FK119" s="324"/>
      <c r="FL119" s="324"/>
      <c r="FM119" s="324"/>
      <c r="FN119" s="324"/>
      <c r="FO119" s="324"/>
      <c r="FP119" s="324"/>
      <c r="FQ119" s="324"/>
      <c r="FR119" s="324"/>
      <c r="FS119" s="324"/>
      <c r="FT119" s="324"/>
      <c r="FU119" s="324"/>
      <c r="FV119" s="324"/>
      <c r="FW119" s="324"/>
      <c r="FX119" s="324"/>
      <c r="FY119" s="324"/>
      <c r="FZ119" s="324"/>
      <c r="GA119" s="324"/>
      <c r="GB119" s="324"/>
      <c r="GC119" s="324"/>
      <c r="GD119" s="324"/>
      <c r="GE119" s="324"/>
      <c r="GF119" s="324"/>
      <c r="GG119" s="324"/>
      <c r="GH119" s="324"/>
      <c r="GI119" s="324"/>
      <c r="GJ119" s="324"/>
      <c r="GK119" s="324"/>
      <c r="GL119" s="324"/>
      <c r="GM119" s="324"/>
      <c r="GN119" s="324"/>
      <c r="GO119" s="324"/>
      <c r="GP119" s="324"/>
      <c r="GQ119" s="324"/>
      <c r="GR119" s="324"/>
      <c r="GS119" s="324"/>
      <c r="GT119" s="324"/>
      <c r="GU119" s="324"/>
      <c r="GV119" s="324"/>
      <c r="GW119" s="324"/>
      <c r="GX119" s="324"/>
      <c r="GY119" s="324"/>
      <c r="GZ119" s="324"/>
      <c r="HA119" s="324"/>
      <c r="HB119" s="324"/>
      <c r="HC119" s="324"/>
      <c r="HD119" s="324"/>
      <c r="HE119" s="324"/>
      <c r="HF119" s="324"/>
      <c r="HG119" s="324"/>
      <c r="HH119" s="324"/>
      <c r="HI119" s="324"/>
      <c r="HJ119" s="324"/>
      <c r="HK119" s="324"/>
      <c r="HL119" s="324"/>
      <c r="HM119" s="324"/>
      <c r="HN119" s="324"/>
      <c r="HO119" s="324"/>
      <c r="HP119" s="324"/>
      <c r="HQ119" s="324"/>
      <c r="HR119" s="324"/>
      <c r="HS119" s="324"/>
      <c r="HT119" s="324"/>
      <c r="HU119" s="324"/>
      <c r="HV119" s="324"/>
      <c r="HW119" s="324"/>
      <c r="HX119" s="324"/>
      <c r="HY119" s="324"/>
      <c r="HZ119" s="324"/>
      <c r="IA119" s="324"/>
      <c r="IB119" s="324"/>
      <c r="IC119" s="324"/>
      <c r="ID119" s="324"/>
      <c r="IE119" s="324"/>
      <c r="IF119" s="324"/>
      <c r="IG119" s="324"/>
      <c r="IH119" s="324"/>
      <c r="II119" s="324"/>
      <c r="IJ119" s="324"/>
      <c r="IK119" s="324"/>
      <c r="IL119" s="324"/>
      <c r="IM119" s="324"/>
    </row>
    <row r="120" spans="1:247" x14ac:dyDescent="0.35">
      <c r="A120" s="356">
        <v>4521</v>
      </c>
      <c r="B120" s="357" t="s">
        <v>127</v>
      </c>
      <c r="C120" s="172" t="s">
        <v>3</v>
      </c>
      <c r="D120" s="358" t="s">
        <v>2051</v>
      </c>
      <c r="E120" s="336"/>
      <c r="F120" s="331">
        <f t="shared" si="0"/>
        <v>1.0209999999999999</v>
      </c>
      <c r="G120" s="337"/>
      <c r="H120" s="336"/>
      <c r="I120" s="338"/>
      <c r="J120" s="338"/>
      <c r="K120" s="338"/>
      <c r="L120" s="338"/>
      <c r="M120" s="338"/>
      <c r="N120" s="337"/>
      <c r="O120" s="339"/>
      <c r="P120" s="336">
        <f t="shared" si="26"/>
        <v>1.032</v>
      </c>
      <c r="Q120" s="337">
        <f t="shared" si="27"/>
        <v>1.0349999999999999</v>
      </c>
      <c r="R120" s="340">
        <f>PRODUCT(E120:Q120)</f>
        <v>1.0905505199999999</v>
      </c>
      <c r="S120" s="324"/>
      <c r="T120" s="324"/>
      <c r="U120" s="324"/>
      <c r="V120" s="324"/>
      <c r="W120" s="324"/>
      <c r="X120" s="324"/>
      <c r="Y120" s="324"/>
      <c r="Z120" s="324"/>
      <c r="AA120" s="324"/>
      <c r="AB120" s="324"/>
      <c r="AC120" s="324"/>
      <c r="AD120" s="324"/>
      <c r="AE120" s="324"/>
      <c r="AF120" s="324"/>
      <c r="AG120" s="324"/>
      <c r="AH120" s="324"/>
      <c r="AI120" s="324"/>
      <c r="AJ120" s="324"/>
      <c r="AK120" s="324"/>
      <c r="AL120" s="324"/>
      <c r="AM120" s="324"/>
      <c r="AN120" s="324"/>
      <c r="AO120" s="324"/>
      <c r="AP120" s="324"/>
      <c r="AQ120" s="324"/>
      <c r="AR120" s="324"/>
      <c r="AS120" s="324"/>
      <c r="AT120" s="324"/>
      <c r="AU120" s="324"/>
      <c r="AV120" s="324"/>
      <c r="AW120" s="324"/>
      <c r="AX120" s="324"/>
      <c r="AY120" s="324"/>
      <c r="AZ120" s="324"/>
      <c r="BA120" s="324"/>
      <c r="BB120" s="324"/>
      <c r="BC120" s="324"/>
      <c r="BD120" s="324"/>
      <c r="BE120" s="324"/>
      <c r="BF120" s="324"/>
      <c r="BG120" s="324"/>
      <c r="BH120" s="324"/>
      <c r="BI120" s="324"/>
      <c r="BJ120" s="324"/>
      <c r="BK120" s="324"/>
      <c r="BL120" s="324"/>
      <c r="BM120" s="324"/>
      <c r="BN120" s="324"/>
      <c r="BO120" s="324"/>
      <c r="BP120" s="324"/>
      <c r="BQ120" s="324"/>
      <c r="BR120" s="324"/>
      <c r="BS120" s="324"/>
      <c r="BT120" s="324"/>
      <c r="BU120" s="324"/>
      <c r="BV120" s="324"/>
      <c r="BW120" s="324"/>
      <c r="BX120" s="324"/>
      <c r="BY120" s="324"/>
      <c r="BZ120" s="324"/>
      <c r="CA120" s="324"/>
      <c r="CB120" s="324"/>
      <c r="CC120" s="324"/>
      <c r="CD120" s="324"/>
      <c r="CE120" s="324"/>
      <c r="CF120" s="324"/>
      <c r="CG120" s="324"/>
      <c r="CH120" s="324"/>
      <c r="CI120" s="324"/>
      <c r="CJ120" s="324"/>
      <c r="CK120" s="324"/>
      <c r="CL120" s="324"/>
      <c r="CM120" s="324"/>
      <c r="CN120" s="324"/>
      <c r="CO120" s="324"/>
      <c r="CP120" s="324"/>
      <c r="CQ120" s="324"/>
      <c r="CR120" s="324"/>
      <c r="CS120" s="324"/>
      <c r="CT120" s="324"/>
      <c r="CU120" s="324"/>
      <c r="CV120" s="324"/>
      <c r="CW120" s="324"/>
      <c r="CX120" s="324"/>
      <c r="CY120" s="324"/>
      <c r="CZ120" s="324"/>
      <c r="DA120" s="324"/>
      <c r="DB120" s="324"/>
      <c r="DC120" s="324"/>
      <c r="DD120" s="324"/>
      <c r="DE120" s="324"/>
      <c r="DF120" s="324"/>
      <c r="DG120" s="324"/>
      <c r="DH120" s="324"/>
      <c r="DI120" s="324"/>
      <c r="DJ120" s="324"/>
      <c r="DK120" s="324"/>
      <c r="DL120" s="324"/>
      <c r="DM120" s="324"/>
      <c r="DN120" s="324"/>
      <c r="DO120" s="324"/>
      <c r="DP120" s="324"/>
      <c r="DQ120" s="324"/>
      <c r="DR120" s="324"/>
      <c r="DS120" s="324"/>
      <c r="DT120" s="324"/>
      <c r="DU120" s="324"/>
      <c r="DV120" s="324"/>
      <c r="DW120" s="324"/>
      <c r="DX120" s="324"/>
      <c r="DY120" s="324"/>
      <c r="DZ120" s="324"/>
      <c r="EA120" s="324"/>
      <c r="EB120" s="324"/>
      <c r="EC120" s="324"/>
      <c r="ED120" s="324"/>
      <c r="EE120" s="324"/>
      <c r="EF120" s="324"/>
      <c r="EG120" s="324"/>
      <c r="EH120" s="324"/>
      <c r="EI120" s="324"/>
      <c r="EJ120" s="324"/>
      <c r="EK120" s="324"/>
      <c r="EL120" s="324"/>
      <c r="EM120" s="324"/>
      <c r="EN120" s="324"/>
      <c r="EO120" s="324"/>
      <c r="EP120" s="324"/>
      <c r="EQ120" s="324"/>
      <c r="ER120" s="324"/>
      <c r="ES120" s="324"/>
      <c r="ET120" s="324"/>
      <c r="EU120" s="324"/>
      <c r="EV120" s="324"/>
      <c r="EW120" s="324"/>
      <c r="EX120" s="324"/>
      <c r="EY120" s="324"/>
      <c r="EZ120" s="324"/>
      <c r="FA120" s="324"/>
      <c r="FB120" s="324"/>
      <c r="FC120" s="324"/>
      <c r="FD120" s="324"/>
      <c r="FE120" s="324"/>
      <c r="FF120" s="324"/>
      <c r="FG120" s="324"/>
      <c r="FH120" s="324"/>
      <c r="FI120" s="324"/>
      <c r="FJ120" s="324"/>
      <c r="FK120" s="324"/>
      <c r="FL120" s="324"/>
      <c r="FM120" s="324"/>
      <c r="FN120" s="324"/>
      <c r="FO120" s="324"/>
      <c r="FP120" s="324"/>
      <c r="FQ120" s="324"/>
      <c r="FR120" s="324"/>
      <c r="FS120" s="324"/>
      <c r="FT120" s="324"/>
      <c r="FU120" s="324"/>
      <c r="FV120" s="324"/>
      <c r="FW120" s="324"/>
      <c r="FX120" s="324"/>
      <c r="FY120" s="324"/>
      <c r="FZ120" s="324"/>
      <c r="GA120" s="324"/>
      <c r="GB120" s="324"/>
      <c r="GC120" s="324"/>
      <c r="GD120" s="324"/>
      <c r="GE120" s="324"/>
      <c r="GF120" s="324"/>
      <c r="GG120" s="324"/>
      <c r="GH120" s="324"/>
      <c r="GI120" s="324"/>
      <c r="GJ120" s="324"/>
      <c r="GK120" s="324"/>
      <c r="GL120" s="324"/>
      <c r="GM120" s="324"/>
      <c r="GN120" s="324"/>
      <c r="GO120" s="324"/>
      <c r="GP120" s="324"/>
      <c r="GQ120" s="324"/>
      <c r="GR120" s="324"/>
      <c r="GS120" s="324"/>
      <c r="GT120" s="324"/>
      <c r="GU120" s="324"/>
      <c r="GV120" s="324"/>
      <c r="GW120" s="324"/>
      <c r="GX120" s="324"/>
      <c r="GY120" s="324"/>
      <c r="GZ120" s="324"/>
      <c r="HA120" s="324"/>
      <c r="HB120" s="324"/>
      <c r="HC120" s="324"/>
      <c r="HD120" s="324"/>
      <c r="HE120" s="324"/>
      <c r="HF120" s="324"/>
      <c r="HG120" s="324"/>
      <c r="HH120" s="324"/>
      <c r="HI120" s="324"/>
      <c r="HJ120" s="324"/>
      <c r="HK120" s="324"/>
      <c r="HL120" s="324"/>
      <c r="HM120" s="324"/>
      <c r="HN120" s="324"/>
      <c r="HO120" s="324"/>
      <c r="HP120" s="324"/>
      <c r="HQ120" s="324"/>
      <c r="HR120" s="324"/>
      <c r="HS120" s="324"/>
      <c r="HT120" s="324"/>
      <c r="HU120" s="324"/>
      <c r="HV120" s="324"/>
      <c r="HW120" s="324"/>
      <c r="HX120" s="324"/>
      <c r="HY120" s="324"/>
      <c r="HZ120" s="324"/>
      <c r="IA120" s="324"/>
      <c r="IB120" s="324"/>
      <c r="IC120" s="324"/>
      <c r="ID120" s="324"/>
      <c r="IE120" s="324"/>
      <c r="IF120" s="324"/>
      <c r="IG120" s="324"/>
      <c r="IH120" s="324"/>
      <c r="II120" s="324"/>
      <c r="IJ120" s="324"/>
      <c r="IK120" s="324"/>
      <c r="IL120" s="324"/>
      <c r="IM120" s="324"/>
    </row>
    <row r="121" spans="1:247" x14ac:dyDescent="0.35">
      <c r="A121" s="356">
        <v>5302</v>
      </c>
      <c r="B121" s="357" t="s">
        <v>128</v>
      </c>
      <c r="C121" s="172" t="s">
        <v>8</v>
      </c>
      <c r="D121" s="358" t="s">
        <v>2053</v>
      </c>
      <c r="E121" s="336">
        <f>+$E$3</f>
        <v>1.0740000000000001</v>
      </c>
      <c r="F121" s="331">
        <f t="shared" si="0"/>
        <v>1.0209999999999999</v>
      </c>
      <c r="G121" s="337">
        <f t="shared" ref="G121:G127" si="28">+$G$3</f>
        <v>1.0269999999999999</v>
      </c>
      <c r="H121" s="336">
        <f>+$H$3</f>
        <v>1.0029999999999999</v>
      </c>
      <c r="I121" s="338">
        <f>+$I$3</f>
        <v>1.0289999999999999</v>
      </c>
      <c r="J121" s="338">
        <f>+$J$3</f>
        <v>1.0049999999999999</v>
      </c>
      <c r="K121" s="338">
        <f>+$K$3</f>
        <v>1.026</v>
      </c>
      <c r="L121" s="338">
        <f>+$L$3</f>
        <v>1.0129999999999999</v>
      </c>
      <c r="M121" s="338">
        <f>+$M$3</f>
        <v>1.0029999999999999</v>
      </c>
      <c r="N121" s="337">
        <f>+$N$3</f>
        <v>1.0029999999999999</v>
      </c>
      <c r="O121" s="339">
        <f>+$O$3</f>
        <v>1.0209999999999999</v>
      </c>
      <c r="P121" s="336">
        <f t="shared" si="26"/>
        <v>1.032</v>
      </c>
      <c r="Q121" s="337">
        <f t="shared" si="27"/>
        <v>1.0349999999999999</v>
      </c>
      <c r="R121" s="340">
        <f t="shared" si="1"/>
        <v>1.3319480854780448</v>
      </c>
      <c r="S121" s="324"/>
      <c r="T121" s="324"/>
      <c r="U121" s="324"/>
      <c r="V121" s="324"/>
      <c r="W121" s="324"/>
      <c r="X121" s="324"/>
      <c r="Y121" s="324"/>
      <c r="Z121" s="324"/>
      <c r="AA121" s="324"/>
      <c r="AB121" s="324"/>
      <c r="AC121" s="324"/>
      <c r="AD121" s="324"/>
      <c r="AE121" s="324"/>
      <c r="AF121" s="324"/>
      <c r="AG121" s="324"/>
      <c r="AH121" s="324"/>
      <c r="AI121" s="324"/>
      <c r="AJ121" s="324"/>
      <c r="AK121" s="324"/>
      <c r="AL121" s="324"/>
      <c r="AM121" s="324"/>
      <c r="AN121" s="324"/>
      <c r="AO121" s="324"/>
      <c r="AP121" s="324"/>
      <c r="AQ121" s="324"/>
      <c r="AR121" s="324"/>
      <c r="AS121" s="324"/>
      <c r="AT121" s="324"/>
      <c r="AU121" s="324"/>
      <c r="AV121" s="324"/>
      <c r="AW121" s="324"/>
      <c r="AX121" s="324"/>
      <c r="AY121" s="324"/>
      <c r="AZ121" s="324"/>
      <c r="BA121" s="324"/>
      <c r="BB121" s="324"/>
      <c r="BC121" s="324"/>
      <c r="BD121" s="324"/>
      <c r="BE121" s="324"/>
      <c r="BF121" s="324"/>
      <c r="BG121" s="324"/>
      <c r="BH121" s="324"/>
      <c r="BI121" s="324"/>
      <c r="BJ121" s="324"/>
      <c r="BK121" s="324"/>
      <c r="BL121" s="324"/>
      <c r="BM121" s="324"/>
      <c r="BN121" s="324"/>
      <c r="BO121" s="324"/>
      <c r="BP121" s="324"/>
      <c r="BQ121" s="324"/>
      <c r="BR121" s="324"/>
      <c r="BS121" s="324"/>
      <c r="BT121" s="324"/>
      <c r="BU121" s="324"/>
      <c r="BV121" s="324"/>
      <c r="BW121" s="324"/>
      <c r="BX121" s="324"/>
      <c r="BY121" s="324"/>
      <c r="BZ121" s="324"/>
      <c r="CA121" s="324"/>
      <c r="CB121" s="324"/>
      <c r="CC121" s="324"/>
      <c r="CD121" s="324"/>
      <c r="CE121" s="324"/>
      <c r="CF121" s="324"/>
      <c r="CG121" s="324"/>
      <c r="CH121" s="324"/>
      <c r="CI121" s="324"/>
      <c r="CJ121" s="324"/>
      <c r="CK121" s="324"/>
      <c r="CL121" s="324"/>
      <c r="CM121" s="324"/>
      <c r="CN121" s="324"/>
      <c r="CO121" s="324"/>
      <c r="CP121" s="324"/>
      <c r="CQ121" s="324"/>
      <c r="CR121" s="324"/>
      <c r="CS121" s="324"/>
      <c r="CT121" s="324"/>
      <c r="CU121" s="324"/>
      <c r="CV121" s="324"/>
      <c r="CW121" s="324"/>
      <c r="CX121" s="324"/>
      <c r="CY121" s="324"/>
      <c r="CZ121" s="324"/>
      <c r="DA121" s="324"/>
      <c r="DB121" s="324"/>
      <c r="DC121" s="324"/>
      <c r="DD121" s="324"/>
      <c r="DE121" s="324"/>
      <c r="DF121" s="324"/>
      <c r="DG121" s="324"/>
      <c r="DH121" s="324"/>
      <c r="DI121" s="324"/>
      <c r="DJ121" s="324"/>
      <c r="DK121" s="324"/>
      <c r="DL121" s="324"/>
      <c r="DM121" s="324"/>
      <c r="DN121" s="324"/>
      <c r="DO121" s="324"/>
      <c r="DP121" s="324"/>
      <c r="DQ121" s="324"/>
      <c r="DR121" s="324"/>
      <c r="DS121" s="324"/>
      <c r="DT121" s="324"/>
      <c r="DU121" s="324"/>
      <c r="DV121" s="324"/>
      <c r="DW121" s="324"/>
      <c r="DX121" s="324"/>
      <c r="DY121" s="324"/>
      <c r="DZ121" s="324"/>
      <c r="EA121" s="324"/>
      <c r="EB121" s="324"/>
      <c r="EC121" s="324"/>
      <c r="ED121" s="324"/>
      <c r="EE121" s="324"/>
      <c r="EF121" s="324"/>
      <c r="EG121" s="324"/>
      <c r="EH121" s="324"/>
      <c r="EI121" s="324"/>
      <c r="EJ121" s="324"/>
      <c r="EK121" s="324"/>
      <c r="EL121" s="324"/>
      <c r="EM121" s="324"/>
      <c r="EN121" s="324"/>
      <c r="EO121" s="324"/>
      <c r="EP121" s="324"/>
      <c r="EQ121" s="324"/>
      <c r="ER121" s="324"/>
      <c r="ES121" s="324"/>
      <c r="ET121" s="324"/>
      <c r="EU121" s="324"/>
      <c r="EV121" s="324"/>
      <c r="EW121" s="324"/>
      <c r="EX121" s="324"/>
      <c r="EY121" s="324"/>
      <c r="EZ121" s="324"/>
      <c r="FA121" s="324"/>
      <c r="FB121" s="324"/>
      <c r="FC121" s="324"/>
      <c r="FD121" s="324"/>
      <c r="FE121" s="324"/>
      <c r="FF121" s="324"/>
      <c r="FG121" s="324"/>
      <c r="FH121" s="324"/>
      <c r="FI121" s="324"/>
      <c r="FJ121" s="324"/>
      <c r="FK121" s="324"/>
      <c r="FL121" s="324"/>
      <c r="FM121" s="324"/>
      <c r="FN121" s="324"/>
      <c r="FO121" s="324"/>
      <c r="FP121" s="324"/>
      <c r="FQ121" s="324"/>
      <c r="FR121" s="324"/>
      <c r="FS121" s="324"/>
      <c r="FT121" s="324"/>
      <c r="FU121" s="324"/>
      <c r="FV121" s="324"/>
      <c r="FW121" s="324"/>
      <c r="FX121" s="324"/>
      <c r="FY121" s="324"/>
      <c r="FZ121" s="324"/>
      <c r="GA121" s="324"/>
      <c r="GB121" s="324"/>
      <c r="GC121" s="324"/>
      <c r="GD121" s="324"/>
      <c r="GE121" s="324"/>
      <c r="GF121" s="324"/>
      <c r="GG121" s="324"/>
      <c r="GH121" s="324"/>
      <c r="GI121" s="324"/>
      <c r="GJ121" s="324"/>
      <c r="GK121" s="324"/>
      <c r="GL121" s="324"/>
      <c r="GM121" s="324"/>
      <c r="GN121" s="324"/>
      <c r="GO121" s="324"/>
      <c r="GP121" s="324"/>
      <c r="GQ121" s="324"/>
      <c r="GR121" s="324"/>
      <c r="GS121" s="324"/>
      <c r="GT121" s="324"/>
      <c r="GU121" s="324"/>
      <c r="GV121" s="324"/>
      <c r="GW121" s="324"/>
      <c r="GX121" s="324"/>
      <c r="GY121" s="324"/>
      <c r="GZ121" s="324"/>
      <c r="HA121" s="324"/>
      <c r="HB121" s="324"/>
      <c r="HC121" s="324"/>
      <c r="HD121" s="324"/>
      <c r="HE121" s="324"/>
      <c r="HF121" s="324"/>
      <c r="HG121" s="324"/>
      <c r="HH121" s="324"/>
      <c r="HI121" s="324"/>
      <c r="HJ121" s="324"/>
      <c r="HK121" s="324"/>
      <c r="HL121" s="324"/>
      <c r="HM121" s="324"/>
      <c r="HN121" s="324"/>
      <c r="HO121" s="324"/>
      <c r="HP121" s="324"/>
      <c r="HQ121" s="324"/>
      <c r="HR121" s="324"/>
      <c r="HS121" s="324"/>
      <c r="HT121" s="324"/>
      <c r="HU121" s="324"/>
      <c r="HV121" s="324"/>
      <c r="HW121" s="324"/>
      <c r="HX121" s="324"/>
      <c r="HY121" s="324"/>
      <c r="HZ121" s="324"/>
      <c r="IA121" s="324"/>
      <c r="IB121" s="324"/>
      <c r="IC121" s="324"/>
      <c r="ID121" s="324"/>
      <c r="IE121" s="324"/>
      <c r="IF121" s="324"/>
      <c r="IG121" s="324"/>
      <c r="IH121" s="324"/>
      <c r="II121" s="324"/>
      <c r="IJ121" s="324"/>
      <c r="IK121" s="324"/>
      <c r="IL121" s="324"/>
      <c r="IM121" s="324"/>
    </row>
    <row r="122" spans="1:247" x14ac:dyDescent="0.35">
      <c r="A122" s="356">
        <v>5303</v>
      </c>
      <c r="B122" s="357" t="s">
        <v>129</v>
      </c>
      <c r="C122" s="172" t="s">
        <v>8</v>
      </c>
      <c r="D122" s="358" t="s">
        <v>2053</v>
      </c>
      <c r="E122" s="336">
        <f>+$E$3</f>
        <v>1.0740000000000001</v>
      </c>
      <c r="F122" s="331">
        <f t="shared" si="0"/>
        <v>1.0209999999999999</v>
      </c>
      <c r="G122" s="337">
        <f t="shared" si="28"/>
        <v>1.0269999999999999</v>
      </c>
      <c r="H122" s="336">
        <f>+$H$3</f>
        <v>1.0029999999999999</v>
      </c>
      <c r="I122" s="338">
        <f>+$I$3</f>
        <v>1.0289999999999999</v>
      </c>
      <c r="J122" s="338">
        <f>+$J$3</f>
        <v>1.0049999999999999</v>
      </c>
      <c r="K122" s="338">
        <f>+$K$3</f>
        <v>1.026</v>
      </c>
      <c r="L122" s="338">
        <f>+$L$3</f>
        <v>1.0129999999999999</v>
      </c>
      <c r="M122" s="338">
        <f>+$M$3</f>
        <v>1.0029999999999999</v>
      </c>
      <c r="N122" s="337">
        <f>+$N$3</f>
        <v>1.0029999999999999</v>
      </c>
      <c r="O122" s="339">
        <f>+$O$3</f>
        <v>1.0209999999999999</v>
      </c>
      <c r="P122" s="336">
        <f t="shared" si="26"/>
        <v>1.032</v>
      </c>
      <c r="Q122" s="337">
        <f t="shared" si="27"/>
        <v>1.0349999999999999</v>
      </c>
      <c r="R122" s="340">
        <f t="shared" si="1"/>
        <v>1.3319480854780448</v>
      </c>
      <c r="S122" s="324"/>
      <c r="T122" s="324"/>
      <c r="U122" s="324"/>
      <c r="V122" s="324"/>
      <c r="W122" s="324"/>
      <c r="X122" s="324"/>
      <c r="Y122" s="324"/>
      <c r="Z122" s="324"/>
      <c r="AA122" s="324"/>
      <c r="AB122" s="324"/>
      <c r="AC122" s="324"/>
      <c r="AD122" s="324"/>
      <c r="AE122" s="324"/>
      <c r="AF122" s="324"/>
      <c r="AG122" s="324"/>
      <c r="AH122" s="324"/>
      <c r="AI122" s="324"/>
      <c r="AJ122" s="324"/>
      <c r="AK122" s="324"/>
      <c r="AL122" s="324"/>
      <c r="AM122" s="324"/>
      <c r="AN122" s="324"/>
      <c r="AO122" s="324"/>
      <c r="AP122" s="324"/>
      <c r="AQ122" s="324"/>
      <c r="AR122" s="324"/>
      <c r="AS122" s="324"/>
      <c r="AT122" s="324"/>
      <c r="AU122" s="324"/>
      <c r="AV122" s="324"/>
      <c r="AW122" s="324"/>
      <c r="AX122" s="324"/>
      <c r="AY122" s="324"/>
      <c r="AZ122" s="324"/>
      <c r="BA122" s="324"/>
      <c r="BB122" s="324"/>
      <c r="BC122" s="324"/>
      <c r="BD122" s="324"/>
      <c r="BE122" s="324"/>
      <c r="BF122" s="324"/>
      <c r="BG122" s="324"/>
      <c r="BH122" s="324"/>
      <c r="BI122" s="324"/>
      <c r="BJ122" s="324"/>
      <c r="BK122" s="324"/>
      <c r="BL122" s="324"/>
      <c r="BM122" s="324"/>
      <c r="BN122" s="324"/>
      <c r="BO122" s="324"/>
      <c r="BP122" s="324"/>
      <c r="BQ122" s="324"/>
      <c r="BR122" s="324"/>
      <c r="BS122" s="324"/>
      <c r="BT122" s="324"/>
      <c r="BU122" s="324"/>
      <c r="BV122" s="324"/>
      <c r="BW122" s="324"/>
      <c r="BX122" s="324"/>
      <c r="BY122" s="324"/>
      <c r="BZ122" s="324"/>
      <c r="CA122" s="324"/>
      <c r="CB122" s="324"/>
      <c r="CC122" s="324"/>
      <c r="CD122" s="324"/>
      <c r="CE122" s="324"/>
      <c r="CF122" s="324"/>
      <c r="CG122" s="324"/>
      <c r="CH122" s="324"/>
      <c r="CI122" s="324"/>
      <c r="CJ122" s="324"/>
      <c r="CK122" s="324"/>
      <c r="CL122" s="324"/>
      <c r="CM122" s="324"/>
      <c r="CN122" s="324"/>
      <c r="CO122" s="324"/>
      <c r="CP122" s="324"/>
      <c r="CQ122" s="324"/>
      <c r="CR122" s="324"/>
      <c r="CS122" s="324"/>
      <c r="CT122" s="324"/>
      <c r="CU122" s="324"/>
      <c r="CV122" s="324"/>
      <c r="CW122" s="324"/>
      <c r="CX122" s="324"/>
      <c r="CY122" s="324"/>
      <c r="CZ122" s="324"/>
      <c r="DA122" s="324"/>
      <c r="DB122" s="324"/>
      <c r="DC122" s="324"/>
      <c r="DD122" s="324"/>
      <c r="DE122" s="324"/>
      <c r="DF122" s="324"/>
      <c r="DG122" s="324"/>
      <c r="DH122" s="324"/>
      <c r="DI122" s="324"/>
      <c r="DJ122" s="324"/>
      <c r="DK122" s="324"/>
      <c r="DL122" s="324"/>
      <c r="DM122" s="324"/>
      <c r="DN122" s="324"/>
      <c r="DO122" s="324"/>
      <c r="DP122" s="324"/>
      <c r="DQ122" s="324"/>
      <c r="DR122" s="324"/>
      <c r="DS122" s="324"/>
      <c r="DT122" s="324"/>
      <c r="DU122" s="324"/>
      <c r="DV122" s="324"/>
      <c r="DW122" s="324"/>
      <c r="DX122" s="324"/>
      <c r="DY122" s="324"/>
      <c r="DZ122" s="324"/>
      <c r="EA122" s="324"/>
      <c r="EB122" s="324"/>
      <c r="EC122" s="324"/>
      <c r="ED122" s="324"/>
      <c r="EE122" s="324"/>
      <c r="EF122" s="324"/>
      <c r="EG122" s="324"/>
      <c r="EH122" s="324"/>
      <c r="EI122" s="324"/>
      <c r="EJ122" s="324"/>
      <c r="EK122" s="324"/>
      <c r="EL122" s="324"/>
      <c r="EM122" s="324"/>
      <c r="EN122" s="324"/>
      <c r="EO122" s="324"/>
      <c r="EP122" s="324"/>
      <c r="EQ122" s="324"/>
      <c r="ER122" s="324"/>
      <c r="ES122" s="324"/>
      <c r="ET122" s="324"/>
      <c r="EU122" s="324"/>
      <c r="EV122" s="324"/>
      <c r="EW122" s="324"/>
      <c r="EX122" s="324"/>
      <c r="EY122" s="324"/>
      <c r="EZ122" s="324"/>
      <c r="FA122" s="324"/>
      <c r="FB122" s="324"/>
      <c r="FC122" s="324"/>
      <c r="FD122" s="324"/>
      <c r="FE122" s="324"/>
      <c r="FF122" s="324"/>
      <c r="FG122" s="324"/>
      <c r="FH122" s="324"/>
      <c r="FI122" s="324"/>
      <c r="FJ122" s="324"/>
      <c r="FK122" s="324"/>
      <c r="FL122" s="324"/>
      <c r="FM122" s="324"/>
      <c r="FN122" s="324"/>
      <c r="FO122" s="324"/>
      <c r="FP122" s="324"/>
      <c r="FQ122" s="324"/>
      <c r="FR122" s="324"/>
      <c r="FS122" s="324"/>
      <c r="FT122" s="324"/>
      <c r="FU122" s="324"/>
      <c r="FV122" s="324"/>
      <c r="FW122" s="324"/>
      <c r="FX122" s="324"/>
      <c r="FY122" s="324"/>
      <c r="FZ122" s="324"/>
      <c r="GA122" s="324"/>
      <c r="GB122" s="324"/>
      <c r="GC122" s="324"/>
      <c r="GD122" s="324"/>
      <c r="GE122" s="324"/>
      <c r="GF122" s="324"/>
      <c r="GG122" s="324"/>
      <c r="GH122" s="324"/>
      <c r="GI122" s="324"/>
      <c r="GJ122" s="324"/>
      <c r="GK122" s="324"/>
      <c r="GL122" s="324"/>
      <c r="GM122" s="324"/>
      <c r="GN122" s="324"/>
      <c r="GO122" s="324"/>
      <c r="GP122" s="324"/>
      <c r="GQ122" s="324"/>
      <c r="GR122" s="324"/>
      <c r="GS122" s="324"/>
      <c r="GT122" s="324"/>
      <c r="GU122" s="324"/>
      <c r="GV122" s="324"/>
      <c r="GW122" s="324"/>
      <c r="GX122" s="324"/>
      <c r="GY122" s="324"/>
      <c r="GZ122" s="324"/>
      <c r="HA122" s="324"/>
      <c r="HB122" s="324"/>
      <c r="HC122" s="324"/>
      <c r="HD122" s="324"/>
      <c r="HE122" s="324"/>
      <c r="HF122" s="324"/>
      <c r="HG122" s="324"/>
      <c r="HH122" s="324"/>
      <c r="HI122" s="324"/>
      <c r="HJ122" s="324"/>
      <c r="HK122" s="324"/>
      <c r="HL122" s="324"/>
      <c r="HM122" s="324"/>
      <c r="HN122" s="324"/>
      <c r="HO122" s="324"/>
      <c r="HP122" s="324"/>
      <c r="HQ122" s="324"/>
      <c r="HR122" s="324"/>
      <c r="HS122" s="324"/>
      <c r="HT122" s="324"/>
      <c r="HU122" s="324"/>
      <c r="HV122" s="324"/>
      <c r="HW122" s="324"/>
      <c r="HX122" s="324"/>
      <c r="HY122" s="324"/>
      <c r="HZ122" s="324"/>
      <c r="IA122" s="324"/>
      <c r="IB122" s="324"/>
      <c r="IC122" s="324"/>
      <c r="ID122" s="324"/>
      <c r="IE122" s="324"/>
      <c r="IF122" s="324"/>
      <c r="IG122" s="324"/>
      <c r="IH122" s="324"/>
      <c r="II122" s="324"/>
      <c r="IJ122" s="324"/>
      <c r="IK122" s="324"/>
      <c r="IL122" s="324"/>
      <c r="IM122" s="324"/>
    </row>
    <row r="123" spans="1:247" x14ac:dyDescent="0.35">
      <c r="A123" s="356">
        <v>5304</v>
      </c>
      <c r="B123" s="357" t="s">
        <v>130</v>
      </c>
      <c r="C123" s="172" t="s">
        <v>8</v>
      </c>
      <c r="D123" s="358" t="s">
        <v>2053</v>
      </c>
      <c r="E123" s="336">
        <f>+$E$3</f>
        <v>1.0740000000000001</v>
      </c>
      <c r="F123" s="331">
        <f t="shared" si="0"/>
        <v>1.0209999999999999</v>
      </c>
      <c r="G123" s="337">
        <f t="shared" si="28"/>
        <v>1.0269999999999999</v>
      </c>
      <c r="H123" s="336">
        <f>+$H$3</f>
        <v>1.0029999999999999</v>
      </c>
      <c r="I123" s="338">
        <f>+$I$3</f>
        <v>1.0289999999999999</v>
      </c>
      <c r="J123" s="338">
        <f>+$J$3</f>
        <v>1.0049999999999999</v>
      </c>
      <c r="K123" s="338">
        <f>+$K$3</f>
        <v>1.026</v>
      </c>
      <c r="L123" s="338">
        <f>+$L$3</f>
        <v>1.0129999999999999</v>
      </c>
      <c r="M123" s="338">
        <f>+$M$3</f>
        <v>1.0029999999999999</v>
      </c>
      <c r="N123" s="337">
        <f>+$N$3</f>
        <v>1.0029999999999999</v>
      </c>
      <c r="O123" s="339">
        <f>+$O$3</f>
        <v>1.0209999999999999</v>
      </c>
      <c r="P123" s="336">
        <f t="shared" si="26"/>
        <v>1.032</v>
      </c>
      <c r="Q123" s="337">
        <f t="shared" si="27"/>
        <v>1.0349999999999999</v>
      </c>
      <c r="R123" s="340">
        <f t="shared" si="1"/>
        <v>1.3319480854780448</v>
      </c>
      <c r="S123" s="324"/>
      <c r="T123" s="324"/>
      <c r="U123" s="324"/>
      <c r="V123" s="324"/>
      <c r="W123" s="324"/>
      <c r="X123" s="324"/>
      <c r="Y123" s="324"/>
      <c r="Z123" s="324"/>
      <c r="AA123" s="324"/>
      <c r="AB123" s="324"/>
      <c r="AC123" s="324"/>
      <c r="AD123" s="324"/>
      <c r="AE123" s="324"/>
      <c r="AF123" s="324"/>
      <c r="AG123" s="324"/>
      <c r="AH123" s="324"/>
      <c r="AI123" s="324"/>
      <c r="AJ123" s="324"/>
      <c r="AK123" s="324"/>
      <c r="AL123" s="324"/>
      <c r="AM123" s="324"/>
      <c r="AN123" s="324"/>
      <c r="AO123" s="324"/>
      <c r="AP123" s="324"/>
      <c r="AQ123" s="324"/>
      <c r="AR123" s="324"/>
      <c r="AS123" s="324"/>
      <c r="AT123" s="324"/>
      <c r="AU123" s="324"/>
      <c r="AV123" s="324"/>
      <c r="AW123" s="324"/>
      <c r="AX123" s="324"/>
      <c r="AY123" s="324"/>
      <c r="AZ123" s="324"/>
      <c r="BA123" s="324"/>
      <c r="BB123" s="324"/>
      <c r="BC123" s="324"/>
      <c r="BD123" s="324"/>
      <c r="BE123" s="324"/>
      <c r="BF123" s="324"/>
      <c r="BG123" s="324"/>
      <c r="BH123" s="324"/>
      <c r="BI123" s="324"/>
      <c r="BJ123" s="324"/>
      <c r="BK123" s="324"/>
      <c r="BL123" s="324"/>
      <c r="BM123" s="324"/>
      <c r="BN123" s="324"/>
      <c r="BO123" s="324"/>
      <c r="BP123" s="324"/>
      <c r="BQ123" s="324"/>
      <c r="BR123" s="324"/>
      <c r="BS123" s="324"/>
      <c r="BT123" s="324"/>
      <c r="BU123" s="324"/>
      <c r="BV123" s="324"/>
      <c r="BW123" s="324"/>
      <c r="BX123" s="324"/>
      <c r="BY123" s="324"/>
      <c r="BZ123" s="324"/>
      <c r="CA123" s="324"/>
      <c r="CB123" s="324"/>
      <c r="CC123" s="324"/>
      <c r="CD123" s="324"/>
      <c r="CE123" s="324"/>
      <c r="CF123" s="324"/>
      <c r="CG123" s="324"/>
      <c r="CH123" s="324"/>
      <c r="CI123" s="324"/>
      <c r="CJ123" s="324"/>
      <c r="CK123" s="324"/>
      <c r="CL123" s="324"/>
      <c r="CM123" s="324"/>
      <c r="CN123" s="324"/>
      <c r="CO123" s="324"/>
      <c r="CP123" s="324"/>
      <c r="CQ123" s="324"/>
      <c r="CR123" s="324"/>
      <c r="CS123" s="324"/>
      <c r="CT123" s="324"/>
      <c r="CU123" s="324"/>
      <c r="CV123" s="324"/>
      <c r="CW123" s="324"/>
      <c r="CX123" s="324"/>
      <c r="CY123" s="324"/>
      <c r="CZ123" s="324"/>
      <c r="DA123" s="324"/>
      <c r="DB123" s="324"/>
      <c r="DC123" s="324"/>
      <c r="DD123" s="324"/>
      <c r="DE123" s="324"/>
      <c r="DF123" s="324"/>
      <c r="DG123" s="324"/>
      <c r="DH123" s="324"/>
      <c r="DI123" s="324"/>
      <c r="DJ123" s="324"/>
      <c r="DK123" s="324"/>
      <c r="DL123" s="324"/>
      <c r="DM123" s="324"/>
      <c r="DN123" s="324"/>
      <c r="DO123" s="324"/>
      <c r="DP123" s="324"/>
      <c r="DQ123" s="324"/>
      <c r="DR123" s="324"/>
      <c r="DS123" s="324"/>
      <c r="DT123" s="324"/>
      <c r="DU123" s="324"/>
      <c r="DV123" s="324"/>
      <c r="DW123" s="324"/>
      <c r="DX123" s="324"/>
      <c r="DY123" s="324"/>
      <c r="DZ123" s="324"/>
      <c r="EA123" s="324"/>
      <c r="EB123" s="324"/>
      <c r="EC123" s="324"/>
      <c r="ED123" s="324"/>
      <c r="EE123" s="324"/>
      <c r="EF123" s="324"/>
      <c r="EG123" s="324"/>
      <c r="EH123" s="324"/>
      <c r="EI123" s="324"/>
      <c r="EJ123" s="324"/>
      <c r="EK123" s="324"/>
      <c r="EL123" s="324"/>
      <c r="EM123" s="324"/>
      <c r="EN123" s="324"/>
      <c r="EO123" s="324"/>
      <c r="EP123" s="324"/>
      <c r="EQ123" s="324"/>
      <c r="ER123" s="324"/>
      <c r="ES123" s="324"/>
      <c r="ET123" s="324"/>
      <c r="EU123" s="324"/>
      <c r="EV123" s="324"/>
      <c r="EW123" s="324"/>
      <c r="EX123" s="324"/>
      <c r="EY123" s="324"/>
      <c r="EZ123" s="324"/>
      <c r="FA123" s="324"/>
      <c r="FB123" s="324"/>
      <c r="FC123" s="324"/>
      <c r="FD123" s="324"/>
      <c r="FE123" s="324"/>
      <c r="FF123" s="324"/>
      <c r="FG123" s="324"/>
      <c r="FH123" s="324"/>
      <c r="FI123" s="324"/>
      <c r="FJ123" s="324"/>
      <c r="FK123" s="324"/>
      <c r="FL123" s="324"/>
      <c r="FM123" s="324"/>
      <c r="FN123" s="324"/>
      <c r="FO123" s="324"/>
      <c r="FP123" s="324"/>
      <c r="FQ123" s="324"/>
      <c r="FR123" s="324"/>
      <c r="FS123" s="324"/>
      <c r="FT123" s="324"/>
      <c r="FU123" s="324"/>
      <c r="FV123" s="324"/>
      <c r="FW123" s="324"/>
      <c r="FX123" s="324"/>
      <c r="FY123" s="324"/>
      <c r="FZ123" s="324"/>
      <c r="GA123" s="324"/>
      <c r="GB123" s="324"/>
      <c r="GC123" s="324"/>
      <c r="GD123" s="324"/>
      <c r="GE123" s="324"/>
      <c r="GF123" s="324"/>
      <c r="GG123" s="324"/>
      <c r="GH123" s="324"/>
      <c r="GI123" s="324"/>
      <c r="GJ123" s="324"/>
      <c r="GK123" s="324"/>
      <c r="GL123" s="324"/>
      <c r="GM123" s="324"/>
      <c r="GN123" s="324"/>
      <c r="GO123" s="324"/>
      <c r="GP123" s="324"/>
      <c r="GQ123" s="324"/>
      <c r="GR123" s="324"/>
      <c r="GS123" s="324"/>
      <c r="GT123" s="324"/>
      <c r="GU123" s="324"/>
      <c r="GV123" s="324"/>
      <c r="GW123" s="324"/>
      <c r="GX123" s="324"/>
      <c r="GY123" s="324"/>
      <c r="GZ123" s="324"/>
      <c r="HA123" s="324"/>
      <c r="HB123" s="324"/>
      <c r="HC123" s="324"/>
      <c r="HD123" s="324"/>
      <c r="HE123" s="324"/>
      <c r="HF123" s="324"/>
      <c r="HG123" s="324"/>
      <c r="HH123" s="324"/>
      <c r="HI123" s="324"/>
      <c r="HJ123" s="324"/>
      <c r="HK123" s="324"/>
      <c r="HL123" s="324"/>
      <c r="HM123" s="324"/>
      <c r="HN123" s="324"/>
      <c r="HO123" s="324"/>
      <c r="HP123" s="324"/>
      <c r="HQ123" s="324"/>
      <c r="HR123" s="324"/>
      <c r="HS123" s="324"/>
      <c r="HT123" s="324"/>
      <c r="HU123" s="324"/>
      <c r="HV123" s="324"/>
      <c r="HW123" s="324"/>
      <c r="HX123" s="324"/>
      <c r="HY123" s="324"/>
      <c r="HZ123" s="324"/>
      <c r="IA123" s="324"/>
      <c r="IB123" s="324"/>
      <c r="IC123" s="324"/>
      <c r="ID123" s="324"/>
      <c r="IE123" s="324"/>
      <c r="IF123" s="324"/>
      <c r="IG123" s="324"/>
      <c r="IH123" s="324"/>
      <c r="II123" s="324"/>
      <c r="IJ123" s="324"/>
      <c r="IK123" s="324"/>
      <c r="IL123" s="324"/>
      <c r="IM123" s="324"/>
    </row>
    <row r="124" spans="1:247" x14ac:dyDescent="0.35">
      <c r="A124" s="356">
        <v>5306</v>
      </c>
      <c r="B124" s="357" t="s">
        <v>131</v>
      </c>
      <c r="C124" s="172" t="s">
        <v>8</v>
      </c>
      <c r="D124" s="358" t="s">
        <v>2053</v>
      </c>
      <c r="E124" s="336">
        <f>+$E$3</f>
        <v>1.0740000000000001</v>
      </c>
      <c r="F124" s="331">
        <f t="shared" si="0"/>
        <v>1.0209999999999999</v>
      </c>
      <c r="G124" s="337">
        <f t="shared" si="28"/>
        <v>1.0269999999999999</v>
      </c>
      <c r="H124" s="336">
        <f>+$H$3</f>
        <v>1.0029999999999999</v>
      </c>
      <c r="I124" s="338">
        <f>+$I$3</f>
        <v>1.0289999999999999</v>
      </c>
      <c r="J124" s="338">
        <f>+$J$3</f>
        <v>1.0049999999999999</v>
      </c>
      <c r="K124" s="338"/>
      <c r="L124" s="338">
        <f>+$L$3</f>
        <v>1.0129999999999999</v>
      </c>
      <c r="M124" s="338">
        <f>+$M$3</f>
        <v>1.0029999999999999</v>
      </c>
      <c r="N124" s="337">
        <f>+$N$3</f>
        <v>1.0029999999999999</v>
      </c>
      <c r="O124" s="339">
        <f>+$O$3</f>
        <v>1.0209999999999999</v>
      </c>
      <c r="P124" s="336">
        <f t="shared" si="26"/>
        <v>1.032</v>
      </c>
      <c r="Q124" s="337">
        <f t="shared" si="27"/>
        <v>1.0349999999999999</v>
      </c>
      <c r="R124" s="340">
        <f t="shared" si="1"/>
        <v>1.2981950150858137</v>
      </c>
      <c r="S124" s="324"/>
      <c r="T124" s="324"/>
      <c r="U124" s="324"/>
      <c r="V124" s="324"/>
      <c r="W124" s="324"/>
      <c r="X124" s="324"/>
      <c r="Y124" s="324"/>
      <c r="Z124" s="324"/>
      <c r="AA124" s="324"/>
      <c r="AB124" s="324"/>
      <c r="AC124" s="324"/>
      <c r="AD124" s="324"/>
      <c r="AE124" s="324"/>
      <c r="AF124" s="324"/>
      <c r="AG124" s="324"/>
      <c r="AH124" s="324"/>
      <c r="AI124" s="324"/>
      <c r="AJ124" s="324"/>
      <c r="AK124" s="324"/>
      <c r="AL124" s="324"/>
      <c r="AM124" s="324"/>
      <c r="AN124" s="324"/>
      <c r="AO124" s="324"/>
      <c r="AP124" s="324"/>
      <c r="AQ124" s="324"/>
      <c r="AR124" s="324"/>
      <c r="AS124" s="324"/>
      <c r="AT124" s="324"/>
      <c r="AU124" s="324"/>
      <c r="AV124" s="324"/>
      <c r="AW124" s="324"/>
      <c r="AX124" s="324"/>
      <c r="AY124" s="324"/>
      <c r="AZ124" s="324"/>
      <c r="BA124" s="324"/>
      <c r="BB124" s="324"/>
      <c r="BC124" s="324"/>
      <c r="BD124" s="324"/>
      <c r="BE124" s="324"/>
      <c r="BF124" s="324"/>
      <c r="BG124" s="324"/>
      <c r="BH124" s="324"/>
      <c r="BI124" s="324"/>
      <c r="BJ124" s="324"/>
      <c r="BK124" s="324"/>
      <c r="BL124" s="324"/>
      <c r="BM124" s="324"/>
      <c r="BN124" s="324"/>
      <c r="BO124" s="324"/>
      <c r="BP124" s="324"/>
      <c r="BQ124" s="324"/>
      <c r="BR124" s="324"/>
      <c r="BS124" s="324"/>
      <c r="BT124" s="324"/>
      <c r="BU124" s="324"/>
      <c r="BV124" s="324"/>
      <c r="BW124" s="324"/>
      <c r="BX124" s="324"/>
      <c r="BY124" s="324"/>
      <c r="BZ124" s="324"/>
      <c r="CA124" s="324"/>
      <c r="CB124" s="324"/>
      <c r="CC124" s="324"/>
      <c r="CD124" s="324"/>
      <c r="CE124" s="324"/>
      <c r="CF124" s="324"/>
      <c r="CG124" s="324"/>
      <c r="CH124" s="324"/>
      <c r="CI124" s="324"/>
      <c r="CJ124" s="324"/>
      <c r="CK124" s="324"/>
      <c r="CL124" s="324"/>
      <c r="CM124" s="324"/>
      <c r="CN124" s="324"/>
      <c r="CO124" s="324"/>
      <c r="CP124" s="324"/>
      <c r="CQ124" s="324"/>
      <c r="CR124" s="324"/>
      <c r="CS124" s="324"/>
      <c r="CT124" s="324"/>
      <c r="CU124" s="324"/>
      <c r="CV124" s="324"/>
      <c r="CW124" s="324"/>
      <c r="CX124" s="324"/>
      <c r="CY124" s="324"/>
      <c r="CZ124" s="324"/>
      <c r="DA124" s="324"/>
      <c r="DB124" s="324"/>
      <c r="DC124" s="324"/>
      <c r="DD124" s="324"/>
      <c r="DE124" s="324"/>
      <c r="DF124" s="324"/>
      <c r="DG124" s="324"/>
      <c r="DH124" s="324"/>
      <c r="DI124" s="324"/>
      <c r="DJ124" s="324"/>
      <c r="DK124" s="324"/>
      <c r="DL124" s="324"/>
      <c r="DM124" s="324"/>
      <c r="DN124" s="324"/>
      <c r="DO124" s="324"/>
      <c r="DP124" s="324"/>
      <c r="DQ124" s="324"/>
      <c r="DR124" s="324"/>
      <c r="DS124" s="324"/>
      <c r="DT124" s="324"/>
      <c r="DU124" s="324"/>
      <c r="DV124" s="324"/>
      <c r="DW124" s="324"/>
      <c r="DX124" s="324"/>
      <c r="DY124" s="324"/>
      <c r="DZ124" s="324"/>
      <c r="EA124" s="324"/>
      <c r="EB124" s="324"/>
      <c r="EC124" s="324"/>
      <c r="ED124" s="324"/>
      <c r="EE124" s="324"/>
      <c r="EF124" s="324"/>
      <c r="EG124" s="324"/>
      <c r="EH124" s="324"/>
      <c r="EI124" s="324"/>
      <c r="EJ124" s="324"/>
      <c r="EK124" s="324"/>
      <c r="EL124" s="324"/>
      <c r="EM124" s="324"/>
      <c r="EN124" s="324"/>
      <c r="EO124" s="324"/>
      <c r="EP124" s="324"/>
      <c r="EQ124" s="324"/>
      <c r="ER124" s="324"/>
      <c r="ES124" s="324"/>
      <c r="ET124" s="324"/>
      <c r="EU124" s="324"/>
      <c r="EV124" s="324"/>
      <c r="EW124" s="324"/>
      <c r="EX124" s="324"/>
      <c r="EY124" s="324"/>
      <c r="EZ124" s="324"/>
      <c r="FA124" s="324"/>
      <c r="FB124" s="324"/>
      <c r="FC124" s="324"/>
      <c r="FD124" s="324"/>
      <c r="FE124" s="324"/>
      <c r="FF124" s="324"/>
      <c r="FG124" s="324"/>
      <c r="FH124" s="324"/>
      <c r="FI124" s="324"/>
      <c r="FJ124" s="324"/>
      <c r="FK124" s="324"/>
      <c r="FL124" s="324"/>
      <c r="FM124" s="324"/>
      <c r="FN124" s="324"/>
      <c r="FO124" s="324"/>
      <c r="FP124" s="324"/>
      <c r="FQ124" s="324"/>
      <c r="FR124" s="324"/>
      <c r="FS124" s="324"/>
      <c r="FT124" s="324"/>
      <c r="FU124" s="324"/>
      <c r="FV124" s="324"/>
      <c r="FW124" s="324"/>
      <c r="FX124" s="324"/>
      <c r="FY124" s="324"/>
      <c r="FZ124" s="324"/>
      <c r="GA124" s="324"/>
      <c r="GB124" s="324"/>
      <c r="GC124" s="324"/>
      <c r="GD124" s="324"/>
      <c r="GE124" s="324"/>
      <c r="GF124" s="324"/>
      <c r="GG124" s="324"/>
      <c r="GH124" s="324"/>
      <c r="GI124" s="324"/>
      <c r="GJ124" s="324"/>
      <c r="GK124" s="324"/>
      <c r="GL124" s="324"/>
      <c r="GM124" s="324"/>
      <c r="GN124" s="324"/>
      <c r="GO124" s="324"/>
      <c r="GP124" s="324"/>
      <c r="GQ124" s="324"/>
      <c r="GR124" s="324"/>
      <c r="GS124" s="324"/>
      <c r="GT124" s="324"/>
      <c r="GU124" s="324"/>
      <c r="GV124" s="324"/>
      <c r="GW124" s="324"/>
      <c r="GX124" s="324"/>
      <c r="GY124" s="324"/>
      <c r="GZ124" s="324"/>
      <c r="HA124" s="324"/>
      <c r="HB124" s="324"/>
      <c r="HC124" s="324"/>
      <c r="HD124" s="324"/>
      <c r="HE124" s="324"/>
      <c r="HF124" s="324"/>
      <c r="HG124" s="324"/>
      <c r="HH124" s="324"/>
      <c r="HI124" s="324"/>
      <c r="HJ124" s="324"/>
      <c r="HK124" s="324"/>
      <c r="HL124" s="324"/>
      <c r="HM124" s="324"/>
      <c r="HN124" s="324"/>
      <c r="HO124" s="324"/>
      <c r="HP124" s="324"/>
      <c r="HQ124" s="324"/>
      <c r="HR124" s="324"/>
      <c r="HS124" s="324"/>
      <c r="HT124" s="324"/>
      <c r="HU124" s="324"/>
      <c r="HV124" s="324"/>
      <c r="HW124" s="324"/>
      <c r="HX124" s="324"/>
      <c r="HY124" s="324"/>
      <c r="HZ124" s="324"/>
      <c r="IA124" s="324"/>
      <c r="IB124" s="324"/>
      <c r="IC124" s="324"/>
      <c r="ID124" s="324"/>
      <c r="IE124" s="324"/>
      <c r="IF124" s="324"/>
      <c r="IG124" s="324"/>
      <c r="IH124" s="324"/>
      <c r="II124" s="324"/>
      <c r="IJ124" s="324"/>
      <c r="IK124" s="324"/>
      <c r="IL124" s="324"/>
      <c r="IM124" s="324"/>
    </row>
    <row r="125" spans="1:247" x14ac:dyDescent="0.35">
      <c r="A125" s="356">
        <v>5307</v>
      </c>
      <c r="B125" s="357" t="s">
        <v>132</v>
      </c>
      <c r="C125" s="172" t="s">
        <v>8</v>
      </c>
      <c r="D125" s="358" t="s">
        <v>2053</v>
      </c>
      <c r="E125" s="336"/>
      <c r="F125" s="331">
        <f t="shared" si="0"/>
        <v>1.0209999999999999</v>
      </c>
      <c r="G125" s="337">
        <f t="shared" si="28"/>
        <v>1.0269999999999999</v>
      </c>
      <c r="H125" s="336"/>
      <c r="I125" s="338"/>
      <c r="J125" s="338"/>
      <c r="K125" s="338"/>
      <c r="L125" s="338"/>
      <c r="M125" s="338"/>
      <c r="N125" s="337"/>
      <c r="O125" s="339"/>
      <c r="P125" s="336">
        <f t="shared" si="26"/>
        <v>1.032</v>
      </c>
      <c r="Q125" s="337">
        <f t="shared" si="27"/>
        <v>1.0349999999999999</v>
      </c>
      <c r="R125" s="340">
        <f t="shared" si="1"/>
        <v>1.1199953840399997</v>
      </c>
      <c r="S125" s="324"/>
      <c r="T125" s="324"/>
      <c r="U125" s="324"/>
      <c r="V125" s="324"/>
      <c r="W125" s="324"/>
      <c r="X125" s="324"/>
      <c r="Y125" s="324"/>
      <c r="Z125" s="324"/>
      <c r="AA125" s="324"/>
      <c r="AB125" s="324"/>
      <c r="AC125" s="324"/>
      <c r="AD125" s="324"/>
      <c r="AE125" s="324"/>
      <c r="AF125" s="324"/>
      <c r="AG125" s="324"/>
      <c r="AH125" s="324"/>
      <c r="AI125" s="324"/>
      <c r="AJ125" s="324"/>
      <c r="AK125" s="324"/>
      <c r="AL125" s="324"/>
      <c r="AM125" s="324"/>
      <c r="AN125" s="324"/>
      <c r="AO125" s="324"/>
      <c r="AP125" s="324"/>
      <c r="AQ125" s="324"/>
      <c r="AR125" s="324"/>
      <c r="AS125" s="324"/>
      <c r="AT125" s="324"/>
      <c r="AU125" s="324"/>
      <c r="AV125" s="324"/>
      <c r="AW125" s="324"/>
      <c r="AX125" s="324"/>
      <c r="AY125" s="324"/>
      <c r="AZ125" s="324"/>
      <c r="BA125" s="324"/>
      <c r="BB125" s="324"/>
      <c r="BC125" s="324"/>
      <c r="BD125" s="324"/>
      <c r="BE125" s="324"/>
      <c r="BF125" s="324"/>
      <c r="BG125" s="324"/>
      <c r="BH125" s="324"/>
      <c r="BI125" s="324"/>
      <c r="BJ125" s="324"/>
      <c r="BK125" s="324"/>
      <c r="BL125" s="324"/>
      <c r="BM125" s="324"/>
      <c r="BN125" s="324"/>
      <c r="BO125" s="324"/>
      <c r="BP125" s="324"/>
      <c r="BQ125" s="324"/>
      <c r="BR125" s="324"/>
      <c r="BS125" s="324"/>
      <c r="BT125" s="324"/>
      <c r="BU125" s="324"/>
      <c r="BV125" s="324"/>
      <c r="BW125" s="324"/>
      <c r="BX125" s="324"/>
      <c r="BY125" s="324"/>
      <c r="BZ125" s="324"/>
      <c r="CA125" s="324"/>
      <c r="CB125" s="324"/>
      <c r="CC125" s="324"/>
      <c r="CD125" s="324"/>
      <c r="CE125" s="324"/>
      <c r="CF125" s="324"/>
      <c r="CG125" s="324"/>
      <c r="CH125" s="324"/>
      <c r="CI125" s="324"/>
      <c r="CJ125" s="324"/>
      <c r="CK125" s="324"/>
      <c r="CL125" s="324"/>
      <c r="CM125" s="324"/>
      <c r="CN125" s="324"/>
      <c r="CO125" s="324"/>
      <c r="CP125" s="324"/>
      <c r="CQ125" s="324"/>
      <c r="CR125" s="324"/>
      <c r="CS125" s="324"/>
      <c r="CT125" s="324"/>
      <c r="CU125" s="324"/>
      <c r="CV125" s="324"/>
      <c r="CW125" s="324"/>
      <c r="CX125" s="324"/>
      <c r="CY125" s="324"/>
      <c r="CZ125" s="324"/>
      <c r="DA125" s="324"/>
      <c r="DB125" s="324"/>
      <c r="DC125" s="324"/>
      <c r="DD125" s="324"/>
      <c r="DE125" s="324"/>
      <c r="DF125" s="324"/>
      <c r="DG125" s="324"/>
      <c r="DH125" s="324"/>
      <c r="DI125" s="324"/>
      <c r="DJ125" s="324"/>
      <c r="DK125" s="324"/>
      <c r="DL125" s="324"/>
      <c r="DM125" s="324"/>
      <c r="DN125" s="324"/>
      <c r="DO125" s="324"/>
      <c r="DP125" s="324"/>
      <c r="DQ125" s="324"/>
      <c r="DR125" s="324"/>
      <c r="DS125" s="324"/>
      <c r="DT125" s="324"/>
      <c r="DU125" s="324"/>
      <c r="DV125" s="324"/>
      <c r="DW125" s="324"/>
      <c r="DX125" s="324"/>
      <c r="DY125" s="324"/>
      <c r="DZ125" s="324"/>
      <c r="EA125" s="324"/>
      <c r="EB125" s="324"/>
      <c r="EC125" s="324"/>
      <c r="ED125" s="324"/>
      <c r="EE125" s="324"/>
      <c r="EF125" s="324"/>
      <c r="EG125" s="324"/>
      <c r="EH125" s="324"/>
      <c r="EI125" s="324"/>
      <c r="EJ125" s="324"/>
      <c r="EK125" s="324"/>
      <c r="EL125" s="324"/>
      <c r="EM125" s="324"/>
      <c r="EN125" s="324"/>
      <c r="EO125" s="324"/>
      <c r="EP125" s="324"/>
      <c r="EQ125" s="324"/>
      <c r="ER125" s="324"/>
      <c r="ES125" s="324"/>
      <c r="ET125" s="324"/>
      <c r="EU125" s="324"/>
      <c r="EV125" s="324"/>
      <c r="EW125" s="324"/>
      <c r="EX125" s="324"/>
      <c r="EY125" s="324"/>
      <c r="EZ125" s="324"/>
      <c r="FA125" s="324"/>
      <c r="FB125" s="324"/>
      <c r="FC125" s="324"/>
      <c r="FD125" s="324"/>
      <c r="FE125" s="324"/>
      <c r="FF125" s="324"/>
      <c r="FG125" s="324"/>
      <c r="FH125" s="324"/>
      <c r="FI125" s="324"/>
      <c r="FJ125" s="324"/>
      <c r="FK125" s="324"/>
      <c r="FL125" s="324"/>
      <c r="FM125" s="324"/>
      <c r="FN125" s="324"/>
      <c r="FO125" s="324"/>
      <c r="FP125" s="324"/>
      <c r="FQ125" s="324"/>
      <c r="FR125" s="324"/>
      <c r="FS125" s="324"/>
      <c r="FT125" s="324"/>
      <c r="FU125" s="324"/>
      <c r="FV125" s="324"/>
      <c r="FW125" s="324"/>
      <c r="FX125" s="324"/>
      <c r="FY125" s="324"/>
      <c r="FZ125" s="324"/>
      <c r="GA125" s="324"/>
      <c r="GB125" s="324"/>
      <c r="GC125" s="324"/>
      <c r="GD125" s="324"/>
      <c r="GE125" s="324"/>
      <c r="GF125" s="324"/>
      <c r="GG125" s="324"/>
      <c r="GH125" s="324"/>
      <c r="GI125" s="324"/>
      <c r="GJ125" s="324"/>
      <c r="GK125" s="324"/>
      <c r="GL125" s="324"/>
      <c r="GM125" s="324"/>
      <c r="GN125" s="324"/>
      <c r="GO125" s="324"/>
      <c r="GP125" s="324"/>
      <c r="GQ125" s="324"/>
      <c r="GR125" s="324"/>
      <c r="GS125" s="324"/>
      <c r="GT125" s="324"/>
      <c r="GU125" s="324"/>
      <c r="GV125" s="324"/>
      <c r="GW125" s="324"/>
      <c r="GX125" s="324"/>
      <c r="GY125" s="324"/>
      <c r="GZ125" s="324"/>
      <c r="HA125" s="324"/>
      <c r="HB125" s="324"/>
      <c r="HC125" s="324"/>
      <c r="HD125" s="324"/>
      <c r="HE125" s="324"/>
      <c r="HF125" s="324"/>
      <c r="HG125" s="324"/>
      <c r="HH125" s="324"/>
      <c r="HI125" s="324"/>
      <c r="HJ125" s="324"/>
      <c r="HK125" s="324"/>
      <c r="HL125" s="324"/>
      <c r="HM125" s="324"/>
      <c r="HN125" s="324"/>
      <c r="HO125" s="324"/>
      <c r="HP125" s="324"/>
      <c r="HQ125" s="324"/>
      <c r="HR125" s="324"/>
      <c r="HS125" s="324"/>
      <c r="HT125" s="324"/>
      <c r="HU125" s="324"/>
      <c r="HV125" s="324"/>
      <c r="HW125" s="324"/>
      <c r="HX125" s="324"/>
      <c r="HY125" s="324"/>
      <c r="HZ125" s="324"/>
      <c r="IA125" s="324"/>
      <c r="IB125" s="324"/>
      <c r="IC125" s="324"/>
      <c r="ID125" s="324"/>
      <c r="IE125" s="324"/>
      <c r="IF125" s="324"/>
      <c r="IG125" s="324"/>
      <c r="IH125" s="324"/>
      <c r="II125" s="324"/>
      <c r="IJ125" s="324"/>
      <c r="IK125" s="324"/>
      <c r="IL125" s="324"/>
      <c r="IM125" s="324"/>
    </row>
    <row r="126" spans="1:247" x14ac:dyDescent="0.35">
      <c r="A126" s="356">
        <v>6103</v>
      </c>
      <c r="B126" s="357" t="s">
        <v>133</v>
      </c>
      <c r="C126" s="172" t="s">
        <v>8</v>
      </c>
      <c r="D126" s="358" t="s">
        <v>2053</v>
      </c>
      <c r="E126" s="336"/>
      <c r="F126" s="331">
        <f t="shared" si="0"/>
        <v>1.0209999999999999</v>
      </c>
      <c r="G126" s="337">
        <f t="shared" si="28"/>
        <v>1.0269999999999999</v>
      </c>
      <c r="H126" s="336">
        <f>+$H$3</f>
        <v>1.0029999999999999</v>
      </c>
      <c r="I126" s="338">
        <f>+$I$3</f>
        <v>1.0289999999999999</v>
      </c>
      <c r="J126" s="338">
        <f>+$J$3</f>
        <v>1.0049999999999999</v>
      </c>
      <c r="K126" s="338"/>
      <c r="L126" s="338"/>
      <c r="M126" s="338"/>
      <c r="N126" s="337"/>
      <c r="O126" s="339">
        <f>+$O$3</f>
        <v>1.0209999999999999</v>
      </c>
      <c r="P126" s="336">
        <f t="shared" si="26"/>
        <v>1.032</v>
      </c>
      <c r="Q126" s="337">
        <f t="shared" si="27"/>
        <v>1.0349999999999999</v>
      </c>
      <c r="R126" s="340">
        <f t="shared" si="1"/>
        <v>1.1861082984327833</v>
      </c>
      <c r="S126" s="324"/>
      <c r="T126" s="324"/>
      <c r="U126" s="324"/>
      <c r="V126" s="324"/>
      <c r="W126" s="324"/>
      <c r="X126" s="324"/>
      <c r="Y126" s="324"/>
      <c r="Z126" s="324"/>
      <c r="AA126" s="324"/>
      <c r="AB126" s="324"/>
      <c r="AC126" s="324"/>
      <c r="AD126" s="324"/>
      <c r="AE126" s="324"/>
      <c r="AF126" s="324"/>
      <c r="AG126" s="324"/>
      <c r="AH126" s="324"/>
      <c r="AI126" s="324"/>
      <c r="AJ126" s="324"/>
      <c r="AK126" s="324"/>
      <c r="AL126" s="324"/>
      <c r="AM126" s="324"/>
      <c r="AN126" s="324"/>
      <c r="AO126" s="324"/>
      <c r="AP126" s="324"/>
      <c r="AQ126" s="324"/>
      <c r="AR126" s="324"/>
      <c r="AS126" s="324"/>
      <c r="AT126" s="324"/>
      <c r="AU126" s="324"/>
      <c r="AV126" s="324"/>
      <c r="AW126" s="324"/>
      <c r="AX126" s="324"/>
      <c r="AY126" s="324"/>
      <c r="AZ126" s="324"/>
      <c r="BA126" s="324"/>
      <c r="BB126" s="324"/>
      <c r="BC126" s="324"/>
      <c r="BD126" s="324"/>
      <c r="BE126" s="324"/>
      <c r="BF126" s="324"/>
      <c r="BG126" s="324"/>
      <c r="BH126" s="324"/>
      <c r="BI126" s="324"/>
      <c r="BJ126" s="324"/>
      <c r="BK126" s="324"/>
      <c r="BL126" s="324"/>
      <c r="BM126" s="324"/>
      <c r="BN126" s="324"/>
      <c r="BO126" s="324"/>
      <c r="BP126" s="324"/>
      <c r="BQ126" s="324"/>
      <c r="BR126" s="324"/>
      <c r="BS126" s="324"/>
      <c r="BT126" s="324"/>
      <c r="BU126" s="324"/>
      <c r="BV126" s="324"/>
      <c r="BW126" s="324"/>
      <c r="BX126" s="324"/>
      <c r="BY126" s="324"/>
      <c r="BZ126" s="324"/>
      <c r="CA126" s="324"/>
      <c r="CB126" s="324"/>
      <c r="CC126" s="324"/>
      <c r="CD126" s="324"/>
      <c r="CE126" s="324"/>
      <c r="CF126" s="324"/>
      <c r="CG126" s="324"/>
      <c r="CH126" s="324"/>
      <c r="CI126" s="324"/>
      <c r="CJ126" s="324"/>
      <c r="CK126" s="324"/>
      <c r="CL126" s="324"/>
      <c r="CM126" s="324"/>
      <c r="CN126" s="324"/>
      <c r="CO126" s="324"/>
      <c r="CP126" s="324"/>
      <c r="CQ126" s="324"/>
      <c r="CR126" s="324"/>
      <c r="CS126" s="324"/>
      <c r="CT126" s="324"/>
      <c r="CU126" s="324"/>
      <c r="CV126" s="324"/>
      <c r="CW126" s="324"/>
      <c r="CX126" s="324"/>
      <c r="CY126" s="324"/>
      <c r="CZ126" s="324"/>
      <c r="DA126" s="324"/>
      <c r="DB126" s="324"/>
      <c r="DC126" s="324"/>
      <c r="DD126" s="324"/>
      <c r="DE126" s="324"/>
      <c r="DF126" s="324"/>
      <c r="DG126" s="324"/>
      <c r="DH126" s="324"/>
      <c r="DI126" s="324"/>
      <c r="DJ126" s="324"/>
      <c r="DK126" s="324"/>
      <c r="DL126" s="324"/>
      <c r="DM126" s="324"/>
      <c r="DN126" s="324"/>
      <c r="DO126" s="324"/>
      <c r="DP126" s="324"/>
      <c r="DQ126" s="324"/>
      <c r="DR126" s="324"/>
      <c r="DS126" s="324"/>
      <c r="DT126" s="324"/>
      <c r="DU126" s="324"/>
      <c r="DV126" s="324"/>
      <c r="DW126" s="324"/>
      <c r="DX126" s="324"/>
      <c r="DY126" s="324"/>
      <c r="DZ126" s="324"/>
      <c r="EA126" s="324"/>
      <c r="EB126" s="324"/>
      <c r="EC126" s="324"/>
      <c r="ED126" s="324"/>
      <c r="EE126" s="324"/>
      <c r="EF126" s="324"/>
      <c r="EG126" s="324"/>
      <c r="EH126" s="324"/>
      <c r="EI126" s="324"/>
      <c r="EJ126" s="324"/>
      <c r="EK126" s="324"/>
      <c r="EL126" s="324"/>
      <c r="EM126" s="324"/>
      <c r="EN126" s="324"/>
      <c r="EO126" s="324"/>
      <c r="EP126" s="324"/>
      <c r="EQ126" s="324"/>
      <c r="ER126" s="324"/>
      <c r="ES126" s="324"/>
      <c r="ET126" s="324"/>
      <c r="EU126" s="324"/>
      <c r="EV126" s="324"/>
      <c r="EW126" s="324"/>
      <c r="EX126" s="324"/>
      <c r="EY126" s="324"/>
      <c r="EZ126" s="324"/>
      <c r="FA126" s="324"/>
      <c r="FB126" s="324"/>
      <c r="FC126" s="324"/>
      <c r="FD126" s="324"/>
      <c r="FE126" s="324"/>
      <c r="FF126" s="324"/>
      <c r="FG126" s="324"/>
      <c r="FH126" s="324"/>
      <c r="FI126" s="324"/>
      <c r="FJ126" s="324"/>
      <c r="FK126" s="324"/>
      <c r="FL126" s="324"/>
      <c r="FM126" s="324"/>
      <c r="FN126" s="324"/>
      <c r="FO126" s="324"/>
      <c r="FP126" s="324"/>
      <c r="FQ126" s="324"/>
      <c r="FR126" s="324"/>
      <c r="FS126" s="324"/>
      <c r="FT126" s="324"/>
      <c r="FU126" s="324"/>
      <c r="FV126" s="324"/>
      <c r="FW126" s="324"/>
      <c r="FX126" s="324"/>
      <c r="FY126" s="324"/>
      <c r="FZ126" s="324"/>
      <c r="GA126" s="324"/>
      <c r="GB126" s="324"/>
      <c r="GC126" s="324"/>
      <c r="GD126" s="324"/>
      <c r="GE126" s="324"/>
      <c r="GF126" s="324"/>
      <c r="GG126" s="324"/>
      <c r="GH126" s="324"/>
      <c r="GI126" s="324"/>
      <c r="GJ126" s="324"/>
      <c r="GK126" s="324"/>
      <c r="GL126" s="324"/>
      <c r="GM126" s="324"/>
      <c r="GN126" s="324"/>
      <c r="GO126" s="324"/>
      <c r="GP126" s="324"/>
      <c r="GQ126" s="324"/>
      <c r="GR126" s="324"/>
      <c r="GS126" s="324"/>
      <c r="GT126" s="324"/>
      <c r="GU126" s="324"/>
      <c r="GV126" s="324"/>
      <c r="GW126" s="324"/>
      <c r="GX126" s="324"/>
      <c r="GY126" s="324"/>
      <c r="GZ126" s="324"/>
      <c r="HA126" s="324"/>
      <c r="HB126" s="324"/>
      <c r="HC126" s="324"/>
      <c r="HD126" s="324"/>
      <c r="HE126" s="324"/>
      <c r="HF126" s="324"/>
      <c r="HG126" s="324"/>
      <c r="HH126" s="324"/>
      <c r="HI126" s="324"/>
      <c r="HJ126" s="324"/>
      <c r="HK126" s="324"/>
      <c r="HL126" s="324"/>
      <c r="HM126" s="324"/>
      <c r="HN126" s="324"/>
      <c r="HO126" s="324"/>
      <c r="HP126" s="324"/>
      <c r="HQ126" s="324"/>
      <c r="HR126" s="324"/>
      <c r="HS126" s="324"/>
      <c r="HT126" s="324"/>
      <c r="HU126" s="324"/>
      <c r="HV126" s="324"/>
      <c r="HW126" s="324"/>
      <c r="HX126" s="324"/>
      <c r="HY126" s="324"/>
      <c r="HZ126" s="324"/>
      <c r="IA126" s="324"/>
      <c r="IB126" s="324"/>
      <c r="IC126" s="324"/>
      <c r="ID126" s="324"/>
      <c r="IE126" s="324"/>
      <c r="IF126" s="324"/>
      <c r="IG126" s="324"/>
      <c r="IH126" s="324"/>
      <c r="II126" s="324"/>
      <c r="IJ126" s="324"/>
      <c r="IK126" s="324"/>
      <c r="IL126" s="324"/>
      <c r="IM126" s="324"/>
    </row>
    <row r="127" spans="1:247" x14ac:dyDescent="0.35">
      <c r="A127" s="356">
        <v>6107</v>
      </c>
      <c r="B127" s="357" t="s">
        <v>2159</v>
      </c>
      <c r="C127" s="172" t="s">
        <v>8</v>
      </c>
      <c r="D127" s="358" t="s">
        <v>2053</v>
      </c>
      <c r="E127" s="336">
        <f>+$E$3</f>
        <v>1.0740000000000001</v>
      </c>
      <c r="F127" s="331">
        <f t="shared" si="0"/>
        <v>1.0209999999999999</v>
      </c>
      <c r="G127" s="337">
        <f t="shared" si="28"/>
        <v>1.0269999999999999</v>
      </c>
      <c r="H127" s="336">
        <f>+$H$3</f>
        <v>1.0029999999999999</v>
      </c>
      <c r="I127" s="338">
        <f>+$I$3</f>
        <v>1.0289999999999999</v>
      </c>
      <c r="J127" s="338">
        <f>+$J$3</f>
        <v>1.0049999999999999</v>
      </c>
      <c r="K127" s="338">
        <f>+$K$3</f>
        <v>1.026</v>
      </c>
      <c r="L127" s="338">
        <f>+$L$3</f>
        <v>1.0129999999999999</v>
      </c>
      <c r="M127" s="338">
        <f>+$M$3</f>
        <v>1.0029999999999999</v>
      </c>
      <c r="N127" s="337">
        <f>+$N$3</f>
        <v>1.0029999999999999</v>
      </c>
      <c r="O127" s="339">
        <f>+$O$3</f>
        <v>1.0209999999999999</v>
      </c>
      <c r="P127" s="336">
        <f t="shared" si="26"/>
        <v>1.032</v>
      </c>
      <c r="Q127" s="337">
        <f t="shared" si="27"/>
        <v>1.0349999999999999</v>
      </c>
      <c r="R127" s="340">
        <f>PRODUCT(E127:Q127)</f>
        <v>1.3319480854780448</v>
      </c>
      <c r="S127" s="324"/>
      <c r="T127" s="324"/>
      <c r="U127" s="324"/>
      <c r="V127" s="324"/>
      <c r="W127" s="324"/>
      <c r="X127" s="324"/>
      <c r="Y127" s="324"/>
      <c r="Z127" s="324"/>
      <c r="AA127" s="324"/>
      <c r="AB127" s="324"/>
      <c r="AC127" s="324"/>
      <c r="AD127" s="324"/>
      <c r="AE127" s="324"/>
      <c r="AF127" s="324"/>
      <c r="AG127" s="324"/>
      <c r="AH127" s="324"/>
      <c r="AI127" s="324"/>
      <c r="AJ127" s="324"/>
      <c r="AK127" s="324"/>
      <c r="AL127" s="324"/>
      <c r="AM127" s="324"/>
      <c r="AN127" s="324"/>
      <c r="AO127" s="324"/>
      <c r="AP127" s="324"/>
      <c r="AQ127" s="324"/>
      <c r="AR127" s="324"/>
      <c r="AS127" s="324"/>
      <c r="AT127" s="324"/>
      <c r="AU127" s="324"/>
      <c r="AV127" s="324"/>
      <c r="AW127" s="324"/>
      <c r="AX127" s="324"/>
      <c r="AY127" s="324"/>
      <c r="AZ127" s="324"/>
      <c r="BA127" s="324"/>
      <c r="BB127" s="324"/>
      <c r="BC127" s="324"/>
      <c r="BD127" s="324"/>
      <c r="BE127" s="324"/>
      <c r="BF127" s="324"/>
      <c r="BG127" s="324"/>
      <c r="BH127" s="324"/>
      <c r="BI127" s="324"/>
      <c r="BJ127" s="324"/>
      <c r="BK127" s="324"/>
      <c r="BL127" s="324"/>
      <c r="BM127" s="324"/>
      <c r="BN127" s="324"/>
      <c r="BO127" s="324"/>
      <c r="BP127" s="324"/>
      <c r="BQ127" s="324"/>
      <c r="BR127" s="324"/>
      <c r="BS127" s="324"/>
      <c r="BT127" s="324"/>
      <c r="BU127" s="324"/>
      <c r="BV127" s="324"/>
      <c r="BW127" s="324"/>
      <c r="BX127" s="324"/>
      <c r="BY127" s="324"/>
      <c r="BZ127" s="324"/>
      <c r="CA127" s="324"/>
      <c r="CB127" s="324"/>
      <c r="CC127" s="324"/>
      <c r="CD127" s="324"/>
      <c r="CE127" s="324"/>
      <c r="CF127" s="324"/>
      <c r="CG127" s="324"/>
      <c r="CH127" s="324"/>
      <c r="CI127" s="324"/>
      <c r="CJ127" s="324"/>
      <c r="CK127" s="324"/>
      <c r="CL127" s="324"/>
      <c r="CM127" s="324"/>
      <c r="CN127" s="324"/>
      <c r="CO127" s="324"/>
      <c r="CP127" s="324"/>
      <c r="CQ127" s="324"/>
      <c r="CR127" s="324"/>
      <c r="CS127" s="324"/>
      <c r="CT127" s="324"/>
      <c r="CU127" s="324"/>
      <c r="CV127" s="324"/>
      <c r="CW127" s="324"/>
      <c r="CX127" s="324"/>
      <c r="CY127" s="324"/>
      <c r="CZ127" s="324"/>
      <c r="DA127" s="324"/>
      <c r="DB127" s="324"/>
      <c r="DC127" s="324"/>
      <c r="DD127" s="324"/>
      <c r="DE127" s="324"/>
      <c r="DF127" s="324"/>
      <c r="DG127" s="324"/>
      <c r="DH127" s="324"/>
      <c r="DI127" s="324"/>
      <c r="DJ127" s="324"/>
      <c r="DK127" s="324"/>
      <c r="DL127" s="324"/>
      <c r="DM127" s="324"/>
      <c r="DN127" s="324"/>
      <c r="DO127" s="324"/>
      <c r="DP127" s="324"/>
      <c r="DQ127" s="324"/>
      <c r="DR127" s="324"/>
      <c r="DS127" s="324"/>
      <c r="DT127" s="324"/>
      <c r="DU127" s="324"/>
      <c r="DV127" s="324"/>
      <c r="DW127" s="324"/>
      <c r="DX127" s="324"/>
      <c r="DY127" s="324"/>
      <c r="DZ127" s="324"/>
      <c r="EA127" s="324"/>
      <c r="EB127" s="324"/>
      <c r="EC127" s="324"/>
      <c r="ED127" s="324"/>
      <c r="EE127" s="324"/>
      <c r="EF127" s="324"/>
      <c r="EG127" s="324"/>
      <c r="EH127" s="324"/>
      <c r="EI127" s="324"/>
      <c r="EJ127" s="324"/>
      <c r="EK127" s="324"/>
      <c r="EL127" s="324"/>
      <c r="EM127" s="324"/>
      <c r="EN127" s="324"/>
      <c r="EO127" s="324"/>
      <c r="EP127" s="324"/>
      <c r="EQ127" s="324"/>
      <c r="ER127" s="324"/>
      <c r="ES127" s="324"/>
      <c r="ET127" s="324"/>
      <c r="EU127" s="324"/>
      <c r="EV127" s="324"/>
      <c r="EW127" s="324"/>
      <c r="EX127" s="324"/>
      <c r="EY127" s="324"/>
      <c r="EZ127" s="324"/>
      <c r="FA127" s="324"/>
      <c r="FB127" s="324"/>
      <c r="FC127" s="324"/>
      <c r="FD127" s="324"/>
      <c r="FE127" s="324"/>
      <c r="FF127" s="324"/>
      <c r="FG127" s="324"/>
      <c r="FH127" s="324"/>
      <c r="FI127" s="324"/>
      <c r="FJ127" s="324"/>
      <c r="FK127" s="324"/>
      <c r="FL127" s="324"/>
      <c r="FM127" s="324"/>
      <c r="FN127" s="324"/>
      <c r="FO127" s="324"/>
      <c r="FP127" s="324"/>
      <c r="FQ127" s="324"/>
      <c r="FR127" s="324"/>
      <c r="FS127" s="324"/>
      <c r="FT127" s="324"/>
      <c r="FU127" s="324"/>
      <c r="FV127" s="324"/>
      <c r="FW127" s="324"/>
      <c r="FX127" s="324"/>
      <c r="FY127" s="324"/>
      <c r="FZ127" s="324"/>
      <c r="GA127" s="324"/>
      <c r="GB127" s="324"/>
      <c r="GC127" s="324"/>
      <c r="GD127" s="324"/>
      <c r="GE127" s="324"/>
      <c r="GF127" s="324"/>
      <c r="GG127" s="324"/>
      <c r="GH127" s="324"/>
      <c r="GI127" s="324"/>
      <c r="GJ127" s="324"/>
      <c r="GK127" s="324"/>
      <c r="GL127" s="324"/>
      <c r="GM127" s="324"/>
      <c r="GN127" s="324"/>
      <c r="GO127" s="324"/>
      <c r="GP127" s="324"/>
      <c r="GQ127" s="324"/>
      <c r="GR127" s="324"/>
      <c r="GS127" s="324"/>
      <c r="GT127" s="324"/>
      <c r="GU127" s="324"/>
      <c r="GV127" s="324"/>
      <c r="GW127" s="324"/>
      <c r="GX127" s="324"/>
      <c r="GY127" s="324"/>
      <c r="GZ127" s="324"/>
      <c r="HA127" s="324"/>
      <c r="HB127" s="324"/>
      <c r="HC127" s="324"/>
      <c r="HD127" s="324"/>
      <c r="HE127" s="324"/>
      <c r="HF127" s="324"/>
      <c r="HG127" s="324"/>
      <c r="HH127" s="324"/>
      <c r="HI127" s="324"/>
      <c r="HJ127" s="324"/>
      <c r="HK127" s="324"/>
      <c r="HL127" s="324"/>
      <c r="HM127" s="324"/>
      <c r="HN127" s="324"/>
      <c r="HO127" s="324"/>
      <c r="HP127" s="324"/>
      <c r="HQ127" s="324"/>
      <c r="HR127" s="324"/>
      <c r="HS127" s="324"/>
      <c r="HT127" s="324"/>
      <c r="HU127" s="324"/>
      <c r="HV127" s="324"/>
      <c r="HW127" s="324"/>
      <c r="HX127" s="324"/>
      <c r="HY127" s="324"/>
      <c r="HZ127" s="324"/>
      <c r="IA127" s="324"/>
      <c r="IB127" s="324"/>
      <c r="IC127" s="324"/>
      <c r="ID127" s="324"/>
      <c r="IE127" s="324"/>
      <c r="IF127" s="324"/>
      <c r="IG127" s="324"/>
      <c r="IH127" s="324"/>
      <c r="II127" s="324"/>
      <c r="IJ127" s="324"/>
      <c r="IK127" s="324"/>
      <c r="IL127" s="324"/>
      <c r="IM127" s="324"/>
    </row>
    <row r="128" spans="1:247" x14ac:dyDescent="0.35">
      <c r="A128" s="356">
        <v>6900</v>
      </c>
      <c r="B128" s="357" t="s">
        <v>134</v>
      </c>
      <c r="C128" s="172" t="s">
        <v>10</v>
      </c>
      <c r="D128" s="358" t="s">
        <v>2051</v>
      </c>
      <c r="E128" s="336"/>
      <c r="F128" s="331">
        <f t="shared" si="0"/>
        <v>1.0209999999999999</v>
      </c>
      <c r="G128" s="337"/>
      <c r="H128" s="336"/>
      <c r="I128" s="338"/>
      <c r="J128" s="338"/>
      <c r="K128" s="338"/>
      <c r="L128" s="338"/>
      <c r="M128" s="338"/>
      <c r="N128" s="337"/>
      <c r="O128" s="339"/>
      <c r="P128" s="336"/>
      <c r="Q128" s="337"/>
      <c r="R128" s="340">
        <f t="shared" si="1"/>
        <v>1.0209999999999999</v>
      </c>
      <c r="S128" s="324"/>
      <c r="T128" s="324"/>
      <c r="U128" s="324"/>
      <c r="V128" s="324"/>
      <c r="W128" s="324"/>
      <c r="X128" s="324"/>
      <c r="Y128" s="324"/>
      <c r="Z128" s="324"/>
      <c r="AA128" s="324"/>
      <c r="AB128" s="324"/>
      <c r="AC128" s="324"/>
      <c r="AD128" s="324"/>
      <c r="AE128" s="324"/>
      <c r="AF128" s="324"/>
      <c r="AG128" s="324"/>
      <c r="AH128" s="324"/>
      <c r="AI128" s="324"/>
      <c r="AJ128" s="324"/>
      <c r="AK128" s="324"/>
      <c r="AL128" s="324"/>
      <c r="AM128" s="324"/>
      <c r="AN128" s="324"/>
      <c r="AO128" s="324"/>
      <c r="AP128" s="324"/>
      <c r="AQ128" s="324"/>
      <c r="AR128" s="324"/>
      <c r="AS128" s="324"/>
      <c r="AT128" s="324"/>
      <c r="AU128" s="324"/>
      <c r="AV128" s="324"/>
      <c r="AW128" s="324"/>
      <c r="AX128" s="324"/>
      <c r="AY128" s="324"/>
      <c r="AZ128" s="324"/>
      <c r="BA128" s="324"/>
      <c r="BB128" s="324"/>
      <c r="BC128" s="324"/>
      <c r="BD128" s="324"/>
      <c r="BE128" s="324"/>
      <c r="BF128" s="324"/>
      <c r="BG128" s="324"/>
      <c r="BH128" s="324"/>
      <c r="BI128" s="324"/>
      <c r="BJ128" s="324"/>
      <c r="BK128" s="324"/>
      <c r="BL128" s="324"/>
      <c r="BM128" s="324"/>
      <c r="BN128" s="324"/>
      <c r="BO128" s="324"/>
      <c r="BP128" s="324"/>
      <c r="BQ128" s="324"/>
      <c r="BR128" s="324"/>
      <c r="BS128" s="324"/>
      <c r="BT128" s="324"/>
      <c r="BU128" s="324"/>
      <c r="BV128" s="324"/>
      <c r="BW128" s="324"/>
      <c r="BX128" s="324"/>
      <c r="BY128" s="324"/>
      <c r="BZ128" s="324"/>
      <c r="CA128" s="324"/>
      <c r="CB128" s="324"/>
      <c r="CC128" s="324"/>
      <c r="CD128" s="324"/>
      <c r="CE128" s="324"/>
      <c r="CF128" s="324"/>
      <c r="CG128" s="324"/>
      <c r="CH128" s="324"/>
      <c r="CI128" s="324"/>
      <c r="CJ128" s="324"/>
      <c r="CK128" s="324"/>
      <c r="CL128" s="324"/>
      <c r="CM128" s="324"/>
      <c r="CN128" s="324"/>
      <c r="CO128" s="324"/>
      <c r="CP128" s="324"/>
      <c r="CQ128" s="324"/>
      <c r="CR128" s="324"/>
      <c r="CS128" s="324"/>
      <c r="CT128" s="324"/>
      <c r="CU128" s="324"/>
      <c r="CV128" s="324"/>
      <c r="CW128" s="324"/>
      <c r="CX128" s="324"/>
      <c r="CY128" s="324"/>
      <c r="CZ128" s="324"/>
      <c r="DA128" s="324"/>
      <c r="DB128" s="324"/>
      <c r="DC128" s="324"/>
      <c r="DD128" s="324"/>
      <c r="DE128" s="324"/>
      <c r="DF128" s="324"/>
      <c r="DG128" s="324"/>
      <c r="DH128" s="324"/>
      <c r="DI128" s="324"/>
      <c r="DJ128" s="324"/>
      <c r="DK128" s="324"/>
      <c r="DL128" s="324"/>
      <c r="DM128" s="324"/>
      <c r="DN128" s="324"/>
      <c r="DO128" s="324"/>
      <c r="DP128" s="324"/>
      <c r="DQ128" s="324"/>
      <c r="DR128" s="324"/>
      <c r="DS128" s="324"/>
      <c r="DT128" s="324"/>
      <c r="DU128" s="324"/>
      <c r="DV128" s="324"/>
      <c r="DW128" s="324"/>
      <c r="DX128" s="324"/>
      <c r="DY128" s="324"/>
      <c r="DZ128" s="324"/>
      <c r="EA128" s="324"/>
      <c r="EB128" s="324"/>
      <c r="EC128" s="324"/>
      <c r="ED128" s="324"/>
      <c r="EE128" s="324"/>
      <c r="EF128" s="324"/>
      <c r="EG128" s="324"/>
      <c r="EH128" s="324"/>
      <c r="EI128" s="324"/>
      <c r="EJ128" s="324"/>
      <c r="EK128" s="324"/>
      <c r="EL128" s="324"/>
      <c r="EM128" s="324"/>
      <c r="EN128" s="324"/>
      <c r="EO128" s="324"/>
      <c r="EP128" s="324"/>
      <c r="EQ128" s="324"/>
      <c r="ER128" s="324"/>
      <c r="ES128" s="324"/>
      <c r="ET128" s="324"/>
      <c r="EU128" s="324"/>
      <c r="EV128" s="324"/>
      <c r="EW128" s="324"/>
      <c r="EX128" s="324"/>
      <c r="EY128" s="324"/>
      <c r="EZ128" s="324"/>
      <c r="FA128" s="324"/>
      <c r="FB128" s="324"/>
      <c r="FC128" s="324"/>
      <c r="FD128" s="324"/>
      <c r="FE128" s="324"/>
      <c r="FF128" s="324"/>
      <c r="FG128" s="324"/>
      <c r="FH128" s="324"/>
      <c r="FI128" s="324"/>
      <c r="FJ128" s="324"/>
      <c r="FK128" s="324"/>
      <c r="FL128" s="324"/>
      <c r="FM128" s="324"/>
      <c r="FN128" s="324"/>
      <c r="FO128" s="324"/>
      <c r="FP128" s="324"/>
      <c r="FQ128" s="324"/>
      <c r="FR128" s="324"/>
      <c r="FS128" s="324"/>
      <c r="FT128" s="324"/>
      <c r="FU128" s="324"/>
      <c r="FV128" s="324"/>
      <c r="FW128" s="324"/>
      <c r="FX128" s="324"/>
      <c r="FY128" s="324"/>
      <c r="FZ128" s="324"/>
      <c r="GA128" s="324"/>
      <c r="GB128" s="324"/>
      <c r="GC128" s="324"/>
      <c r="GD128" s="324"/>
      <c r="GE128" s="324"/>
      <c r="GF128" s="324"/>
      <c r="GG128" s="324"/>
      <c r="GH128" s="324"/>
      <c r="GI128" s="324"/>
      <c r="GJ128" s="324"/>
      <c r="GK128" s="324"/>
      <c r="GL128" s="324"/>
      <c r="GM128" s="324"/>
      <c r="GN128" s="324"/>
      <c r="GO128" s="324"/>
      <c r="GP128" s="324"/>
      <c r="GQ128" s="324"/>
      <c r="GR128" s="324"/>
      <c r="GS128" s="324"/>
      <c r="GT128" s="324"/>
      <c r="GU128" s="324"/>
      <c r="GV128" s="324"/>
      <c r="GW128" s="324"/>
      <c r="GX128" s="324"/>
      <c r="GY128" s="324"/>
      <c r="GZ128" s="324"/>
      <c r="HA128" s="324"/>
      <c r="HB128" s="324"/>
      <c r="HC128" s="324"/>
      <c r="HD128" s="324"/>
      <c r="HE128" s="324"/>
      <c r="HF128" s="324"/>
      <c r="HG128" s="324"/>
      <c r="HH128" s="324"/>
      <c r="HI128" s="324"/>
      <c r="HJ128" s="324"/>
      <c r="HK128" s="324"/>
      <c r="HL128" s="324"/>
      <c r="HM128" s="324"/>
      <c r="HN128" s="324"/>
      <c r="HO128" s="324"/>
      <c r="HP128" s="324"/>
      <c r="HQ128" s="324"/>
      <c r="HR128" s="324"/>
      <c r="HS128" s="324"/>
      <c r="HT128" s="324"/>
      <c r="HU128" s="324"/>
      <c r="HV128" s="324"/>
      <c r="HW128" s="324"/>
      <c r="HX128" s="324"/>
      <c r="HY128" s="324"/>
      <c r="HZ128" s="324"/>
      <c r="IA128" s="324"/>
      <c r="IB128" s="324"/>
      <c r="IC128" s="324"/>
      <c r="ID128" s="324"/>
      <c r="IE128" s="324"/>
      <c r="IF128" s="324"/>
      <c r="IG128" s="324"/>
      <c r="IH128" s="324"/>
      <c r="II128" s="324"/>
      <c r="IJ128" s="324"/>
      <c r="IK128" s="324"/>
      <c r="IL128" s="324"/>
      <c r="IM128" s="324"/>
    </row>
    <row r="129" spans="1:247" x14ac:dyDescent="0.35">
      <c r="A129" s="356">
        <v>7120</v>
      </c>
      <c r="B129" s="357" t="s">
        <v>135</v>
      </c>
      <c r="C129" s="172" t="s">
        <v>8</v>
      </c>
      <c r="D129" s="358" t="s">
        <v>2053</v>
      </c>
      <c r="E129" s="336"/>
      <c r="F129" s="331">
        <f t="shared" si="0"/>
        <v>1.0209999999999999</v>
      </c>
      <c r="G129" s="337"/>
      <c r="H129" s="336"/>
      <c r="I129" s="338"/>
      <c r="J129" s="338"/>
      <c r="K129" s="338"/>
      <c r="L129" s="338"/>
      <c r="M129" s="338"/>
      <c r="N129" s="337"/>
      <c r="O129" s="339"/>
      <c r="P129" s="336"/>
      <c r="Q129" s="337"/>
      <c r="R129" s="340">
        <f t="shared" si="1"/>
        <v>1.0209999999999999</v>
      </c>
      <c r="S129" s="324"/>
      <c r="T129" s="324"/>
      <c r="U129" s="324"/>
      <c r="V129" s="324"/>
      <c r="W129" s="324"/>
      <c r="X129" s="324"/>
      <c r="Y129" s="324"/>
      <c r="Z129" s="324"/>
      <c r="AA129" s="324"/>
      <c r="AB129" s="324"/>
      <c r="AC129" s="324"/>
      <c r="AD129" s="324"/>
      <c r="AE129" s="324"/>
      <c r="AF129" s="324"/>
      <c r="AG129" s="324"/>
      <c r="AH129" s="324"/>
      <c r="AI129" s="324"/>
      <c r="AJ129" s="324"/>
      <c r="AK129" s="324"/>
      <c r="AL129" s="324"/>
      <c r="AM129" s="324"/>
      <c r="AN129" s="324"/>
      <c r="AO129" s="324"/>
      <c r="AP129" s="324"/>
      <c r="AQ129" s="324"/>
      <c r="AR129" s="324"/>
      <c r="AS129" s="324"/>
      <c r="AT129" s="324"/>
      <c r="AU129" s="324"/>
      <c r="AV129" s="324"/>
      <c r="AW129" s="324"/>
      <c r="AX129" s="324"/>
      <c r="AY129" s="324"/>
      <c r="AZ129" s="324"/>
      <c r="BA129" s="324"/>
      <c r="BB129" s="324"/>
      <c r="BC129" s="324"/>
      <c r="BD129" s="324"/>
      <c r="BE129" s="324"/>
      <c r="BF129" s="324"/>
      <c r="BG129" s="324"/>
      <c r="BH129" s="324"/>
      <c r="BI129" s="324"/>
      <c r="BJ129" s="324"/>
      <c r="BK129" s="324"/>
      <c r="BL129" s="324"/>
      <c r="BM129" s="324"/>
      <c r="BN129" s="324"/>
      <c r="BO129" s="324"/>
      <c r="BP129" s="324"/>
      <c r="BQ129" s="324"/>
      <c r="BR129" s="324"/>
      <c r="BS129" s="324"/>
      <c r="BT129" s="324"/>
      <c r="BU129" s="324"/>
      <c r="BV129" s="324"/>
      <c r="BW129" s="324"/>
      <c r="BX129" s="324"/>
      <c r="BY129" s="324"/>
      <c r="BZ129" s="324"/>
      <c r="CA129" s="324"/>
      <c r="CB129" s="324"/>
      <c r="CC129" s="324"/>
      <c r="CD129" s="324"/>
      <c r="CE129" s="324"/>
      <c r="CF129" s="324"/>
      <c r="CG129" s="324"/>
      <c r="CH129" s="324"/>
      <c r="CI129" s="324"/>
      <c r="CJ129" s="324"/>
      <c r="CK129" s="324"/>
      <c r="CL129" s="324"/>
      <c r="CM129" s="324"/>
      <c r="CN129" s="324"/>
      <c r="CO129" s="324"/>
      <c r="CP129" s="324"/>
      <c r="CQ129" s="324"/>
      <c r="CR129" s="324"/>
      <c r="CS129" s="324"/>
      <c r="CT129" s="324"/>
      <c r="CU129" s="324"/>
      <c r="CV129" s="324"/>
      <c r="CW129" s="324"/>
      <c r="CX129" s="324"/>
      <c r="CY129" s="324"/>
      <c r="CZ129" s="324"/>
      <c r="DA129" s="324"/>
      <c r="DB129" s="324"/>
      <c r="DC129" s="324"/>
      <c r="DD129" s="324"/>
      <c r="DE129" s="324"/>
      <c r="DF129" s="324"/>
      <c r="DG129" s="324"/>
      <c r="DH129" s="324"/>
      <c r="DI129" s="324"/>
      <c r="DJ129" s="324"/>
      <c r="DK129" s="324"/>
      <c r="DL129" s="324"/>
      <c r="DM129" s="324"/>
      <c r="DN129" s="324"/>
      <c r="DO129" s="324"/>
      <c r="DP129" s="324"/>
      <c r="DQ129" s="324"/>
      <c r="DR129" s="324"/>
      <c r="DS129" s="324"/>
      <c r="DT129" s="324"/>
      <c r="DU129" s="324"/>
      <c r="DV129" s="324"/>
      <c r="DW129" s="324"/>
      <c r="DX129" s="324"/>
      <c r="DY129" s="324"/>
      <c r="DZ129" s="324"/>
      <c r="EA129" s="324"/>
      <c r="EB129" s="324"/>
      <c r="EC129" s="324"/>
      <c r="ED129" s="324"/>
      <c r="EE129" s="324"/>
      <c r="EF129" s="324"/>
      <c r="EG129" s="324"/>
      <c r="EH129" s="324"/>
      <c r="EI129" s="324"/>
      <c r="EJ129" s="324"/>
      <c r="EK129" s="324"/>
      <c r="EL129" s="324"/>
      <c r="EM129" s="324"/>
      <c r="EN129" s="324"/>
      <c r="EO129" s="324"/>
      <c r="EP129" s="324"/>
      <c r="EQ129" s="324"/>
      <c r="ER129" s="324"/>
      <c r="ES129" s="324"/>
      <c r="ET129" s="324"/>
      <c r="EU129" s="324"/>
      <c r="EV129" s="324"/>
      <c r="EW129" s="324"/>
      <c r="EX129" s="324"/>
      <c r="EY129" s="324"/>
      <c r="EZ129" s="324"/>
      <c r="FA129" s="324"/>
      <c r="FB129" s="324"/>
      <c r="FC129" s="324"/>
      <c r="FD129" s="324"/>
      <c r="FE129" s="324"/>
      <c r="FF129" s="324"/>
      <c r="FG129" s="324"/>
      <c r="FH129" s="324"/>
      <c r="FI129" s="324"/>
      <c r="FJ129" s="324"/>
      <c r="FK129" s="324"/>
      <c r="FL129" s="324"/>
      <c r="FM129" s="324"/>
      <c r="FN129" s="324"/>
      <c r="FO129" s="324"/>
      <c r="FP129" s="324"/>
      <c r="FQ129" s="324"/>
      <c r="FR129" s="324"/>
      <c r="FS129" s="324"/>
      <c r="FT129" s="324"/>
      <c r="FU129" s="324"/>
      <c r="FV129" s="324"/>
      <c r="FW129" s="324"/>
      <c r="FX129" s="324"/>
      <c r="FY129" s="324"/>
      <c r="FZ129" s="324"/>
      <c r="GA129" s="324"/>
      <c r="GB129" s="324"/>
      <c r="GC129" s="324"/>
      <c r="GD129" s="324"/>
      <c r="GE129" s="324"/>
      <c r="GF129" s="324"/>
      <c r="GG129" s="324"/>
      <c r="GH129" s="324"/>
      <c r="GI129" s="324"/>
      <c r="GJ129" s="324"/>
      <c r="GK129" s="324"/>
      <c r="GL129" s="324"/>
      <c r="GM129" s="324"/>
      <c r="GN129" s="324"/>
      <c r="GO129" s="324"/>
      <c r="GP129" s="324"/>
      <c r="GQ129" s="324"/>
      <c r="GR129" s="324"/>
      <c r="GS129" s="324"/>
      <c r="GT129" s="324"/>
      <c r="GU129" s="324"/>
      <c r="GV129" s="324"/>
      <c r="GW129" s="324"/>
      <c r="GX129" s="324"/>
      <c r="GY129" s="324"/>
      <c r="GZ129" s="324"/>
      <c r="HA129" s="324"/>
      <c r="HB129" s="324"/>
      <c r="HC129" s="324"/>
      <c r="HD129" s="324"/>
      <c r="HE129" s="324"/>
      <c r="HF129" s="324"/>
      <c r="HG129" s="324"/>
      <c r="HH129" s="324"/>
      <c r="HI129" s="324"/>
      <c r="HJ129" s="324"/>
      <c r="HK129" s="324"/>
      <c r="HL129" s="324"/>
      <c r="HM129" s="324"/>
      <c r="HN129" s="324"/>
      <c r="HO129" s="324"/>
      <c r="HP129" s="324"/>
      <c r="HQ129" s="324"/>
      <c r="HR129" s="324"/>
      <c r="HS129" s="324"/>
      <c r="HT129" s="324"/>
      <c r="HU129" s="324"/>
      <c r="HV129" s="324"/>
      <c r="HW129" s="324"/>
      <c r="HX129" s="324"/>
      <c r="HY129" s="324"/>
      <c r="HZ129" s="324"/>
      <c r="IA129" s="324"/>
      <c r="IB129" s="324"/>
      <c r="IC129" s="324"/>
      <c r="ID129" s="324"/>
      <c r="IE129" s="324"/>
      <c r="IF129" s="324"/>
      <c r="IG129" s="324"/>
      <c r="IH129" s="324"/>
      <c r="II129" s="324"/>
      <c r="IJ129" s="324"/>
      <c r="IK129" s="324"/>
      <c r="IL129" s="324"/>
      <c r="IM129" s="324"/>
    </row>
    <row r="130" spans="1:247" x14ac:dyDescent="0.35">
      <c r="A130" s="356">
        <v>7130</v>
      </c>
      <c r="B130" s="357" t="s">
        <v>136</v>
      </c>
      <c r="C130" s="172" t="s">
        <v>3</v>
      </c>
      <c r="D130" s="358" t="s">
        <v>2052</v>
      </c>
      <c r="E130" s="336"/>
      <c r="F130" s="331">
        <f t="shared" si="0"/>
        <v>1.0209999999999999</v>
      </c>
      <c r="G130" s="337"/>
      <c r="H130" s="336"/>
      <c r="I130" s="338"/>
      <c r="J130" s="338"/>
      <c r="K130" s="338"/>
      <c r="L130" s="338"/>
      <c r="M130" s="338"/>
      <c r="N130" s="337"/>
      <c r="O130" s="339"/>
      <c r="P130" s="336"/>
      <c r="Q130" s="337"/>
      <c r="R130" s="340">
        <f t="shared" si="1"/>
        <v>1.0209999999999999</v>
      </c>
      <c r="S130" s="324"/>
      <c r="T130" s="324"/>
      <c r="U130" s="324"/>
      <c r="V130" s="324"/>
      <c r="W130" s="324"/>
      <c r="X130" s="324"/>
      <c r="Y130" s="324"/>
      <c r="Z130" s="324"/>
      <c r="AA130" s="324"/>
      <c r="AB130" s="324"/>
      <c r="AC130" s="324"/>
      <c r="AD130" s="324"/>
      <c r="AE130" s="324"/>
      <c r="AF130" s="324"/>
      <c r="AG130" s="324"/>
      <c r="AH130" s="324"/>
      <c r="AI130" s="324"/>
      <c r="AJ130" s="324"/>
      <c r="AK130" s="324"/>
      <c r="AL130" s="324"/>
      <c r="AM130" s="324"/>
      <c r="AN130" s="324"/>
      <c r="AO130" s="324"/>
      <c r="AP130" s="324"/>
      <c r="AQ130" s="324"/>
      <c r="AR130" s="324"/>
      <c r="AS130" s="324"/>
      <c r="AT130" s="324"/>
      <c r="AU130" s="324"/>
      <c r="AV130" s="324"/>
      <c r="AW130" s="324"/>
      <c r="AX130" s="324"/>
      <c r="AY130" s="324"/>
      <c r="AZ130" s="324"/>
      <c r="BA130" s="324"/>
      <c r="BB130" s="324"/>
      <c r="BC130" s="324"/>
      <c r="BD130" s="324"/>
      <c r="BE130" s="324"/>
      <c r="BF130" s="324"/>
      <c r="BG130" s="324"/>
      <c r="BH130" s="324"/>
      <c r="BI130" s="324"/>
      <c r="BJ130" s="324"/>
      <c r="BK130" s="324"/>
      <c r="BL130" s="324"/>
      <c r="BM130" s="324"/>
      <c r="BN130" s="324"/>
      <c r="BO130" s="324"/>
      <c r="BP130" s="324"/>
      <c r="BQ130" s="324"/>
      <c r="BR130" s="324"/>
      <c r="BS130" s="324"/>
      <c r="BT130" s="324"/>
      <c r="BU130" s="324"/>
      <c r="BV130" s="324"/>
      <c r="BW130" s="324"/>
      <c r="BX130" s="324"/>
      <c r="BY130" s="324"/>
      <c r="BZ130" s="324"/>
      <c r="CA130" s="324"/>
      <c r="CB130" s="324"/>
      <c r="CC130" s="324"/>
      <c r="CD130" s="324"/>
      <c r="CE130" s="324"/>
      <c r="CF130" s="324"/>
      <c r="CG130" s="324"/>
      <c r="CH130" s="324"/>
      <c r="CI130" s="324"/>
      <c r="CJ130" s="324"/>
      <c r="CK130" s="324"/>
      <c r="CL130" s="324"/>
      <c r="CM130" s="324"/>
      <c r="CN130" s="324"/>
      <c r="CO130" s="324"/>
      <c r="CP130" s="324"/>
      <c r="CQ130" s="324"/>
      <c r="CR130" s="324"/>
      <c r="CS130" s="324"/>
      <c r="CT130" s="324"/>
      <c r="CU130" s="324"/>
      <c r="CV130" s="324"/>
      <c r="CW130" s="324"/>
      <c r="CX130" s="324"/>
      <c r="CY130" s="324"/>
      <c r="CZ130" s="324"/>
      <c r="DA130" s="324"/>
      <c r="DB130" s="324"/>
      <c r="DC130" s="324"/>
      <c r="DD130" s="324"/>
      <c r="DE130" s="324"/>
      <c r="DF130" s="324"/>
      <c r="DG130" s="324"/>
      <c r="DH130" s="324"/>
      <c r="DI130" s="324"/>
      <c r="DJ130" s="324"/>
      <c r="DK130" s="324"/>
      <c r="DL130" s="324"/>
      <c r="DM130" s="324"/>
      <c r="DN130" s="324"/>
      <c r="DO130" s="324"/>
      <c r="DP130" s="324"/>
      <c r="DQ130" s="324"/>
      <c r="DR130" s="324"/>
      <c r="DS130" s="324"/>
      <c r="DT130" s="324"/>
      <c r="DU130" s="324"/>
      <c r="DV130" s="324"/>
      <c r="DW130" s="324"/>
      <c r="DX130" s="324"/>
      <c r="DY130" s="324"/>
      <c r="DZ130" s="324"/>
      <c r="EA130" s="324"/>
      <c r="EB130" s="324"/>
      <c r="EC130" s="324"/>
      <c r="ED130" s="324"/>
      <c r="EE130" s="324"/>
      <c r="EF130" s="324"/>
      <c r="EG130" s="324"/>
      <c r="EH130" s="324"/>
      <c r="EI130" s="324"/>
      <c r="EJ130" s="324"/>
      <c r="EK130" s="324"/>
      <c r="EL130" s="324"/>
      <c r="EM130" s="324"/>
      <c r="EN130" s="324"/>
      <c r="EO130" s="324"/>
      <c r="EP130" s="324"/>
      <c r="EQ130" s="324"/>
      <c r="ER130" s="324"/>
      <c r="ES130" s="324"/>
      <c r="ET130" s="324"/>
      <c r="EU130" s="324"/>
      <c r="EV130" s="324"/>
      <c r="EW130" s="324"/>
      <c r="EX130" s="324"/>
      <c r="EY130" s="324"/>
      <c r="EZ130" s="324"/>
      <c r="FA130" s="324"/>
      <c r="FB130" s="324"/>
      <c r="FC130" s="324"/>
      <c r="FD130" s="324"/>
      <c r="FE130" s="324"/>
      <c r="FF130" s="324"/>
      <c r="FG130" s="324"/>
      <c r="FH130" s="324"/>
      <c r="FI130" s="324"/>
      <c r="FJ130" s="324"/>
      <c r="FK130" s="324"/>
      <c r="FL130" s="324"/>
      <c r="FM130" s="324"/>
      <c r="FN130" s="324"/>
      <c r="FO130" s="324"/>
      <c r="FP130" s="324"/>
      <c r="FQ130" s="324"/>
      <c r="FR130" s="324"/>
      <c r="FS130" s="324"/>
      <c r="FT130" s="324"/>
      <c r="FU130" s="324"/>
      <c r="FV130" s="324"/>
      <c r="FW130" s="324"/>
      <c r="FX130" s="324"/>
      <c r="FY130" s="324"/>
      <c r="FZ130" s="324"/>
      <c r="GA130" s="324"/>
      <c r="GB130" s="324"/>
      <c r="GC130" s="324"/>
      <c r="GD130" s="324"/>
      <c r="GE130" s="324"/>
      <c r="GF130" s="324"/>
      <c r="GG130" s="324"/>
      <c r="GH130" s="324"/>
      <c r="GI130" s="324"/>
      <c r="GJ130" s="324"/>
      <c r="GK130" s="324"/>
      <c r="GL130" s="324"/>
      <c r="GM130" s="324"/>
      <c r="GN130" s="324"/>
      <c r="GO130" s="324"/>
      <c r="GP130" s="324"/>
      <c r="GQ130" s="324"/>
      <c r="GR130" s="324"/>
      <c r="GS130" s="324"/>
      <c r="GT130" s="324"/>
      <c r="GU130" s="324"/>
      <c r="GV130" s="324"/>
      <c r="GW130" s="324"/>
      <c r="GX130" s="324"/>
      <c r="GY130" s="324"/>
      <c r="GZ130" s="324"/>
      <c r="HA130" s="324"/>
      <c r="HB130" s="324"/>
      <c r="HC130" s="324"/>
      <c r="HD130" s="324"/>
      <c r="HE130" s="324"/>
      <c r="HF130" s="324"/>
      <c r="HG130" s="324"/>
      <c r="HH130" s="324"/>
      <c r="HI130" s="324"/>
      <c r="HJ130" s="324"/>
      <c r="HK130" s="324"/>
      <c r="HL130" s="324"/>
      <c r="HM130" s="324"/>
      <c r="HN130" s="324"/>
      <c r="HO130" s="324"/>
      <c r="HP130" s="324"/>
      <c r="HQ130" s="324"/>
      <c r="HR130" s="324"/>
      <c r="HS130" s="324"/>
      <c r="HT130" s="324"/>
      <c r="HU130" s="324"/>
      <c r="HV130" s="324"/>
      <c r="HW130" s="324"/>
      <c r="HX130" s="324"/>
      <c r="HY130" s="324"/>
      <c r="HZ130" s="324"/>
      <c r="IA130" s="324"/>
      <c r="IB130" s="324"/>
      <c r="IC130" s="324"/>
      <c r="ID130" s="324"/>
      <c r="IE130" s="324"/>
      <c r="IF130" s="324"/>
      <c r="IG130" s="324"/>
      <c r="IH130" s="324"/>
      <c r="II130" s="324"/>
      <c r="IJ130" s="324"/>
      <c r="IK130" s="324"/>
      <c r="IL130" s="324"/>
      <c r="IM130" s="324"/>
    </row>
    <row r="131" spans="1:247" x14ac:dyDescent="0.35">
      <c r="A131" s="356">
        <v>7141</v>
      </c>
      <c r="B131" s="357" t="s">
        <v>137</v>
      </c>
      <c r="C131" s="172" t="s">
        <v>8</v>
      </c>
      <c r="D131" s="358" t="s">
        <v>2053</v>
      </c>
      <c r="E131" s="336"/>
      <c r="F131" s="331">
        <f t="shared" ref="F131:F199" si="29">+$F$3</f>
        <v>1.0209999999999999</v>
      </c>
      <c r="G131" s="337"/>
      <c r="H131" s="336"/>
      <c r="I131" s="338"/>
      <c r="J131" s="338"/>
      <c r="K131" s="338"/>
      <c r="L131" s="338"/>
      <c r="M131" s="338"/>
      <c r="N131" s="337"/>
      <c r="O131" s="339"/>
      <c r="P131" s="336">
        <f>+$P$3</f>
        <v>1.032</v>
      </c>
      <c r="Q131" s="337">
        <f>+$Q$3</f>
        <v>1.0349999999999999</v>
      </c>
      <c r="R131" s="340">
        <f t="shared" ref="R131:R199" si="30">PRODUCT(E131:Q131)</f>
        <v>1.0905505199999999</v>
      </c>
      <c r="S131" s="324"/>
      <c r="T131" s="324"/>
      <c r="U131" s="324"/>
      <c r="V131" s="324"/>
      <c r="W131" s="324"/>
      <c r="X131" s="324"/>
      <c r="Y131" s="324"/>
      <c r="Z131" s="324"/>
      <c r="AA131" s="324"/>
      <c r="AB131" s="324"/>
      <c r="AC131" s="324"/>
      <c r="AD131" s="324"/>
      <c r="AE131" s="324"/>
      <c r="AF131" s="324"/>
      <c r="AG131" s="324"/>
      <c r="AH131" s="324"/>
      <c r="AI131" s="324"/>
      <c r="AJ131" s="324"/>
      <c r="AK131" s="324"/>
      <c r="AL131" s="324"/>
      <c r="AM131" s="324"/>
      <c r="AN131" s="324"/>
      <c r="AO131" s="324"/>
      <c r="AP131" s="324"/>
      <c r="AQ131" s="324"/>
      <c r="AR131" s="324"/>
      <c r="AS131" s="324"/>
      <c r="AT131" s="324"/>
      <c r="AU131" s="324"/>
      <c r="AV131" s="324"/>
      <c r="AW131" s="324"/>
      <c r="AX131" s="324"/>
      <c r="AY131" s="324"/>
      <c r="AZ131" s="324"/>
      <c r="BA131" s="324"/>
      <c r="BB131" s="324"/>
      <c r="BC131" s="324"/>
      <c r="BD131" s="324"/>
      <c r="BE131" s="324"/>
      <c r="BF131" s="324"/>
      <c r="BG131" s="324"/>
      <c r="BH131" s="324"/>
      <c r="BI131" s="324"/>
      <c r="BJ131" s="324"/>
      <c r="BK131" s="324"/>
      <c r="BL131" s="324"/>
      <c r="BM131" s="324"/>
      <c r="BN131" s="324"/>
      <c r="BO131" s="324"/>
      <c r="BP131" s="324"/>
      <c r="BQ131" s="324"/>
      <c r="BR131" s="324"/>
      <c r="BS131" s="324"/>
      <c r="BT131" s="324"/>
      <c r="BU131" s="324"/>
      <c r="BV131" s="324"/>
      <c r="BW131" s="324"/>
      <c r="BX131" s="324"/>
      <c r="BY131" s="324"/>
      <c r="BZ131" s="324"/>
      <c r="CA131" s="324"/>
      <c r="CB131" s="324"/>
      <c r="CC131" s="324"/>
      <c r="CD131" s="324"/>
      <c r="CE131" s="324"/>
      <c r="CF131" s="324"/>
      <c r="CG131" s="324"/>
      <c r="CH131" s="324"/>
      <c r="CI131" s="324"/>
      <c r="CJ131" s="324"/>
      <c r="CK131" s="324"/>
      <c r="CL131" s="324"/>
      <c r="CM131" s="324"/>
      <c r="CN131" s="324"/>
      <c r="CO131" s="324"/>
      <c r="CP131" s="324"/>
      <c r="CQ131" s="324"/>
      <c r="CR131" s="324"/>
      <c r="CS131" s="324"/>
      <c r="CT131" s="324"/>
      <c r="CU131" s="324"/>
      <c r="CV131" s="324"/>
      <c r="CW131" s="324"/>
      <c r="CX131" s="324"/>
      <c r="CY131" s="324"/>
      <c r="CZ131" s="324"/>
      <c r="DA131" s="324"/>
      <c r="DB131" s="324"/>
      <c r="DC131" s="324"/>
      <c r="DD131" s="324"/>
      <c r="DE131" s="324"/>
      <c r="DF131" s="324"/>
      <c r="DG131" s="324"/>
      <c r="DH131" s="324"/>
      <c r="DI131" s="324"/>
      <c r="DJ131" s="324"/>
      <c r="DK131" s="324"/>
      <c r="DL131" s="324"/>
      <c r="DM131" s="324"/>
      <c r="DN131" s="324"/>
      <c r="DO131" s="324"/>
      <c r="DP131" s="324"/>
      <c r="DQ131" s="324"/>
      <c r="DR131" s="324"/>
      <c r="DS131" s="324"/>
      <c r="DT131" s="324"/>
      <c r="DU131" s="324"/>
      <c r="DV131" s="324"/>
      <c r="DW131" s="324"/>
      <c r="DX131" s="324"/>
      <c r="DY131" s="324"/>
      <c r="DZ131" s="324"/>
      <c r="EA131" s="324"/>
      <c r="EB131" s="324"/>
      <c r="EC131" s="324"/>
      <c r="ED131" s="324"/>
      <c r="EE131" s="324"/>
      <c r="EF131" s="324"/>
      <c r="EG131" s="324"/>
      <c r="EH131" s="324"/>
      <c r="EI131" s="324"/>
      <c r="EJ131" s="324"/>
      <c r="EK131" s="324"/>
      <c r="EL131" s="324"/>
      <c r="EM131" s="324"/>
      <c r="EN131" s="324"/>
      <c r="EO131" s="324"/>
      <c r="EP131" s="324"/>
      <c r="EQ131" s="324"/>
      <c r="ER131" s="324"/>
      <c r="ES131" s="324"/>
      <c r="ET131" s="324"/>
      <c r="EU131" s="324"/>
      <c r="EV131" s="324"/>
      <c r="EW131" s="324"/>
      <c r="EX131" s="324"/>
      <c r="EY131" s="324"/>
      <c r="EZ131" s="324"/>
      <c r="FA131" s="324"/>
      <c r="FB131" s="324"/>
      <c r="FC131" s="324"/>
      <c r="FD131" s="324"/>
      <c r="FE131" s="324"/>
      <c r="FF131" s="324"/>
      <c r="FG131" s="324"/>
      <c r="FH131" s="324"/>
      <c r="FI131" s="324"/>
      <c r="FJ131" s="324"/>
      <c r="FK131" s="324"/>
      <c r="FL131" s="324"/>
      <c r="FM131" s="324"/>
      <c r="FN131" s="324"/>
      <c r="FO131" s="324"/>
      <c r="FP131" s="324"/>
      <c r="FQ131" s="324"/>
      <c r="FR131" s="324"/>
      <c r="FS131" s="324"/>
      <c r="FT131" s="324"/>
      <c r="FU131" s="324"/>
      <c r="FV131" s="324"/>
      <c r="FW131" s="324"/>
      <c r="FX131" s="324"/>
      <c r="FY131" s="324"/>
      <c r="FZ131" s="324"/>
      <c r="GA131" s="324"/>
      <c r="GB131" s="324"/>
      <c r="GC131" s="324"/>
      <c r="GD131" s="324"/>
      <c r="GE131" s="324"/>
      <c r="GF131" s="324"/>
      <c r="GG131" s="324"/>
      <c r="GH131" s="324"/>
      <c r="GI131" s="324"/>
      <c r="GJ131" s="324"/>
      <c r="GK131" s="324"/>
      <c r="GL131" s="324"/>
      <c r="GM131" s="324"/>
      <c r="GN131" s="324"/>
      <c r="GO131" s="324"/>
      <c r="GP131" s="324"/>
      <c r="GQ131" s="324"/>
      <c r="GR131" s="324"/>
      <c r="GS131" s="324"/>
      <c r="GT131" s="324"/>
      <c r="GU131" s="324"/>
      <c r="GV131" s="324"/>
      <c r="GW131" s="324"/>
      <c r="GX131" s="324"/>
      <c r="GY131" s="324"/>
      <c r="GZ131" s="324"/>
      <c r="HA131" s="324"/>
      <c r="HB131" s="324"/>
      <c r="HC131" s="324"/>
      <c r="HD131" s="324"/>
      <c r="HE131" s="324"/>
      <c r="HF131" s="324"/>
      <c r="HG131" s="324"/>
      <c r="HH131" s="324"/>
      <c r="HI131" s="324"/>
      <c r="HJ131" s="324"/>
      <c r="HK131" s="324"/>
      <c r="HL131" s="324"/>
      <c r="HM131" s="324"/>
      <c r="HN131" s="324"/>
      <c r="HO131" s="324"/>
      <c r="HP131" s="324"/>
      <c r="HQ131" s="324"/>
      <c r="HR131" s="324"/>
      <c r="HS131" s="324"/>
      <c r="HT131" s="324"/>
      <c r="HU131" s="324"/>
      <c r="HV131" s="324"/>
      <c r="HW131" s="324"/>
      <c r="HX131" s="324"/>
      <c r="HY131" s="324"/>
      <c r="HZ131" s="324"/>
      <c r="IA131" s="324"/>
      <c r="IB131" s="324"/>
      <c r="IC131" s="324"/>
      <c r="ID131" s="324"/>
      <c r="IE131" s="324"/>
      <c r="IF131" s="324"/>
      <c r="IG131" s="324"/>
      <c r="IH131" s="324"/>
      <c r="II131" s="324"/>
      <c r="IJ131" s="324"/>
      <c r="IK131" s="324"/>
      <c r="IL131" s="324"/>
      <c r="IM131" s="324"/>
    </row>
    <row r="132" spans="1:247" x14ac:dyDescent="0.35">
      <c r="A132" s="356">
        <v>7142</v>
      </c>
      <c r="B132" s="357" t="s">
        <v>138</v>
      </c>
      <c r="C132" s="172" t="s">
        <v>8</v>
      </c>
      <c r="D132" s="358" t="s">
        <v>2053</v>
      </c>
      <c r="E132" s="336"/>
      <c r="F132" s="331">
        <f t="shared" si="29"/>
        <v>1.0209999999999999</v>
      </c>
      <c r="G132" s="337"/>
      <c r="H132" s="336"/>
      <c r="I132" s="338"/>
      <c r="J132" s="338"/>
      <c r="K132" s="338"/>
      <c r="L132" s="338"/>
      <c r="M132" s="338"/>
      <c r="N132" s="337"/>
      <c r="O132" s="339"/>
      <c r="P132" s="336"/>
      <c r="Q132" s="337"/>
      <c r="R132" s="340">
        <f t="shared" si="30"/>
        <v>1.0209999999999999</v>
      </c>
      <c r="S132" s="324"/>
      <c r="T132" s="324"/>
      <c r="U132" s="324"/>
      <c r="V132" s="324"/>
      <c r="W132" s="324"/>
      <c r="X132" s="324"/>
      <c r="Y132" s="324"/>
      <c r="Z132" s="324"/>
      <c r="AA132" s="324"/>
      <c r="AB132" s="324"/>
      <c r="AC132" s="324"/>
      <c r="AD132" s="324"/>
      <c r="AE132" s="324"/>
      <c r="AF132" s="324"/>
      <c r="AG132" s="324"/>
      <c r="AH132" s="324"/>
      <c r="AI132" s="324"/>
      <c r="AJ132" s="324"/>
      <c r="AK132" s="324"/>
      <c r="AL132" s="324"/>
      <c r="AM132" s="324"/>
      <c r="AN132" s="324"/>
      <c r="AO132" s="324"/>
      <c r="AP132" s="324"/>
      <c r="AQ132" s="324"/>
      <c r="AR132" s="324"/>
      <c r="AS132" s="324"/>
      <c r="AT132" s="324"/>
      <c r="AU132" s="324"/>
      <c r="AV132" s="324"/>
      <c r="AW132" s="324"/>
      <c r="AX132" s="324"/>
      <c r="AY132" s="324"/>
      <c r="AZ132" s="324"/>
      <c r="BA132" s="324"/>
      <c r="BB132" s="324"/>
      <c r="BC132" s="324"/>
      <c r="BD132" s="324"/>
      <c r="BE132" s="324"/>
      <c r="BF132" s="324"/>
      <c r="BG132" s="324"/>
      <c r="BH132" s="324"/>
      <c r="BI132" s="324"/>
      <c r="BJ132" s="324"/>
      <c r="BK132" s="324"/>
      <c r="BL132" s="324"/>
      <c r="BM132" s="324"/>
      <c r="BN132" s="324"/>
      <c r="BO132" s="324"/>
      <c r="BP132" s="324"/>
      <c r="BQ132" s="324"/>
      <c r="BR132" s="324"/>
      <c r="BS132" s="324"/>
      <c r="BT132" s="324"/>
      <c r="BU132" s="324"/>
      <c r="BV132" s="324"/>
      <c r="BW132" s="324"/>
      <c r="BX132" s="324"/>
      <c r="BY132" s="324"/>
      <c r="BZ132" s="324"/>
      <c r="CA132" s="324"/>
      <c r="CB132" s="324"/>
      <c r="CC132" s="324"/>
      <c r="CD132" s="324"/>
      <c r="CE132" s="324"/>
      <c r="CF132" s="324"/>
      <c r="CG132" s="324"/>
      <c r="CH132" s="324"/>
      <c r="CI132" s="324"/>
      <c r="CJ132" s="324"/>
      <c r="CK132" s="324"/>
      <c r="CL132" s="324"/>
      <c r="CM132" s="324"/>
      <c r="CN132" s="324"/>
      <c r="CO132" s="324"/>
      <c r="CP132" s="324"/>
      <c r="CQ132" s="324"/>
      <c r="CR132" s="324"/>
      <c r="CS132" s="324"/>
      <c r="CT132" s="324"/>
      <c r="CU132" s="324"/>
      <c r="CV132" s="324"/>
      <c r="CW132" s="324"/>
      <c r="CX132" s="324"/>
      <c r="CY132" s="324"/>
      <c r="CZ132" s="324"/>
      <c r="DA132" s="324"/>
      <c r="DB132" s="324"/>
      <c r="DC132" s="324"/>
      <c r="DD132" s="324"/>
      <c r="DE132" s="324"/>
      <c r="DF132" s="324"/>
      <c r="DG132" s="324"/>
      <c r="DH132" s="324"/>
      <c r="DI132" s="324"/>
      <c r="DJ132" s="324"/>
      <c r="DK132" s="324"/>
      <c r="DL132" s="324"/>
      <c r="DM132" s="324"/>
      <c r="DN132" s="324"/>
      <c r="DO132" s="324"/>
      <c r="DP132" s="324"/>
      <c r="DQ132" s="324"/>
      <c r="DR132" s="324"/>
      <c r="DS132" s="324"/>
      <c r="DT132" s="324"/>
      <c r="DU132" s="324"/>
      <c r="DV132" s="324"/>
      <c r="DW132" s="324"/>
      <c r="DX132" s="324"/>
      <c r="DY132" s="324"/>
      <c r="DZ132" s="324"/>
      <c r="EA132" s="324"/>
      <c r="EB132" s="324"/>
      <c r="EC132" s="324"/>
      <c r="ED132" s="324"/>
      <c r="EE132" s="324"/>
      <c r="EF132" s="324"/>
      <c r="EG132" s="324"/>
      <c r="EH132" s="324"/>
      <c r="EI132" s="324"/>
      <c r="EJ132" s="324"/>
      <c r="EK132" s="324"/>
      <c r="EL132" s="324"/>
      <c r="EM132" s="324"/>
      <c r="EN132" s="324"/>
      <c r="EO132" s="324"/>
      <c r="EP132" s="324"/>
      <c r="EQ132" s="324"/>
      <c r="ER132" s="324"/>
      <c r="ES132" s="324"/>
      <c r="ET132" s="324"/>
      <c r="EU132" s="324"/>
      <c r="EV132" s="324"/>
      <c r="EW132" s="324"/>
      <c r="EX132" s="324"/>
      <c r="EY132" s="324"/>
      <c r="EZ132" s="324"/>
      <c r="FA132" s="324"/>
      <c r="FB132" s="324"/>
      <c r="FC132" s="324"/>
      <c r="FD132" s="324"/>
      <c r="FE132" s="324"/>
      <c r="FF132" s="324"/>
      <c r="FG132" s="324"/>
      <c r="FH132" s="324"/>
      <c r="FI132" s="324"/>
      <c r="FJ132" s="324"/>
      <c r="FK132" s="324"/>
      <c r="FL132" s="324"/>
      <c r="FM132" s="324"/>
      <c r="FN132" s="324"/>
      <c r="FO132" s="324"/>
      <c r="FP132" s="324"/>
      <c r="FQ132" s="324"/>
      <c r="FR132" s="324"/>
      <c r="FS132" s="324"/>
      <c r="FT132" s="324"/>
      <c r="FU132" s="324"/>
      <c r="FV132" s="324"/>
      <c r="FW132" s="324"/>
      <c r="FX132" s="324"/>
      <c r="FY132" s="324"/>
      <c r="FZ132" s="324"/>
      <c r="GA132" s="324"/>
      <c r="GB132" s="324"/>
      <c r="GC132" s="324"/>
      <c r="GD132" s="324"/>
      <c r="GE132" s="324"/>
      <c r="GF132" s="324"/>
      <c r="GG132" s="324"/>
      <c r="GH132" s="324"/>
      <c r="GI132" s="324"/>
      <c r="GJ132" s="324"/>
      <c r="GK132" s="324"/>
      <c r="GL132" s="324"/>
      <c r="GM132" s="324"/>
      <c r="GN132" s="324"/>
      <c r="GO132" s="324"/>
      <c r="GP132" s="324"/>
      <c r="GQ132" s="324"/>
      <c r="GR132" s="324"/>
      <c r="GS132" s="324"/>
      <c r="GT132" s="324"/>
      <c r="GU132" s="324"/>
      <c r="GV132" s="324"/>
      <c r="GW132" s="324"/>
      <c r="GX132" s="324"/>
      <c r="GY132" s="324"/>
      <c r="GZ132" s="324"/>
      <c r="HA132" s="324"/>
      <c r="HB132" s="324"/>
      <c r="HC132" s="324"/>
      <c r="HD132" s="324"/>
      <c r="HE132" s="324"/>
      <c r="HF132" s="324"/>
      <c r="HG132" s="324"/>
      <c r="HH132" s="324"/>
      <c r="HI132" s="324"/>
      <c r="HJ132" s="324"/>
      <c r="HK132" s="324"/>
      <c r="HL132" s="324"/>
      <c r="HM132" s="324"/>
      <c r="HN132" s="324"/>
      <c r="HO132" s="324"/>
      <c r="HP132" s="324"/>
      <c r="HQ132" s="324"/>
      <c r="HR132" s="324"/>
      <c r="HS132" s="324"/>
      <c r="HT132" s="324"/>
      <c r="HU132" s="324"/>
      <c r="HV132" s="324"/>
      <c r="HW132" s="324"/>
      <c r="HX132" s="324"/>
      <c r="HY132" s="324"/>
      <c r="HZ132" s="324"/>
      <c r="IA132" s="324"/>
      <c r="IB132" s="324"/>
      <c r="IC132" s="324"/>
      <c r="ID132" s="324"/>
      <c r="IE132" s="324"/>
      <c r="IF132" s="324"/>
      <c r="IG132" s="324"/>
      <c r="IH132" s="324"/>
      <c r="II132" s="324"/>
      <c r="IJ132" s="324"/>
      <c r="IK132" s="324"/>
      <c r="IL132" s="324"/>
      <c r="IM132" s="324"/>
    </row>
    <row r="133" spans="1:247" x14ac:dyDescent="0.35">
      <c r="A133" s="356">
        <v>7143</v>
      </c>
      <c r="B133" s="357" t="s">
        <v>139</v>
      </c>
      <c r="C133" s="172" t="s">
        <v>8</v>
      </c>
      <c r="D133" s="358" t="s">
        <v>2053</v>
      </c>
      <c r="E133" s="336"/>
      <c r="F133" s="331">
        <f t="shared" si="29"/>
        <v>1.0209999999999999</v>
      </c>
      <c r="G133" s="337"/>
      <c r="H133" s="336"/>
      <c r="I133" s="338"/>
      <c r="J133" s="338"/>
      <c r="K133" s="338"/>
      <c r="L133" s="338"/>
      <c r="M133" s="338"/>
      <c r="N133" s="337"/>
      <c r="O133" s="339"/>
      <c r="P133" s="336"/>
      <c r="Q133" s="337"/>
      <c r="R133" s="340">
        <f t="shared" si="30"/>
        <v>1.0209999999999999</v>
      </c>
      <c r="S133" s="324"/>
      <c r="T133" s="324"/>
      <c r="U133" s="324"/>
      <c r="V133" s="324"/>
      <c r="W133" s="324"/>
      <c r="X133" s="324"/>
      <c r="Y133" s="324"/>
      <c r="Z133" s="324"/>
      <c r="AA133" s="324"/>
      <c r="AB133" s="324"/>
      <c r="AC133" s="324"/>
      <c r="AD133" s="324"/>
      <c r="AE133" s="324"/>
      <c r="AF133" s="324"/>
      <c r="AG133" s="324"/>
      <c r="AH133" s="324"/>
      <c r="AI133" s="324"/>
      <c r="AJ133" s="324"/>
      <c r="AK133" s="324"/>
      <c r="AL133" s="324"/>
      <c r="AM133" s="324"/>
      <c r="AN133" s="324"/>
      <c r="AO133" s="324"/>
      <c r="AP133" s="324"/>
      <c r="AQ133" s="324"/>
      <c r="AR133" s="324"/>
      <c r="AS133" s="324"/>
      <c r="AT133" s="324"/>
      <c r="AU133" s="324"/>
      <c r="AV133" s="324"/>
      <c r="AW133" s="324"/>
      <c r="AX133" s="324"/>
      <c r="AY133" s="324"/>
      <c r="AZ133" s="324"/>
      <c r="BA133" s="324"/>
      <c r="BB133" s="324"/>
      <c r="BC133" s="324"/>
      <c r="BD133" s="324"/>
      <c r="BE133" s="324"/>
      <c r="BF133" s="324"/>
      <c r="BG133" s="324"/>
      <c r="BH133" s="324"/>
      <c r="BI133" s="324"/>
      <c r="BJ133" s="324"/>
      <c r="BK133" s="324"/>
      <c r="BL133" s="324"/>
      <c r="BM133" s="324"/>
      <c r="BN133" s="324"/>
      <c r="BO133" s="324"/>
      <c r="BP133" s="324"/>
      <c r="BQ133" s="324"/>
      <c r="BR133" s="324"/>
      <c r="BS133" s="324"/>
      <c r="BT133" s="324"/>
      <c r="BU133" s="324"/>
      <c r="BV133" s="324"/>
      <c r="BW133" s="324"/>
      <c r="BX133" s="324"/>
      <c r="BY133" s="324"/>
      <c r="BZ133" s="324"/>
      <c r="CA133" s="324"/>
      <c r="CB133" s="324"/>
      <c r="CC133" s="324"/>
      <c r="CD133" s="324"/>
      <c r="CE133" s="324"/>
      <c r="CF133" s="324"/>
      <c r="CG133" s="324"/>
      <c r="CH133" s="324"/>
      <c r="CI133" s="324"/>
      <c r="CJ133" s="324"/>
      <c r="CK133" s="324"/>
      <c r="CL133" s="324"/>
      <c r="CM133" s="324"/>
      <c r="CN133" s="324"/>
      <c r="CO133" s="324"/>
      <c r="CP133" s="324"/>
      <c r="CQ133" s="324"/>
      <c r="CR133" s="324"/>
      <c r="CS133" s="324"/>
      <c r="CT133" s="324"/>
      <c r="CU133" s="324"/>
      <c r="CV133" s="324"/>
      <c r="CW133" s="324"/>
      <c r="CX133" s="324"/>
      <c r="CY133" s="324"/>
      <c r="CZ133" s="324"/>
      <c r="DA133" s="324"/>
      <c r="DB133" s="324"/>
      <c r="DC133" s="324"/>
      <c r="DD133" s="324"/>
      <c r="DE133" s="324"/>
      <c r="DF133" s="324"/>
      <c r="DG133" s="324"/>
      <c r="DH133" s="324"/>
      <c r="DI133" s="324"/>
      <c r="DJ133" s="324"/>
      <c r="DK133" s="324"/>
      <c r="DL133" s="324"/>
      <c r="DM133" s="324"/>
      <c r="DN133" s="324"/>
      <c r="DO133" s="324"/>
      <c r="DP133" s="324"/>
      <c r="DQ133" s="324"/>
      <c r="DR133" s="324"/>
      <c r="DS133" s="324"/>
      <c r="DT133" s="324"/>
      <c r="DU133" s="324"/>
      <c r="DV133" s="324"/>
      <c r="DW133" s="324"/>
      <c r="DX133" s="324"/>
      <c r="DY133" s="324"/>
      <c r="DZ133" s="324"/>
      <c r="EA133" s="324"/>
      <c r="EB133" s="324"/>
      <c r="EC133" s="324"/>
      <c r="ED133" s="324"/>
      <c r="EE133" s="324"/>
      <c r="EF133" s="324"/>
      <c r="EG133" s="324"/>
      <c r="EH133" s="324"/>
      <c r="EI133" s="324"/>
      <c r="EJ133" s="324"/>
      <c r="EK133" s="324"/>
      <c r="EL133" s="324"/>
      <c r="EM133" s="324"/>
      <c r="EN133" s="324"/>
      <c r="EO133" s="324"/>
      <c r="EP133" s="324"/>
      <c r="EQ133" s="324"/>
      <c r="ER133" s="324"/>
      <c r="ES133" s="324"/>
      <c r="ET133" s="324"/>
      <c r="EU133" s="324"/>
      <c r="EV133" s="324"/>
      <c r="EW133" s="324"/>
      <c r="EX133" s="324"/>
      <c r="EY133" s="324"/>
      <c r="EZ133" s="324"/>
      <c r="FA133" s="324"/>
      <c r="FB133" s="324"/>
      <c r="FC133" s="324"/>
      <c r="FD133" s="324"/>
      <c r="FE133" s="324"/>
      <c r="FF133" s="324"/>
      <c r="FG133" s="324"/>
      <c r="FH133" s="324"/>
      <c r="FI133" s="324"/>
      <c r="FJ133" s="324"/>
      <c r="FK133" s="324"/>
      <c r="FL133" s="324"/>
      <c r="FM133" s="324"/>
      <c r="FN133" s="324"/>
      <c r="FO133" s="324"/>
      <c r="FP133" s="324"/>
      <c r="FQ133" s="324"/>
      <c r="FR133" s="324"/>
      <c r="FS133" s="324"/>
      <c r="FT133" s="324"/>
      <c r="FU133" s="324"/>
      <c r="FV133" s="324"/>
      <c r="FW133" s="324"/>
      <c r="FX133" s="324"/>
      <c r="FY133" s="324"/>
      <c r="FZ133" s="324"/>
      <c r="GA133" s="324"/>
      <c r="GB133" s="324"/>
      <c r="GC133" s="324"/>
      <c r="GD133" s="324"/>
      <c r="GE133" s="324"/>
      <c r="GF133" s="324"/>
      <c r="GG133" s="324"/>
      <c r="GH133" s="324"/>
      <c r="GI133" s="324"/>
      <c r="GJ133" s="324"/>
      <c r="GK133" s="324"/>
      <c r="GL133" s="324"/>
      <c r="GM133" s="324"/>
      <c r="GN133" s="324"/>
      <c r="GO133" s="324"/>
      <c r="GP133" s="324"/>
      <c r="GQ133" s="324"/>
      <c r="GR133" s="324"/>
      <c r="GS133" s="324"/>
      <c r="GT133" s="324"/>
      <c r="GU133" s="324"/>
      <c r="GV133" s="324"/>
      <c r="GW133" s="324"/>
      <c r="GX133" s="324"/>
      <c r="GY133" s="324"/>
      <c r="GZ133" s="324"/>
      <c r="HA133" s="324"/>
      <c r="HB133" s="324"/>
      <c r="HC133" s="324"/>
      <c r="HD133" s="324"/>
      <c r="HE133" s="324"/>
      <c r="HF133" s="324"/>
      <c r="HG133" s="324"/>
      <c r="HH133" s="324"/>
      <c r="HI133" s="324"/>
      <c r="HJ133" s="324"/>
      <c r="HK133" s="324"/>
      <c r="HL133" s="324"/>
      <c r="HM133" s="324"/>
      <c r="HN133" s="324"/>
      <c r="HO133" s="324"/>
      <c r="HP133" s="324"/>
      <c r="HQ133" s="324"/>
      <c r="HR133" s="324"/>
      <c r="HS133" s="324"/>
      <c r="HT133" s="324"/>
      <c r="HU133" s="324"/>
      <c r="HV133" s="324"/>
      <c r="HW133" s="324"/>
      <c r="HX133" s="324"/>
      <c r="HY133" s="324"/>
      <c r="HZ133" s="324"/>
      <c r="IA133" s="324"/>
      <c r="IB133" s="324"/>
      <c r="IC133" s="324"/>
      <c r="ID133" s="324"/>
      <c r="IE133" s="324"/>
      <c r="IF133" s="324"/>
      <c r="IG133" s="324"/>
      <c r="IH133" s="324"/>
      <c r="II133" s="324"/>
      <c r="IJ133" s="324"/>
      <c r="IK133" s="324"/>
      <c r="IL133" s="324"/>
      <c r="IM133" s="324"/>
    </row>
    <row r="134" spans="1:247" x14ac:dyDescent="0.35">
      <c r="A134" s="356">
        <v>7145</v>
      </c>
      <c r="B134" s="357" t="s">
        <v>140</v>
      </c>
      <c r="C134" s="172" t="s">
        <v>8</v>
      </c>
      <c r="D134" s="358" t="s">
        <v>2053</v>
      </c>
      <c r="E134" s="336"/>
      <c r="F134" s="331">
        <f t="shared" si="29"/>
        <v>1.0209999999999999</v>
      </c>
      <c r="G134" s="337"/>
      <c r="H134" s="336"/>
      <c r="I134" s="338"/>
      <c r="J134" s="338"/>
      <c r="K134" s="338"/>
      <c r="L134" s="338"/>
      <c r="M134" s="338"/>
      <c r="N134" s="337"/>
      <c r="O134" s="339"/>
      <c r="P134" s="336"/>
      <c r="Q134" s="337"/>
      <c r="R134" s="340">
        <f t="shared" si="30"/>
        <v>1.0209999999999999</v>
      </c>
      <c r="S134" s="324"/>
      <c r="T134" s="324"/>
      <c r="U134" s="324"/>
      <c r="V134" s="324"/>
      <c r="W134" s="324"/>
      <c r="X134" s="324"/>
      <c r="Y134" s="324"/>
      <c r="Z134" s="324"/>
      <c r="AA134" s="324"/>
      <c r="AB134" s="324"/>
      <c r="AC134" s="324"/>
      <c r="AD134" s="324"/>
      <c r="AE134" s="324"/>
      <c r="AF134" s="324"/>
      <c r="AG134" s="324"/>
      <c r="AH134" s="324"/>
      <c r="AI134" s="324"/>
      <c r="AJ134" s="324"/>
      <c r="AK134" s="324"/>
      <c r="AL134" s="324"/>
      <c r="AM134" s="324"/>
      <c r="AN134" s="324"/>
      <c r="AO134" s="324"/>
      <c r="AP134" s="324"/>
      <c r="AQ134" s="324"/>
      <c r="AR134" s="324"/>
      <c r="AS134" s="324"/>
      <c r="AT134" s="324"/>
      <c r="AU134" s="324"/>
      <c r="AV134" s="324"/>
      <c r="AW134" s="324"/>
      <c r="AX134" s="324"/>
      <c r="AY134" s="324"/>
      <c r="AZ134" s="324"/>
      <c r="BA134" s="324"/>
      <c r="BB134" s="324"/>
      <c r="BC134" s="324"/>
      <c r="BD134" s="324"/>
      <c r="BE134" s="324"/>
      <c r="BF134" s="324"/>
      <c r="BG134" s="324"/>
      <c r="BH134" s="324"/>
      <c r="BI134" s="324"/>
      <c r="BJ134" s="324"/>
      <c r="BK134" s="324"/>
      <c r="BL134" s="324"/>
      <c r="BM134" s="324"/>
      <c r="BN134" s="324"/>
      <c r="BO134" s="324"/>
      <c r="BP134" s="324"/>
      <c r="BQ134" s="324"/>
      <c r="BR134" s="324"/>
      <c r="BS134" s="324"/>
      <c r="BT134" s="324"/>
      <c r="BU134" s="324"/>
      <c r="BV134" s="324"/>
      <c r="BW134" s="324"/>
      <c r="BX134" s="324"/>
      <c r="BY134" s="324"/>
      <c r="BZ134" s="324"/>
      <c r="CA134" s="324"/>
      <c r="CB134" s="324"/>
      <c r="CC134" s="324"/>
      <c r="CD134" s="324"/>
      <c r="CE134" s="324"/>
      <c r="CF134" s="324"/>
      <c r="CG134" s="324"/>
      <c r="CH134" s="324"/>
      <c r="CI134" s="324"/>
      <c r="CJ134" s="324"/>
      <c r="CK134" s="324"/>
      <c r="CL134" s="324"/>
      <c r="CM134" s="324"/>
      <c r="CN134" s="324"/>
      <c r="CO134" s="324"/>
      <c r="CP134" s="324"/>
      <c r="CQ134" s="324"/>
      <c r="CR134" s="324"/>
      <c r="CS134" s="324"/>
      <c r="CT134" s="324"/>
      <c r="CU134" s="324"/>
      <c r="CV134" s="324"/>
      <c r="CW134" s="324"/>
      <c r="CX134" s="324"/>
      <c r="CY134" s="324"/>
      <c r="CZ134" s="324"/>
      <c r="DA134" s="324"/>
      <c r="DB134" s="324"/>
      <c r="DC134" s="324"/>
      <c r="DD134" s="324"/>
      <c r="DE134" s="324"/>
      <c r="DF134" s="324"/>
      <c r="DG134" s="324"/>
      <c r="DH134" s="324"/>
      <c r="DI134" s="324"/>
      <c r="DJ134" s="324"/>
      <c r="DK134" s="324"/>
      <c r="DL134" s="324"/>
      <c r="DM134" s="324"/>
      <c r="DN134" s="324"/>
      <c r="DO134" s="324"/>
      <c r="DP134" s="324"/>
      <c r="DQ134" s="324"/>
      <c r="DR134" s="324"/>
      <c r="DS134" s="324"/>
      <c r="DT134" s="324"/>
      <c r="DU134" s="324"/>
      <c r="DV134" s="324"/>
      <c r="DW134" s="324"/>
      <c r="DX134" s="324"/>
      <c r="DY134" s="324"/>
      <c r="DZ134" s="324"/>
      <c r="EA134" s="324"/>
      <c r="EB134" s="324"/>
      <c r="EC134" s="324"/>
      <c r="ED134" s="324"/>
      <c r="EE134" s="324"/>
      <c r="EF134" s="324"/>
      <c r="EG134" s="324"/>
      <c r="EH134" s="324"/>
      <c r="EI134" s="324"/>
      <c r="EJ134" s="324"/>
      <c r="EK134" s="324"/>
      <c r="EL134" s="324"/>
      <c r="EM134" s="324"/>
      <c r="EN134" s="324"/>
      <c r="EO134" s="324"/>
      <c r="EP134" s="324"/>
      <c r="EQ134" s="324"/>
      <c r="ER134" s="324"/>
      <c r="ES134" s="324"/>
      <c r="ET134" s="324"/>
      <c r="EU134" s="324"/>
      <c r="EV134" s="324"/>
      <c r="EW134" s="324"/>
      <c r="EX134" s="324"/>
      <c r="EY134" s="324"/>
      <c r="EZ134" s="324"/>
      <c r="FA134" s="324"/>
      <c r="FB134" s="324"/>
      <c r="FC134" s="324"/>
      <c r="FD134" s="324"/>
      <c r="FE134" s="324"/>
      <c r="FF134" s="324"/>
      <c r="FG134" s="324"/>
      <c r="FH134" s="324"/>
      <c r="FI134" s="324"/>
      <c r="FJ134" s="324"/>
      <c r="FK134" s="324"/>
      <c r="FL134" s="324"/>
      <c r="FM134" s="324"/>
      <c r="FN134" s="324"/>
      <c r="FO134" s="324"/>
      <c r="FP134" s="324"/>
      <c r="FQ134" s="324"/>
      <c r="FR134" s="324"/>
      <c r="FS134" s="324"/>
      <c r="FT134" s="324"/>
      <c r="FU134" s="324"/>
      <c r="FV134" s="324"/>
      <c r="FW134" s="324"/>
      <c r="FX134" s="324"/>
      <c r="FY134" s="324"/>
      <c r="FZ134" s="324"/>
      <c r="GA134" s="324"/>
      <c r="GB134" s="324"/>
      <c r="GC134" s="324"/>
      <c r="GD134" s="324"/>
      <c r="GE134" s="324"/>
      <c r="GF134" s="324"/>
      <c r="GG134" s="324"/>
      <c r="GH134" s="324"/>
      <c r="GI134" s="324"/>
      <c r="GJ134" s="324"/>
      <c r="GK134" s="324"/>
      <c r="GL134" s="324"/>
      <c r="GM134" s="324"/>
      <c r="GN134" s="324"/>
      <c r="GO134" s="324"/>
      <c r="GP134" s="324"/>
      <c r="GQ134" s="324"/>
      <c r="GR134" s="324"/>
      <c r="GS134" s="324"/>
      <c r="GT134" s="324"/>
      <c r="GU134" s="324"/>
      <c r="GV134" s="324"/>
      <c r="GW134" s="324"/>
      <c r="GX134" s="324"/>
      <c r="GY134" s="324"/>
      <c r="GZ134" s="324"/>
      <c r="HA134" s="324"/>
      <c r="HB134" s="324"/>
      <c r="HC134" s="324"/>
      <c r="HD134" s="324"/>
      <c r="HE134" s="324"/>
      <c r="HF134" s="324"/>
      <c r="HG134" s="324"/>
      <c r="HH134" s="324"/>
      <c r="HI134" s="324"/>
      <c r="HJ134" s="324"/>
      <c r="HK134" s="324"/>
      <c r="HL134" s="324"/>
      <c r="HM134" s="324"/>
      <c r="HN134" s="324"/>
      <c r="HO134" s="324"/>
      <c r="HP134" s="324"/>
      <c r="HQ134" s="324"/>
      <c r="HR134" s="324"/>
      <c r="HS134" s="324"/>
      <c r="HT134" s="324"/>
      <c r="HU134" s="324"/>
      <c r="HV134" s="324"/>
      <c r="HW134" s="324"/>
      <c r="HX134" s="324"/>
      <c r="HY134" s="324"/>
      <c r="HZ134" s="324"/>
      <c r="IA134" s="324"/>
      <c r="IB134" s="324"/>
      <c r="IC134" s="324"/>
      <c r="ID134" s="324"/>
      <c r="IE134" s="324"/>
      <c r="IF134" s="324"/>
      <c r="IG134" s="324"/>
      <c r="IH134" s="324"/>
      <c r="II134" s="324"/>
      <c r="IJ134" s="324"/>
      <c r="IK134" s="324"/>
      <c r="IL134" s="324"/>
      <c r="IM134" s="324"/>
    </row>
    <row r="135" spans="1:247" x14ac:dyDescent="0.35">
      <c r="A135" s="356">
        <v>7147</v>
      </c>
      <c r="B135" s="357" t="s">
        <v>141</v>
      </c>
      <c r="C135" s="172" t="s">
        <v>8</v>
      </c>
      <c r="D135" s="358" t="s">
        <v>2051</v>
      </c>
      <c r="E135" s="336"/>
      <c r="F135" s="331">
        <f t="shared" si="29"/>
        <v>1.0209999999999999</v>
      </c>
      <c r="G135" s="337"/>
      <c r="H135" s="336"/>
      <c r="I135" s="338"/>
      <c r="J135" s="338"/>
      <c r="K135" s="338"/>
      <c r="L135" s="338"/>
      <c r="M135" s="338"/>
      <c r="N135" s="337"/>
      <c r="O135" s="339"/>
      <c r="P135" s="336">
        <f>+$P$3</f>
        <v>1.032</v>
      </c>
      <c r="Q135" s="337">
        <f>+$Q$3</f>
        <v>1.0349999999999999</v>
      </c>
      <c r="R135" s="340">
        <f t="shared" si="30"/>
        <v>1.0905505199999999</v>
      </c>
      <c r="S135" s="324"/>
      <c r="T135" s="324"/>
      <c r="U135" s="324"/>
      <c r="V135" s="324"/>
      <c r="W135" s="324"/>
      <c r="X135" s="324"/>
      <c r="Y135" s="324"/>
      <c r="Z135" s="324"/>
      <c r="AA135" s="324"/>
      <c r="AB135" s="324"/>
      <c r="AC135" s="324"/>
      <c r="AD135" s="324"/>
      <c r="AE135" s="324"/>
      <c r="AF135" s="324"/>
      <c r="AG135" s="324"/>
      <c r="AH135" s="324"/>
      <c r="AI135" s="324"/>
      <c r="AJ135" s="324"/>
      <c r="AK135" s="324"/>
      <c r="AL135" s="324"/>
      <c r="AM135" s="324"/>
      <c r="AN135" s="324"/>
      <c r="AO135" s="324"/>
      <c r="AP135" s="324"/>
      <c r="AQ135" s="324"/>
      <c r="AR135" s="324"/>
      <c r="AS135" s="324"/>
      <c r="AT135" s="324"/>
      <c r="AU135" s="324"/>
      <c r="AV135" s="324"/>
      <c r="AW135" s="324"/>
      <c r="AX135" s="324"/>
      <c r="AY135" s="324"/>
      <c r="AZ135" s="324"/>
      <c r="BA135" s="324"/>
      <c r="BB135" s="324"/>
      <c r="BC135" s="324"/>
      <c r="BD135" s="324"/>
      <c r="BE135" s="324"/>
      <c r="BF135" s="324"/>
      <c r="BG135" s="324"/>
      <c r="BH135" s="324"/>
      <c r="BI135" s="324"/>
      <c r="BJ135" s="324"/>
      <c r="BK135" s="324"/>
      <c r="BL135" s="324"/>
      <c r="BM135" s="324"/>
      <c r="BN135" s="324"/>
      <c r="BO135" s="324"/>
      <c r="BP135" s="324"/>
      <c r="BQ135" s="324"/>
      <c r="BR135" s="324"/>
      <c r="BS135" s="324"/>
      <c r="BT135" s="324"/>
      <c r="BU135" s="324"/>
      <c r="BV135" s="324"/>
      <c r="BW135" s="324"/>
      <c r="BX135" s="324"/>
      <c r="BY135" s="324"/>
      <c r="BZ135" s="324"/>
      <c r="CA135" s="324"/>
      <c r="CB135" s="324"/>
      <c r="CC135" s="324"/>
      <c r="CD135" s="324"/>
      <c r="CE135" s="324"/>
      <c r="CF135" s="324"/>
      <c r="CG135" s="324"/>
      <c r="CH135" s="324"/>
      <c r="CI135" s="324"/>
      <c r="CJ135" s="324"/>
      <c r="CK135" s="324"/>
      <c r="CL135" s="324"/>
      <c r="CM135" s="324"/>
      <c r="CN135" s="324"/>
      <c r="CO135" s="324"/>
      <c r="CP135" s="324"/>
      <c r="CQ135" s="324"/>
      <c r="CR135" s="324"/>
      <c r="CS135" s="324"/>
      <c r="CT135" s="324"/>
      <c r="CU135" s="324"/>
      <c r="CV135" s="324"/>
      <c r="CW135" s="324"/>
      <c r="CX135" s="324"/>
      <c r="CY135" s="324"/>
      <c r="CZ135" s="324"/>
      <c r="DA135" s="324"/>
      <c r="DB135" s="324"/>
      <c r="DC135" s="324"/>
      <c r="DD135" s="324"/>
      <c r="DE135" s="324"/>
      <c r="DF135" s="324"/>
      <c r="DG135" s="324"/>
      <c r="DH135" s="324"/>
      <c r="DI135" s="324"/>
      <c r="DJ135" s="324"/>
      <c r="DK135" s="324"/>
      <c r="DL135" s="324"/>
      <c r="DM135" s="324"/>
      <c r="DN135" s="324"/>
      <c r="DO135" s="324"/>
      <c r="DP135" s="324"/>
      <c r="DQ135" s="324"/>
      <c r="DR135" s="324"/>
      <c r="DS135" s="324"/>
      <c r="DT135" s="324"/>
      <c r="DU135" s="324"/>
      <c r="DV135" s="324"/>
      <c r="DW135" s="324"/>
      <c r="DX135" s="324"/>
      <c r="DY135" s="324"/>
      <c r="DZ135" s="324"/>
      <c r="EA135" s="324"/>
      <c r="EB135" s="324"/>
      <c r="EC135" s="324"/>
      <c r="ED135" s="324"/>
      <c r="EE135" s="324"/>
      <c r="EF135" s="324"/>
      <c r="EG135" s="324"/>
      <c r="EH135" s="324"/>
      <c r="EI135" s="324"/>
      <c r="EJ135" s="324"/>
      <c r="EK135" s="324"/>
      <c r="EL135" s="324"/>
      <c r="EM135" s="324"/>
      <c r="EN135" s="324"/>
      <c r="EO135" s="324"/>
      <c r="EP135" s="324"/>
      <c r="EQ135" s="324"/>
      <c r="ER135" s="324"/>
      <c r="ES135" s="324"/>
      <c r="ET135" s="324"/>
      <c r="EU135" s="324"/>
      <c r="EV135" s="324"/>
      <c r="EW135" s="324"/>
      <c r="EX135" s="324"/>
      <c r="EY135" s="324"/>
      <c r="EZ135" s="324"/>
      <c r="FA135" s="324"/>
      <c r="FB135" s="324"/>
      <c r="FC135" s="324"/>
      <c r="FD135" s="324"/>
      <c r="FE135" s="324"/>
      <c r="FF135" s="324"/>
      <c r="FG135" s="324"/>
      <c r="FH135" s="324"/>
      <c r="FI135" s="324"/>
      <c r="FJ135" s="324"/>
      <c r="FK135" s="324"/>
      <c r="FL135" s="324"/>
      <c r="FM135" s="324"/>
      <c r="FN135" s="324"/>
      <c r="FO135" s="324"/>
      <c r="FP135" s="324"/>
      <c r="FQ135" s="324"/>
      <c r="FR135" s="324"/>
      <c r="FS135" s="324"/>
      <c r="FT135" s="324"/>
      <c r="FU135" s="324"/>
      <c r="FV135" s="324"/>
      <c r="FW135" s="324"/>
      <c r="FX135" s="324"/>
      <c r="FY135" s="324"/>
      <c r="FZ135" s="324"/>
      <c r="GA135" s="324"/>
      <c r="GB135" s="324"/>
      <c r="GC135" s="324"/>
      <c r="GD135" s="324"/>
      <c r="GE135" s="324"/>
      <c r="GF135" s="324"/>
      <c r="GG135" s="324"/>
      <c r="GH135" s="324"/>
      <c r="GI135" s="324"/>
      <c r="GJ135" s="324"/>
      <c r="GK135" s="324"/>
      <c r="GL135" s="324"/>
      <c r="GM135" s="324"/>
      <c r="GN135" s="324"/>
      <c r="GO135" s="324"/>
      <c r="GP135" s="324"/>
      <c r="GQ135" s="324"/>
      <c r="GR135" s="324"/>
      <c r="GS135" s="324"/>
      <c r="GT135" s="324"/>
      <c r="GU135" s="324"/>
      <c r="GV135" s="324"/>
      <c r="GW135" s="324"/>
      <c r="GX135" s="324"/>
      <c r="GY135" s="324"/>
      <c r="GZ135" s="324"/>
      <c r="HA135" s="324"/>
      <c r="HB135" s="324"/>
      <c r="HC135" s="324"/>
      <c r="HD135" s="324"/>
      <c r="HE135" s="324"/>
      <c r="HF135" s="324"/>
      <c r="HG135" s="324"/>
      <c r="HH135" s="324"/>
      <c r="HI135" s="324"/>
      <c r="HJ135" s="324"/>
      <c r="HK135" s="324"/>
      <c r="HL135" s="324"/>
      <c r="HM135" s="324"/>
      <c r="HN135" s="324"/>
      <c r="HO135" s="324"/>
      <c r="HP135" s="324"/>
      <c r="HQ135" s="324"/>
      <c r="HR135" s="324"/>
      <c r="HS135" s="324"/>
      <c r="HT135" s="324"/>
      <c r="HU135" s="324"/>
      <c r="HV135" s="324"/>
      <c r="HW135" s="324"/>
      <c r="HX135" s="324"/>
      <c r="HY135" s="324"/>
      <c r="HZ135" s="324"/>
      <c r="IA135" s="324"/>
      <c r="IB135" s="324"/>
      <c r="IC135" s="324"/>
      <c r="ID135" s="324"/>
      <c r="IE135" s="324"/>
      <c r="IF135" s="324"/>
      <c r="IG135" s="324"/>
      <c r="IH135" s="324"/>
      <c r="II135" s="324"/>
      <c r="IJ135" s="324"/>
      <c r="IK135" s="324"/>
      <c r="IL135" s="324"/>
      <c r="IM135" s="324"/>
    </row>
    <row r="136" spans="1:247" x14ac:dyDescent="0.35">
      <c r="A136" s="356">
        <v>7215</v>
      </c>
      <c r="B136" s="357" t="s">
        <v>142</v>
      </c>
      <c r="C136" s="172" t="s">
        <v>8</v>
      </c>
      <c r="D136" s="358" t="s">
        <v>2053</v>
      </c>
      <c r="E136" s="336">
        <f>+$E$3</f>
        <v>1.0740000000000001</v>
      </c>
      <c r="F136" s="331">
        <f t="shared" si="29"/>
        <v>1.0209999999999999</v>
      </c>
      <c r="G136" s="337">
        <f>+$G$3</f>
        <v>1.0269999999999999</v>
      </c>
      <c r="H136" s="336">
        <f>+$H$3</f>
        <v>1.0029999999999999</v>
      </c>
      <c r="I136" s="338">
        <f>+$I$3</f>
        <v>1.0289999999999999</v>
      </c>
      <c r="J136" s="338">
        <f>+$J$3</f>
        <v>1.0049999999999999</v>
      </c>
      <c r="K136" s="338">
        <f>+$K$3</f>
        <v>1.026</v>
      </c>
      <c r="L136" s="338">
        <f>+$L$3</f>
        <v>1.0129999999999999</v>
      </c>
      <c r="M136" s="338">
        <f>+$M$3</f>
        <v>1.0029999999999999</v>
      </c>
      <c r="N136" s="337">
        <f>+$N$3</f>
        <v>1.0029999999999999</v>
      </c>
      <c r="O136" s="339">
        <f>+$O$3</f>
        <v>1.0209999999999999</v>
      </c>
      <c r="P136" s="336">
        <f>+$P$3</f>
        <v>1.032</v>
      </c>
      <c r="Q136" s="337">
        <f>+$Q$3</f>
        <v>1.0349999999999999</v>
      </c>
      <c r="R136" s="340">
        <f t="shared" si="30"/>
        <v>1.3319480854780448</v>
      </c>
      <c r="S136" s="324"/>
      <c r="T136" s="324"/>
      <c r="U136" s="324"/>
      <c r="V136" s="324"/>
      <c r="W136" s="324"/>
      <c r="X136" s="324"/>
      <c r="Y136" s="324"/>
      <c r="Z136" s="324"/>
      <c r="AA136" s="324"/>
      <c r="AB136" s="324"/>
      <c r="AC136" s="324"/>
      <c r="AD136" s="324"/>
      <c r="AE136" s="324"/>
      <c r="AF136" s="324"/>
      <c r="AG136" s="324"/>
      <c r="AH136" s="324"/>
      <c r="AI136" s="324"/>
      <c r="AJ136" s="324"/>
      <c r="AK136" s="324"/>
      <c r="AL136" s="324"/>
      <c r="AM136" s="324"/>
      <c r="AN136" s="324"/>
      <c r="AO136" s="324"/>
      <c r="AP136" s="324"/>
      <c r="AQ136" s="324"/>
      <c r="AR136" s="324"/>
      <c r="AS136" s="324"/>
      <c r="AT136" s="324"/>
      <c r="AU136" s="324"/>
      <c r="AV136" s="324"/>
      <c r="AW136" s="324"/>
      <c r="AX136" s="324"/>
      <c r="AY136" s="324"/>
      <c r="AZ136" s="324"/>
      <c r="BA136" s="324"/>
      <c r="BB136" s="324"/>
      <c r="BC136" s="324"/>
      <c r="BD136" s="324"/>
      <c r="BE136" s="324"/>
      <c r="BF136" s="324"/>
      <c r="BG136" s="324"/>
      <c r="BH136" s="324"/>
      <c r="BI136" s="324"/>
      <c r="BJ136" s="324"/>
      <c r="BK136" s="324"/>
      <c r="BL136" s="324"/>
      <c r="BM136" s="324"/>
      <c r="BN136" s="324"/>
      <c r="BO136" s="324"/>
      <c r="BP136" s="324"/>
      <c r="BQ136" s="324"/>
      <c r="BR136" s="324"/>
      <c r="BS136" s="324"/>
      <c r="BT136" s="324"/>
      <c r="BU136" s="324"/>
      <c r="BV136" s="324"/>
      <c r="BW136" s="324"/>
      <c r="BX136" s="324"/>
      <c r="BY136" s="324"/>
      <c r="BZ136" s="324"/>
      <c r="CA136" s="324"/>
      <c r="CB136" s="324"/>
      <c r="CC136" s="324"/>
      <c r="CD136" s="324"/>
      <c r="CE136" s="324"/>
      <c r="CF136" s="324"/>
      <c r="CG136" s="324"/>
      <c r="CH136" s="324"/>
      <c r="CI136" s="324"/>
      <c r="CJ136" s="324"/>
      <c r="CK136" s="324"/>
      <c r="CL136" s="324"/>
      <c r="CM136" s="324"/>
      <c r="CN136" s="324"/>
      <c r="CO136" s="324"/>
      <c r="CP136" s="324"/>
      <c r="CQ136" s="324"/>
      <c r="CR136" s="324"/>
      <c r="CS136" s="324"/>
      <c r="CT136" s="324"/>
      <c r="CU136" s="324"/>
      <c r="CV136" s="324"/>
      <c r="CW136" s="324"/>
      <c r="CX136" s="324"/>
      <c r="CY136" s="324"/>
      <c r="CZ136" s="324"/>
      <c r="DA136" s="324"/>
      <c r="DB136" s="324"/>
      <c r="DC136" s="324"/>
      <c r="DD136" s="324"/>
      <c r="DE136" s="324"/>
      <c r="DF136" s="324"/>
      <c r="DG136" s="324"/>
      <c r="DH136" s="324"/>
      <c r="DI136" s="324"/>
      <c r="DJ136" s="324"/>
      <c r="DK136" s="324"/>
      <c r="DL136" s="324"/>
      <c r="DM136" s="324"/>
      <c r="DN136" s="324"/>
      <c r="DO136" s="324"/>
      <c r="DP136" s="324"/>
      <c r="DQ136" s="324"/>
      <c r="DR136" s="324"/>
      <c r="DS136" s="324"/>
      <c r="DT136" s="324"/>
      <c r="DU136" s="324"/>
      <c r="DV136" s="324"/>
      <c r="DW136" s="324"/>
      <c r="DX136" s="324"/>
      <c r="DY136" s="324"/>
      <c r="DZ136" s="324"/>
      <c r="EA136" s="324"/>
      <c r="EB136" s="324"/>
      <c r="EC136" s="324"/>
      <c r="ED136" s="324"/>
      <c r="EE136" s="324"/>
      <c r="EF136" s="324"/>
      <c r="EG136" s="324"/>
      <c r="EH136" s="324"/>
      <c r="EI136" s="324"/>
      <c r="EJ136" s="324"/>
      <c r="EK136" s="324"/>
      <c r="EL136" s="324"/>
      <c r="EM136" s="324"/>
      <c r="EN136" s="324"/>
      <c r="EO136" s="324"/>
      <c r="EP136" s="324"/>
      <c r="EQ136" s="324"/>
      <c r="ER136" s="324"/>
      <c r="ES136" s="324"/>
      <c r="ET136" s="324"/>
      <c r="EU136" s="324"/>
      <c r="EV136" s="324"/>
      <c r="EW136" s="324"/>
      <c r="EX136" s="324"/>
      <c r="EY136" s="324"/>
      <c r="EZ136" s="324"/>
      <c r="FA136" s="324"/>
      <c r="FB136" s="324"/>
      <c r="FC136" s="324"/>
      <c r="FD136" s="324"/>
      <c r="FE136" s="324"/>
      <c r="FF136" s="324"/>
      <c r="FG136" s="324"/>
      <c r="FH136" s="324"/>
      <c r="FI136" s="324"/>
      <c r="FJ136" s="324"/>
      <c r="FK136" s="324"/>
      <c r="FL136" s="324"/>
      <c r="FM136" s="324"/>
      <c r="FN136" s="324"/>
      <c r="FO136" s="324"/>
      <c r="FP136" s="324"/>
      <c r="FQ136" s="324"/>
      <c r="FR136" s="324"/>
      <c r="FS136" s="324"/>
      <c r="FT136" s="324"/>
      <c r="FU136" s="324"/>
      <c r="FV136" s="324"/>
      <c r="FW136" s="324"/>
      <c r="FX136" s="324"/>
      <c r="FY136" s="324"/>
      <c r="FZ136" s="324"/>
      <c r="GA136" s="324"/>
      <c r="GB136" s="324"/>
      <c r="GC136" s="324"/>
      <c r="GD136" s="324"/>
      <c r="GE136" s="324"/>
      <c r="GF136" s="324"/>
      <c r="GG136" s="324"/>
      <c r="GH136" s="324"/>
      <c r="GI136" s="324"/>
      <c r="GJ136" s="324"/>
      <c r="GK136" s="324"/>
      <c r="GL136" s="324"/>
      <c r="GM136" s="324"/>
      <c r="GN136" s="324"/>
      <c r="GO136" s="324"/>
      <c r="GP136" s="324"/>
      <c r="GQ136" s="324"/>
      <c r="GR136" s="324"/>
      <c r="GS136" s="324"/>
      <c r="GT136" s="324"/>
      <c r="GU136" s="324"/>
      <c r="GV136" s="324"/>
      <c r="GW136" s="324"/>
      <c r="GX136" s="324"/>
      <c r="GY136" s="324"/>
      <c r="GZ136" s="324"/>
      <c r="HA136" s="324"/>
      <c r="HB136" s="324"/>
      <c r="HC136" s="324"/>
      <c r="HD136" s="324"/>
      <c r="HE136" s="324"/>
      <c r="HF136" s="324"/>
      <c r="HG136" s="324"/>
      <c r="HH136" s="324"/>
      <c r="HI136" s="324"/>
      <c r="HJ136" s="324"/>
      <c r="HK136" s="324"/>
      <c r="HL136" s="324"/>
      <c r="HM136" s="324"/>
      <c r="HN136" s="324"/>
      <c r="HO136" s="324"/>
      <c r="HP136" s="324"/>
      <c r="HQ136" s="324"/>
      <c r="HR136" s="324"/>
      <c r="HS136" s="324"/>
      <c r="HT136" s="324"/>
      <c r="HU136" s="324"/>
      <c r="HV136" s="324"/>
      <c r="HW136" s="324"/>
      <c r="HX136" s="324"/>
      <c r="HY136" s="324"/>
      <c r="HZ136" s="324"/>
      <c r="IA136" s="324"/>
      <c r="IB136" s="324"/>
      <c r="IC136" s="324"/>
      <c r="ID136" s="324"/>
      <c r="IE136" s="324"/>
      <c r="IF136" s="324"/>
      <c r="IG136" s="324"/>
      <c r="IH136" s="324"/>
      <c r="II136" s="324"/>
      <c r="IJ136" s="324"/>
      <c r="IK136" s="324"/>
      <c r="IL136" s="324"/>
      <c r="IM136" s="324"/>
    </row>
    <row r="137" spans="1:247" x14ac:dyDescent="0.35">
      <c r="A137" s="356">
        <v>7231</v>
      </c>
      <c r="B137" s="357" t="s">
        <v>143</v>
      </c>
      <c r="C137" s="172" t="s">
        <v>8</v>
      </c>
      <c r="D137" s="358" t="s">
        <v>2053</v>
      </c>
      <c r="E137" s="336">
        <f>+$E$3</f>
        <v>1.0740000000000001</v>
      </c>
      <c r="F137" s="331">
        <f t="shared" si="29"/>
        <v>1.0209999999999999</v>
      </c>
      <c r="G137" s="337">
        <f>+$G$3</f>
        <v>1.0269999999999999</v>
      </c>
      <c r="H137" s="336"/>
      <c r="I137" s="338"/>
      <c r="J137" s="338"/>
      <c r="K137" s="338"/>
      <c r="L137" s="338"/>
      <c r="M137" s="338">
        <f>+$M$3</f>
        <v>1.0029999999999999</v>
      </c>
      <c r="N137" s="337"/>
      <c r="O137" s="339"/>
      <c r="P137" s="336"/>
      <c r="Q137" s="337">
        <f>+$Q$3</f>
        <v>1.0349999999999999</v>
      </c>
      <c r="R137" s="340">
        <f t="shared" si="30"/>
        <v>1.1690733213045894</v>
      </c>
      <c r="S137" s="324"/>
      <c r="T137" s="324"/>
      <c r="U137" s="324"/>
      <c r="V137" s="324"/>
      <c r="W137" s="324"/>
      <c r="X137" s="324"/>
      <c r="Y137" s="324"/>
      <c r="Z137" s="324"/>
      <c r="AA137" s="324"/>
      <c r="AB137" s="324"/>
      <c r="AC137" s="324"/>
      <c r="AD137" s="324"/>
      <c r="AE137" s="324"/>
      <c r="AF137" s="324"/>
      <c r="AG137" s="324"/>
      <c r="AH137" s="324"/>
      <c r="AI137" s="324"/>
      <c r="AJ137" s="324"/>
      <c r="AK137" s="324"/>
      <c r="AL137" s="324"/>
      <c r="AM137" s="324"/>
      <c r="AN137" s="324"/>
      <c r="AO137" s="324"/>
      <c r="AP137" s="324"/>
      <c r="AQ137" s="324"/>
      <c r="AR137" s="324"/>
      <c r="AS137" s="324"/>
      <c r="AT137" s="324"/>
      <c r="AU137" s="324"/>
      <c r="AV137" s="324"/>
      <c r="AW137" s="324"/>
      <c r="AX137" s="324"/>
      <c r="AY137" s="324"/>
      <c r="AZ137" s="324"/>
      <c r="BA137" s="324"/>
      <c r="BB137" s="324"/>
      <c r="BC137" s="324"/>
      <c r="BD137" s="324"/>
      <c r="BE137" s="324"/>
      <c r="BF137" s="324"/>
      <c r="BG137" s="324"/>
      <c r="BH137" s="324"/>
      <c r="BI137" s="324"/>
      <c r="BJ137" s="324"/>
      <c r="BK137" s="324"/>
      <c r="BL137" s="324"/>
      <c r="BM137" s="324"/>
      <c r="BN137" s="324"/>
      <c r="BO137" s="324"/>
      <c r="BP137" s="324"/>
      <c r="BQ137" s="324"/>
      <c r="BR137" s="324"/>
      <c r="BS137" s="324"/>
      <c r="BT137" s="324"/>
      <c r="BU137" s="324"/>
      <c r="BV137" s="324"/>
      <c r="BW137" s="324"/>
      <c r="BX137" s="324"/>
      <c r="BY137" s="324"/>
      <c r="BZ137" s="324"/>
      <c r="CA137" s="324"/>
      <c r="CB137" s="324"/>
      <c r="CC137" s="324"/>
      <c r="CD137" s="324"/>
      <c r="CE137" s="324"/>
      <c r="CF137" s="324"/>
      <c r="CG137" s="324"/>
      <c r="CH137" s="324"/>
      <c r="CI137" s="324"/>
      <c r="CJ137" s="324"/>
      <c r="CK137" s="324"/>
      <c r="CL137" s="324"/>
      <c r="CM137" s="324"/>
      <c r="CN137" s="324"/>
      <c r="CO137" s="324"/>
      <c r="CP137" s="324"/>
      <c r="CQ137" s="324"/>
      <c r="CR137" s="324"/>
      <c r="CS137" s="324"/>
      <c r="CT137" s="324"/>
      <c r="CU137" s="324"/>
      <c r="CV137" s="324"/>
      <c r="CW137" s="324"/>
      <c r="CX137" s="324"/>
      <c r="CY137" s="324"/>
      <c r="CZ137" s="324"/>
      <c r="DA137" s="324"/>
      <c r="DB137" s="324"/>
      <c r="DC137" s="324"/>
      <c r="DD137" s="324"/>
      <c r="DE137" s="324"/>
      <c r="DF137" s="324"/>
      <c r="DG137" s="324"/>
      <c r="DH137" s="324"/>
      <c r="DI137" s="324"/>
      <c r="DJ137" s="324"/>
      <c r="DK137" s="324"/>
      <c r="DL137" s="324"/>
      <c r="DM137" s="324"/>
      <c r="DN137" s="324"/>
      <c r="DO137" s="324"/>
      <c r="DP137" s="324"/>
      <c r="DQ137" s="324"/>
      <c r="DR137" s="324"/>
      <c r="DS137" s="324"/>
      <c r="DT137" s="324"/>
      <c r="DU137" s="324"/>
      <c r="DV137" s="324"/>
      <c r="DW137" s="324"/>
      <c r="DX137" s="324"/>
      <c r="DY137" s="324"/>
      <c r="DZ137" s="324"/>
      <c r="EA137" s="324"/>
      <c r="EB137" s="324"/>
      <c r="EC137" s="324"/>
      <c r="ED137" s="324"/>
      <c r="EE137" s="324"/>
      <c r="EF137" s="324"/>
      <c r="EG137" s="324"/>
      <c r="EH137" s="324"/>
      <c r="EI137" s="324"/>
      <c r="EJ137" s="324"/>
      <c r="EK137" s="324"/>
      <c r="EL137" s="324"/>
      <c r="EM137" s="324"/>
      <c r="EN137" s="324"/>
      <c r="EO137" s="324"/>
      <c r="EP137" s="324"/>
      <c r="EQ137" s="324"/>
      <c r="ER137" s="324"/>
      <c r="ES137" s="324"/>
      <c r="ET137" s="324"/>
      <c r="EU137" s="324"/>
      <c r="EV137" s="324"/>
      <c r="EW137" s="324"/>
      <c r="EX137" s="324"/>
      <c r="EY137" s="324"/>
      <c r="EZ137" s="324"/>
      <c r="FA137" s="324"/>
      <c r="FB137" s="324"/>
      <c r="FC137" s="324"/>
      <c r="FD137" s="324"/>
      <c r="FE137" s="324"/>
      <c r="FF137" s="324"/>
      <c r="FG137" s="324"/>
      <c r="FH137" s="324"/>
      <c r="FI137" s="324"/>
      <c r="FJ137" s="324"/>
      <c r="FK137" s="324"/>
      <c r="FL137" s="324"/>
      <c r="FM137" s="324"/>
      <c r="FN137" s="324"/>
      <c r="FO137" s="324"/>
      <c r="FP137" s="324"/>
      <c r="FQ137" s="324"/>
      <c r="FR137" s="324"/>
      <c r="FS137" s="324"/>
      <c r="FT137" s="324"/>
      <c r="FU137" s="324"/>
      <c r="FV137" s="324"/>
      <c r="FW137" s="324"/>
      <c r="FX137" s="324"/>
      <c r="FY137" s="324"/>
      <c r="FZ137" s="324"/>
      <c r="GA137" s="324"/>
      <c r="GB137" s="324"/>
      <c r="GC137" s="324"/>
      <c r="GD137" s="324"/>
      <c r="GE137" s="324"/>
      <c r="GF137" s="324"/>
      <c r="GG137" s="324"/>
      <c r="GH137" s="324"/>
      <c r="GI137" s="324"/>
      <c r="GJ137" s="324"/>
      <c r="GK137" s="324"/>
      <c r="GL137" s="324"/>
      <c r="GM137" s="324"/>
      <c r="GN137" s="324"/>
      <c r="GO137" s="324"/>
      <c r="GP137" s="324"/>
      <c r="GQ137" s="324"/>
      <c r="GR137" s="324"/>
      <c r="GS137" s="324"/>
      <c r="GT137" s="324"/>
      <c r="GU137" s="324"/>
      <c r="GV137" s="324"/>
      <c r="GW137" s="324"/>
      <c r="GX137" s="324"/>
      <c r="GY137" s="324"/>
      <c r="GZ137" s="324"/>
      <c r="HA137" s="324"/>
      <c r="HB137" s="324"/>
      <c r="HC137" s="324"/>
      <c r="HD137" s="324"/>
      <c r="HE137" s="324"/>
      <c r="HF137" s="324"/>
      <c r="HG137" s="324"/>
      <c r="HH137" s="324"/>
      <c r="HI137" s="324"/>
      <c r="HJ137" s="324"/>
      <c r="HK137" s="324"/>
      <c r="HL137" s="324"/>
      <c r="HM137" s="324"/>
      <c r="HN137" s="324"/>
      <c r="HO137" s="324"/>
      <c r="HP137" s="324"/>
      <c r="HQ137" s="324"/>
      <c r="HR137" s="324"/>
      <c r="HS137" s="324"/>
      <c r="HT137" s="324"/>
      <c r="HU137" s="324"/>
      <c r="HV137" s="324"/>
      <c r="HW137" s="324"/>
      <c r="HX137" s="324"/>
      <c r="HY137" s="324"/>
      <c r="HZ137" s="324"/>
      <c r="IA137" s="324"/>
      <c r="IB137" s="324"/>
      <c r="IC137" s="324"/>
      <c r="ID137" s="324"/>
      <c r="IE137" s="324"/>
      <c r="IF137" s="324"/>
      <c r="IG137" s="324"/>
      <c r="IH137" s="324"/>
      <c r="II137" s="324"/>
      <c r="IJ137" s="324"/>
      <c r="IK137" s="324"/>
      <c r="IL137" s="324"/>
      <c r="IM137" s="324"/>
    </row>
    <row r="138" spans="1:247" x14ac:dyDescent="0.35">
      <c r="A138" s="356">
        <v>7232</v>
      </c>
      <c r="B138" s="357" t="s">
        <v>144</v>
      </c>
      <c r="C138" s="172" t="s">
        <v>8</v>
      </c>
      <c r="D138" s="358" t="s">
        <v>2053</v>
      </c>
      <c r="E138" s="336"/>
      <c r="F138" s="331">
        <f t="shared" si="29"/>
        <v>1.0209999999999999</v>
      </c>
      <c r="G138" s="337"/>
      <c r="H138" s="336">
        <f>+$H$3</f>
        <v>1.0029999999999999</v>
      </c>
      <c r="I138" s="338"/>
      <c r="J138" s="338"/>
      <c r="K138" s="338"/>
      <c r="L138" s="338"/>
      <c r="M138" s="338"/>
      <c r="N138" s="337"/>
      <c r="O138" s="339"/>
      <c r="P138" s="336">
        <f>+$P$3</f>
        <v>1.032</v>
      </c>
      <c r="Q138" s="337">
        <f>+$Q$3</f>
        <v>1.0349999999999999</v>
      </c>
      <c r="R138" s="340">
        <f t="shared" si="30"/>
        <v>1.0938221715599996</v>
      </c>
      <c r="S138" s="324"/>
      <c r="T138" s="324"/>
      <c r="U138" s="324"/>
      <c r="V138" s="324"/>
      <c r="W138" s="324"/>
      <c r="X138" s="324"/>
      <c r="Y138" s="324"/>
      <c r="Z138" s="324"/>
      <c r="AA138" s="324"/>
      <c r="AB138" s="324"/>
      <c r="AC138" s="324"/>
      <c r="AD138" s="324"/>
      <c r="AE138" s="324"/>
      <c r="AF138" s="324"/>
      <c r="AG138" s="324"/>
      <c r="AH138" s="324"/>
      <c r="AI138" s="324"/>
      <c r="AJ138" s="324"/>
      <c r="AK138" s="324"/>
      <c r="AL138" s="324"/>
      <c r="AM138" s="324"/>
      <c r="AN138" s="324"/>
      <c r="AO138" s="324"/>
      <c r="AP138" s="324"/>
      <c r="AQ138" s="324"/>
      <c r="AR138" s="324"/>
      <c r="AS138" s="324"/>
      <c r="AT138" s="324"/>
      <c r="AU138" s="324"/>
      <c r="AV138" s="324"/>
      <c r="AW138" s="324"/>
      <c r="AX138" s="324"/>
      <c r="AY138" s="324"/>
      <c r="AZ138" s="324"/>
      <c r="BA138" s="324"/>
      <c r="BB138" s="324"/>
      <c r="BC138" s="324"/>
      <c r="BD138" s="324"/>
      <c r="BE138" s="324"/>
      <c r="BF138" s="324"/>
      <c r="BG138" s="324"/>
      <c r="BH138" s="324"/>
      <c r="BI138" s="324"/>
      <c r="BJ138" s="324"/>
      <c r="BK138" s="324"/>
      <c r="BL138" s="324"/>
      <c r="BM138" s="324"/>
      <c r="BN138" s="324"/>
      <c r="BO138" s="324"/>
      <c r="BP138" s="324"/>
      <c r="BQ138" s="324"/>
      <c r="BR138" s="324"/>
      <c r="BS138" s="324"/>
      <c r="BT138" s="324"/>
      <c r="BU138" s="324"/>
      <c r="BV138" s="324"/>
      <c r="BW138" s="324"/>
      <c r="BX138" s="324"/>
      <c r="BY138" s="324"/>
      <c r="BZ138" s="324"/>
      <c r="CA138" s="324"/>
      <c r="CB138" s="324"/>
      <c r="CC138" s="324"/>
      <c r="CD138" s="324"/>
      <c r="CE138" s="324"/>
      <c r="CF138" s="324"/>
      <c r="CG138" s="324"/>
      <c r="CH138" s="324"/>
      <c r="CI138" s="324"/>
      <c r="CJ138" s="324"/>
      <c r="CK138" s="324"/>
      <c r="CL138" s="324"/>
      <c r="CM138" s="324"/>
      <c r="CN138" s="324"/>
      <c r="CO138" s="324"/>
      <c r="CP138" s="324"/>
      <c r="CQ138" s="324"/>
      <c r="CR138" s="324"/>
      <c r="CS138" s="324"/>
      <c r="CT138" s="324"/>
      <c r="CU138" s="324"/>
      <c r="CV138" s="324"/>
      <c r="CW138" s="324"/>
      <c r="CX138" s="324"/>
      <c r="CY138" s="324"/>
      <c r="CZ138" s="324"/>
      <c r="DA138" s="324"/>
      <c r="DB138" s="324"/>
      <c r="DC138" s="324"/>
      <c r="DD138" s="324"/>
      <c r="DE138" s="324"/>
      <c r="DF138" s="324"/>
      <c r="DG138" s="324"/>
      <c r="DH138" s="324"/>
      <c r="DI138" s="324"/>
      <c r="DJ138" s="324"/>
      <c r="DK138" s="324"/>
      <c r="DL138" s="324"/>
      <c r="DM138" s="324"/>
      <c r="DN138" s="324"/>
      <c r="DO138" s="324"/>
      <c r="DP138" s="324"/>
      <c r="DQ138" s="324"/>
      <c r="DR138" s="324"/>
      <c r="DS138" s="324"/>
      <c r="DT138" s="324"/>
      <c r="DU138" s="324"/>
      <c r="DV138" s="324"/>
      <c r="DW138" s="324"/>
      <c r="DX138" s="324"/>
      <c r="DY138" s="324"/>
      <c r="DZ138" s="324"/>
      <c r="EA138" s="324"/>
      <c r="EB138" s="324"/>
      <c r="EC138" s="324"/>
      <c r="ED138" s="324"/>
      <c r="EE138" s="324"/>
      <c r="EF138" s="324"/>
      <c r="EG138" s="324"/>
      <c r="EH138" s="324"/>
      <c r="EI138" s="324"/>
      <c r="EJ138" s="324"/>
      <c r="EK138" s="324"/>
      <c r="EL138" s="324"/>
      <c r="EM138" s="324"/>
      <c r="EN138" s="324"/>
      <c r="EO138" s="324"/>
      <c r="EP138" s="324"/>
      <c r="EQ138" s="324"/>
      <c r="ER138" s="324"/>
      <c r="ES138" s="324"/>
      <c r="ET138" s="324"/>
      <c r="EU138" s="324"/>
      <c r="EV138" s="324"/>
      <c r="EW138" s="324"/>
      <c r="EX138" s="324"/>
      <c r="EY138" s="324"/>
      <c r="EZ138" s="324"/>
      <c r="FA138" s="324"/>
      <c r="FB138" s="324"/>
      <c r="FC138" s="324"/>
      <c r="FD138" s="324"/>
      <c r="FE138" s="324"/>
      <c r="FF138" s="324"/>
      <c r="FG138" s="324"/>
      <c r="FH138" s="324"/>
      <c r="FI138" s="324"/>
      <c r="FJ138" s="324"/>
      <c r="FK138" s="324"/>
      <c r="FL138" s="324"/>
      <c r="FM138" s="324"/>
      <c r="FN138" s="324"/>
      <c r="FO138" s="324"/>
      <c r="FP138" s="324"/>
      <c r="FQ138" s="324"/>
      <c r="FR138" s="324"/>
      <c r="FS138" s="324"/>
      <c r="FT138" s="324"/>
      <c r="FU138" s="324"/>
      <c r="FV138" s="324"/>
      <c r="FW138" s="324"/>
      <c r="FX138" s="324"/>
      <c r="FY138" s="324"/>
      <c r="FZ138" s="324"/>
      <c r="GA138" s="324"/>
      <c r="GB138" s="324"/>
      <c r="GC138" s="324"/>
      <c r="GD138" s="324"/>
      <c r="GE138" s="324"/>
      <c r="GF138" s="324"/>
      <c r="GG138" s="324"/>
      <c r="GH138" s="324"/>
      <c r="GI138" s="324"/>
      <c r="GJ138" s="324"/>
      <c r="GK138" s="324"/>
      <c r="GL138" s="324"/>
      <c r="GM138" s="324"/>
      <c r="GN138" s="324"/>
      <c r="GO138" s="324"/>
      <c r="GP138" s="324"/>
      <c r="GQ138" s="324"/>
      <c r="GR138" s="324"/>
      <c r="GS138" s="324"/>
      <c r="GT138" s="324"/>
      <c r="GU138" s="324"/>
      <c r="GV138" s="324"/>
      <c r="GW138" s="324"/>
      <c r="GX138" s="324"/>
      <c r="GY138" s="324"/>
      <c r="GZ138" s="324"/>
      <c r="HA138" s="324"/>
      <c r="HB138" s="324"/>
      <c r="HC138" s="324"/>
      <c r="HD138" s="324"/>
      <c r="HE138" s="324"/>
      <c r="HF138" s="324"/>
      <c r="HG138" s="324"/>
      <c r="HH138" s="324"/>
      <c r="HI138" s="324"/>
      <c r="HJ138" s="324"/>
      <c r="HK138" s="324"/>
      <c r="HL138" s="324"/>
      <c r="HM138" s="324"/>
      <c r="HN138" s="324"/>
      <c r="HO138" s="324"/>
      <c r="HP138" s="324"/>
      <c r="HQ138" s="324"/>
      <c r="HR138" s="324"/>
      <c r="HS138" s="324"/>
      <c r="HT138" s="324"/>
      <c r="HU138" s="324"/>
      <c r="HV138" s="324"/>
      <c r="HW138" s="324"/>
      <c r="HX138" s="324"/>
      <c r="HY138" s="324"/>
      <c r="HZ138" s="324"/>
      <c r="IA138" s="324"/>
      <c r="IB138" s="324"/>
      <c r="IC138" s="324"/>
      <c r="ID138" s="324"/>
      <c r="IE138" s="324"/>
      <c r="IF138" s="324"/>
      <c r="IG138" s="324"/>
      <c r="IH138" s="324"/>
      <c r="II138" s="324"/>
      <c r="IJ138" s="324"/>
      <c r="IK138" s="324"/>
      <c r="IL138" s="324"/>
      <c r="IM138" s="324"/>
    </row>
    <row r="139" spans="1:247" x14ac:dyDescent="0.35">
      <c r="A139" s="356">
        <v>7233</v>
      </c>
      <c r="B139" s="357" t="s">
        <v>145</v>
      </c>
      <c r="C139" s="172" t="s">
        <v>8</v>
      </c>
      <c r="D139" s="358" t="s">
        <v>2053</v>
      </c>
      <c r="E139" s="336"/>
      <c r="F139" s="331">
        <f t="shared" si="29"/>
        <v>1.0209999999999999</v>
      </c>
      <c r="G139" s="337">
        <f>+$G$3</f>
        <v>1.0269999999999999</v>
      </c>
      <c r="H139" s="336">
        <f>+$H$3</f>
        <v>1.0029999999999999</v>
      </c>
      <c r="I139" s="338"/>
      <c r="J139" s="338">
        <f>+$J$3</f>
        <v>1.0049999999999999</v>
      </c>
      <c r="K139" s="338"/>
      <c r="L139" s="338"/>
      <c r="M139" s="338"/>
      <c r="N139" s="337"/>
      <c r="O139" s="339"/>
      <c r="P139" s="336"/>
      <c r="Q139" s="337"/>
      <c r="R139" s="340">
        <f t="shared" si="30"/>
        <v>1.0569712645049996</v>
      </c>
      <c r="S139" s="324"/>
      <c r="T139" s="324"/>
      <c r="U139" s="324"/>
      <c r="V139" s="324"/>
      <c r="W139" s="324"/>
      <c r="X139" s="324"/>
      <c r="Y139" s="324"/>
      <c r="Z139" s="324"/>
      <c r="AA139" s="324"/>
      <c r="AB139" s="324"/>
      <c r="AC139" s="324"/>
      <c r="AD139" s="324"/>
      <c r="AE139" s="324"/>
      <c r="AF139" s="324"/>
      <c r="AG139" s="324"/>
      <c r="AH139" s="324"/>
      <c r="AI139" s="324"/>
      <c r="AJ139" s="324"/>
      <c r="AK139" s="324"/>
      <c r="AL139" s="324"/>
      <c r="AM139" s="324"/>
      <c r="AN139" s="324"/>
      <c r="AO139" s="324"/>
      <c r="AP139" s="324"/>
      <c r="AQ139" s="324"/>
      <c r="AR139" s="324"/>
      <c r="AS139" s="324"/>
      <c r="AT139" s="324"/>
      <c r="AU139" s="324"/>
      <c r="AV139" s="324"/>
      <c r="AW139" s="324"/>
      <c r="AX139" s="324"/>
      <c r="AY139" s="324"/>
      <c r="AZ139" s="324"/>
      <c r="BA139" s="324"/>
      <c r="BB139" s="324"/>
      <c r="BC139" s="324"/>
      <c r="BD139" s="324"/>
      <c r="BE139" s="324"/>
      <c r="BF139" s="324"/>
      <c r="BG139" s="324"/>
      <c r="BH139" s="324"/>
      <c r="BI139" s="324"/>
      <c r="BJ139" s="324"/>
      <c r="BK139" s="324"/>
      <c r="BL139" s="324"/>
      <c r="BM139" s="324"/>
      <c r="BN139" s="324"/>
      <c r="BO139" s="324"/>
      <c r="BP139" s="324"/>
      <c r="BQ139" s="324"/>
      <c r="BR139" s="324"/>
      <c r="BS139" s="324"/>
      <c r="BT139" s="324"/>
      <c r="BU139" s="324"/>
      <c r="BV139" s="324"/>
      <c r="BW139" s="324"/>
      <c r="BX139" s="324"/>
      <c r="BY139" s="324"/>
      <c r="BZ139" s="324"/>
      <c r="CA139" s="324"/>
      <c r="CB139" s="324"/>
      <c r="CC139" s="324"/>
      <c r="CD139" s="324"/>
      <c r="CE139" s="324"/>
      <c r="CF139" s="324"/>
      <c r="CG139" s="324"/>
      <c r="CH139" s="324"/>
      <c r="CI139" s="324"/>
      <c r="CJ139" s="324"/>
      <c r="CK139" s="324"/>
      <c r="CL139" s="324"/>
      <c r="CM139" s="324"/>
      <c r="CN139" s="324"/>
      <c r="CO139" s="324"/>
      <c r="CP139" s="324"/>
      <c r="CQ139" s="324"/>
      <c r="CR139" s="324"/>
      <c r="CS139" s="324"/>
      <c r="CT139" s="324"/>
      <c r="CU139" s="324"/>
      <c r="CV139" s="324"/>
      <c r="CW139" s="324"/>
      <c r="CX139" s="324"/>
      <c r="CY139" s="324"/>
      <c r="CZ139" s="324"/>
      <c r="DA139" s="324"/>
      <c r="DB139" s="324"/>
      <c r="DC139" s="324"/>
      <c r="DD139" s="324"/>
      <c r="DE139" s="324"/>
      <c r="DF139" s="324"/>
      <c r="DG139" s="324"/>
      <c r="DH139" s="324"/>
      <c r="DI139" s="324"/>
      <c r="DJ139" s="324"/>
      <c r="DK139" s="324"/>
      <c r="DL139" s="324"/>
      <c r="DM139" s="324"/>
      <c r="DN139" s="324"/>
      <c r="DO139" s="324"/>
      <c r="DP139" s="324"/>
      <c r="DQ139" s="324"/>
      <c r="DR139" s="324"/>
      <c r="DS139" s="324"/>
      <c r="DT139" s="324"/>
      <c r="DU139" s="324"/>
      <c r="DV139" s="324"/>
      <c r="DW139" s="324"/>
      <c r="DX139" s="324"/>
      <c r="DY139" s="324"/>
      <c r="DZ139" s="324"/>
      <c r="EA139" s="324"/>
      <c r="EB139" s="324"/>
      <c r="EC139" s="324"/>
      <c r="ED139" s="324"/>
      <c r="EE139" s="324"/>
      <c r="EF139" s="324"/>
      <c r="EG139" s="324"/>
      <c r="EH139" s="324"/>
      <c r="EI139" s="324"/>
      <c r="EJ139" s="324"/>
      <c r="EK139" s="324"/>
      <c r="EL139" s="324"/>
      <c r="EM139" s="324"/>
      <c r="EN139" s="324"/>
      <c r="EO139" s="324"/>
      <c r="EP139" s="324"/>
      <c r="EQ139" s="324"/>
      <c r="ER139" s="324"/>
      <c r="ES139" s="324"/>
      <c r="ET139" s="324"/>
      <c r="EU139" s="324"/>
      <c r="EV139" s="324"/>
      <c r="EW139" s="324"/>
      <c r="EX139" s="324"/>
      <c r="EY139" s="324"/>
      <c r="EZ139" s="324"/>
      <c r="FA139" s="324"/>
      <c r="FB139" s="324"/>
      <c r="FC139" s="324"/>
      <c r="FD139" s="324"/>
      <c r="FE139" s="324"/>
      <c r="FF139" s="324"/>
      <c r="FG139" s="324"/>
      <c r="FH139" s="324"/>
      <c r="FI139" s="324"/>
      <c r="FJ139" s="324"/>
      <c r="FK139" s="324"/>
      <c r="FL139" s="324"/>
      <c r="FM139" s="324"/>
      <c r="FN139" s="324"/>
      <c r="FO139" s="324"/>
      <c r="FP139" s="324"/>
      <c r="FQ139" s="324"/>
      <c r="FR139" s="324"/>
      <c r="FS139" s="324"/>
      <c r="FT139" s="324"/>
      <c r="FU139" s="324"/>
      <c r="FV139" s="324"/>
      <c r="FW139" s="324"/>
      <c r="FX139" s="324"/>
      <c r="FY139" s="324"/>
      <c r="FZ139" s="324"/>
      <c r="GA139" s="324"/>
      <c r="GB139" s="324"/>
      <c r="GC139" s="324"/>
      <c r="GD139" s="324"/>
      <c r="GE139" s="324"/>
      <c r="GF139" s="324"/>
      <c r="GG139" s="324"/>
      <c r="GH139" s="324"/>
      <c r="GI139" s="324"/>
      <c r="GJ139" s="324"/>
      <c r="GK139" s="324"/>
      <c r="GL139" s="324"/>
      <c r="GM139" s="324"/>
      <c r="GN139" s="324"/>
      <c r="GO139" s="324"/>
      <c r="GP139" s="324"/>
      <c r="GQ139" s="324"/>
      <c r="GR139" s="324"/>
      <c r="GS139" s="324"/>
      <c r="GT139" s="324"/>
      <c r="GU139" s="324"/>
      <c r="GV139" s="324"/>
      <c r="GW139" s="324"/>
      <c r="GX139" s="324"/>
      <c r="GY139" s="324"/>
      <c r="GZ139" s="324"/>
      <c r="HA139" s="324"/>
      <c r="HB139" s="324"/>
      <c r="HC139" s="324"/>
      <c r="HD139" s="324"/>
      <c r="HE139" s="324"/>
      <c r="HF139" s="324"/>
      <c r="HG139" s="324"/>
      <c r="HH139" s="324"/>
      <c r="HI139" s="324"/>
      <c r="HJ139" s="324"/>
      <c r="HK139" s="324"/>
      <c r="HL139" s="324"/>
      <c r="HM139" s="324"/>
      <c r="HN139" s="324"/>
      <c r="HO139" s="324"/>
      <c r="HP139" s="324"/>
      <c r="HQ139" s="324"/>
      <c r="HR139" s="324"/>
      <c r="HS139" s="324"/>
      <c r="HT139" s="324"/>
      <c r="HU139" s="324"/>
      <c r="HV139" s="324"/>
      <c r="HW139" s="324"/>
      <c r="HX139" s="324"/>
      <c r="HY139" s="324"/>
      <c r="HZ139" s="324"/>
      <c r="IA139" s="324"/>
      <c r="IB139" s="324"/>
      <c r="IC139" s="324"/>
      <c r="ID139" s="324"/>
      <c r="IE139" s="324"/>
      <c r="IF139" s="324"/>
      <c r="IG139" s="324"/>
      <c r="IH139" s="324"/>
      <c r="II139" s="324"/>
      <c r="IJ139" s="324"/>
      <c r="IK139" s="324"/>
      <c r="IL139" s="324"/>
      <c r="IM139" s="324"/>
    </row>
    <row r="140" spans="1:247" x14ac:dyDescent="0.35">
      <c r="A140" s="356">
        <v>7234</v>
      </c>
      <c r="B140" s="357" t="s">
        <v>146</v>
      </c>
      <c r="C140" s="172" t="s">
        <v>8</v>
      </c>
      <c r="D140" s="358" t="s">
        <v>2053</v>
      </c>
      <c r="E140" s="336"/>
      <c r="F140" s="331">
        <f t="shared" si="29"/>
        <v>1.0209999999999999</v>
      </c>
      <c r="G140" s="337">
        <f>+$G$3</f>
        <v>1.0269999999999999</v>
      </c>
      <c r="H140" s="336"/>
      <c r="I140" s="338"/>
      <c r="J140" s="338"/>
      <c r="K140" s="338">
        <f>+$K$3</f>
        <v>1.026</v>
      </c>
      <c r="L140" s="338">
        <f>+$L$3</f>
        <v>1.0129999999999999</v>
      </c>
      <c r="M140" s="338"/>
      <c r="N140" s="337">
        <f>+$N$3</f>
        <v>1.0029999999999999</v>
      </c>
      <c r="O140" s="339"/>
      <c r="P140" s="336">
        <f>+$P$3</f>
        <v>1.032</v>
      </c>
      <c r="Q140" s="337">
        <f>+$Q$3</f>
        <v>1.0349999999999999</v>
      </c>
      <c r="R140" s="340">
        <f t="shared" si="30"/>
        <v>1.1675459237447372</v>
      </c>
      <c r="S140" s="324"/>
      <c r="T140" s="324"/>
      <c r="U140" s="324"/>
      <c r="V140" s="324"/>
      <c r="W140" s="324"/>
      <c r="X140" s="324"/>
      <c r="Y140" s="324"/>
      <c r="Z140" s="324"/>
      <c r="AA140" s="324"/>
      <c r="AB140" s="324"/>
      <c r="AC140" s="324"/>
      <c r="AD140" s="324"/>
      <c r="AE140" s="324"/>
      <c r="AF140" s="324"/>
      <c r="AG140" s="324"/>
      <c r="AH140" s="324"/>
      <c r="AI140" s="324"/>
      <c r="AJ140" s="324"/>
      <c r="AK140" s="324"/>
      <c r="AL140" s="324"/>
      <c r="AM140" s="324"/>
      <c r="AN140" s="324"/>
      <c r="AO140" s="324"/>
      <c r="AP140" s="324"/>
      <c r="AQ140" s="324"/>
      <c r="AR140" s="324"/>
      <c r="AS140" s="324"/>
      <c r="AT140" s="324"/>
      <c r="AU140" s="324"/>
      <c r="AV140" s="324"/>
      <c r="AW140" s="324"/>
      <c r="AX140" s="324"/>
      <c r="AY140" s="324"/>
      <c r="AZ140" s="324"/>
      <c r="BA140" s="324"/>
      <c r="BB140" s="324"/>
      <c r="BC140" s="324"/>
      <c r="BD140" s="324"/>
      <c r="BE140" s="324"/>
      <c r="BF140" s="324"/>
      <c r="BG140" s="324"/>
      <c r="BH140" s="324"/>
      <c r="BI140" s="324"/>
      <c r="BJ140" s="324"/>
      <c r="BK140" s="324"/>
      <c r="BL140" s="324"/>
      <c r="BM140" s="324"/>
      <c r="BN140" s="324"/>
      <c r="BO140" s="324"/>
      <c r="BP140" s="324"/>
      <c r="BQ140" s="324"/>
      <c r="BR140" s="324"/>
      <c r="BS140" s="324"/>
      <c r="BT140" s="324"/>
      <c r="BU140" s="324"/>
      <c r="BV140" s="324"/>
      <c r="BW140" s="324"/>
      <c r="BX140" s="324"/>
      <c r="BY140" s="324"/>
      <c r="BZ140" s="324"/>
      <c r="CA140" s="324"/>
      <c r="CB140" s="324"/>
      <c r="CC140" s="324"/>
      <c r="CD140" s="324"/>
      <c r="CE140" s="324"/>
      <c r="CF140" s="324"/>
      <c r="CG140" s="324"/>
      <c r="CH140" s="324"/>
      <c r="CI140" s="324"/>
      <c r="CJ140" s="324"/>
      <c r="CK140" s="324"/>
      <c r="CL140" s="324"/>
      <c r="CM140" s="324"/>
      <c r="CN140" s="324"/>
      <c r="CO140" s="324"/>
      <c r="CP140" s="324"/>
      <c r="CQ140" s="324"/>
      <c r="CR140" s="324"/>
      <c r="CS140" s="324"/>
      <c r="CT140" s="324"/>
      <c r="CU140" s="324"/>
      <c r="CV140" s="324"/>
      <c r="CW140" s="324"/>
      <c r="CX140" s="324"/>
      <c r="CY140" s="324"/>
      <c r="CZ140" s="324"/>
      <c r="DA140" s="324"/>
      <c r="DB140" s="324"/>
      <c r="DC140" s="324"/>
      <c r="DD140" s="324"/>
      <c r="DE140" s="324"/>
      <c r="DF140" s="324"/>
      <c r="DG140" s="324"/>
      <c r="DH140" s="324"/>
      <c r="DI140" s="324"/>
      <c r="DJ140" s="324"/>
      <c r="DK140" s="324"/>
      <c r="DL140" s="324"/>
      <c r="DM140" s="324"/>
      <c r="DN140" s="324"/>
      <c r="DO140" s="324"/>
      <c r="DP140" s="324"/>
      <c r="DQ140" s="324"/>
      <c r="DR140" s="324"/>
      <c r="DS140" s="324"/>
      <c r="DT140" s="324"/>
      <c r="DU140" s="324"/>
      <c r="DV140" s="324"/>
      <c r="DW140" s="324"/>
      <c r="DX140" s="324"/>
      <c r="DY140" s="324"/>
      <c r="DZ140" s="324"/>
      <c r="EA140" s="324"/>
      <c r="EB140" s="324"/>
      <c r="EC140" s="324"/>
      <c r="ED140" s="324"/>
      <c r="EE140" s="324"/>
      <c r="EF140" s="324"/>
      <c r="EG140" s="324"/>
      <c r="EH140" s="324"/>
      <c r="EI140" s="324"/>
      <c r="EJ140" s="324"/>
      <c r="EK140" s="324"/>
      <c r="EL140" s="324"/>
      <c r="EM140" s="324"/>
      <c r="EN140" s="324"/>
      <c r="EO140" s="324"/>
      <c r="EP140" s="324"/>
      <c r="EQ140" s="324"/>
      <c r="ER140" s="324"/>
      <c r="ES140" s="324"/>
      <c r="ET140" s="324"/>
      <c r="EU140" s="324"/>
      <c r="EV140" s="324"/>
      <c r="EW140" s="324"/>
      <c r="EX140" s="324"/>
      <c r="EY140" s="324"/>
      <c r="EZ140" s="324"/>
      <c r="FA140" s="324"/>
      <c r="FB140" s="324"/>
      <c r="FC140" s="324"/>
      <c r="FD140" s="324"/>
      <c r="FE140" s="324"/>
      <c r="FF140" s="324"/>
      <c r="FG140" s="324"/>
      <c r="FH140" s="324"/>
      <c r="FI140" s="324"/>
      <c r="FJ140" s="324"/>
      <c r="FK140" s="324"/>
      <c r="FL140" s="324"/>
      <c r="FM140" s="324"/>
      <c r="FN140" s="324"/>
      <c r="FO140" s="324"/>
      <c r="FP140" s="324"/>
      <c r="FQ140" s="324"/>
      <c r="FR140" s="324"/>
      <c r="FS140" s="324"/>
      <c r="FT140" s="324"/>
      <c r="FU140" s="324"/>
      <c r="FV140" s="324"/>
      <c r="FW140" s="324"/>
      <c r="FX140" s="324"/>
      <c r="FY140" s="324"/>
      <c r="FZ140" s="324"/>
      <c r="GA140" s="324"/>
      <c r="GB140" s="324"/>
      <c r="GC140" s="324"/>
      <c r="GD140" s="324"/>
      <c r="GE140" s="324"/>
      <c r="GF140" s="324"/>
      <c r="GG140" s="324"/>
      <c r="GH140" s="324"/>
      <c r="GI140" s="324"/>
      <c r="GJ140" s="324"/>
      <c r="GK140" s="324"/>
      <c r="GL140" s="324"/>
      <c r="GM140" s="324"/>
      <c r="GN140" s="324"/>
      <c r="GO140" s="324"/>
      <c r="GP140" s="324"/>
      <c r="GQ140" s="324"/>
      <c r="GR140" s="324"/>
      <c r="GS140" s="324"/>
      <c r="GT140" s="324"/>
      <c r="GU140" s="324"/>
      <c r="GV140" s="324"/>
      <c r="GW140" s="324"/>
      <c r="GX140" s="324"/>
      <c r="GY140" s="324"/>
      <c r="GZ140" s="324"/>
      <c r="HA140" s="324"/>
      <c r="HB140" s="324"/>
      <c r="HC140" s="324"/>
      <c r="HD140" s="324"/>
      <c r="HE140" s="324"/>
      <c r="HF140" s="324"/>
      <c r="HG140" s="324"/>
      <c r="HH140" s="324"/>
      <c r="HI140" s="324"/>
      <c r="HJ140" s="324"/>
      <c r="HK140" s="324"/>
      <c r="HL140" s="324"/>
      <c r="HM140" s="324"/>
      <c r="HN140" s="324"/>
      <c r="HO140" s="324"/>
      <c r="HP140" s="324"/>
      <c r="HQ140" s="324"/>
      <c r="HR140" s="324"/>
      <c r="HS140" s="324"/>
      <c r="HT140" s="324"/>
      <c r="HU140" s="324"/>
      <c r="HV140" s="324"/>
      <c r="HW140" s="324"/>
      <c r="HX140" s="324"/>
      <c r="HY140" s="324"/>
      <c r="HZ140" s="324"/>
      <c r="IA140" s="324"/>
      <c r="IB140" s="324"/>
      <c r="IC140" s="324"/>
      <c r="ID140" s="324"/>
      <c r="IE140" s="324"/>
      <c r="IF140" s="324"/>
      <c r="IG140" s="324"/>
      <c r="IH140" s="324"/>
      <c r="II140" s="324"/>
      <c r="IJ140" s="324"/>
      <c r="IK140" s="324"/>
      <c r="IL140" s="324"/>
      <c r="IM140" s="324"/>
    </row>
    <row r="141" spans="1:247" x14ac:dyDescent="0.35">
      <c r="A141" s="356">
        <v>7235</v>
      </c>
      <c r="B141" s="357" t="s">
        <v>147</v>
      </c>
      <c r="C141" s="172" t="s">
        <v>10</v>
      </c>
      <c r="D141" s="358" t="s">
        <v>2051</v>
      </c>
      <c r="E141" s="336"/>
      <c r="F141" s="331">
        <f t="shared" si="29"/>
        <v>1.0209999999999999</v>
      </c>
      <c r="G141" s="337"/>
      <c r="H141" s="336"/>
      <c r="I141" s="338"/>
      <c r="J141" s="338"/>
      <c r="K141" s="338"/>
      <c r="L141" s="338"/>
      <c r="M141" s="338"/>
      <c r="N141" s="337"/>
      <c r="O141" s="339"/>
      <c r="P141" s="336"/>
      <c r="Q141" s="337"/>
      <c r="R141" s="340">
        <f t="shared" si="30"/>
        <v>1.0209999999999999</v>
      </c>
      <c r="S141" s="324"/>
      <c r="T141" s="324"/>
      <c r="U141" s="324"/>
      <c r="V141" s="324"/>
      <c r="W141" s="324"/>
      <c r="X141" s="324"/>
      <c r="Y141" s="324"/>
      <c r="Z141" s="324"/>
      <c r="AA141" s="324"/>
      <c r="AB141" s="324"/>
      <c r="AC141" s="324"/>
      <c r="AD141" s="324"/>
      <c r="AE141" s="324"/>
      <c r="AF141" s="324"/>
      <c r="AG141" s="324"/>
      <c r="AH141" s="324"/>
      <c r="AI141" s="324"/>
      <c r="AJ141" s="324"/>
      <c r="AK141" s="324"/>
      <c r="AL141" s="324"/>
      <c r="AM141" s="324"/>
      <c r="AN141" s="324"/>
      <c r="AO141" s="324"/>
      <c r="AP141" s="324"/>
      <c r="AQ141" s="324"/>
      <c r="AR141" s="324"/>
      <c r="AS141" s="324"/>
      <c r="AT141" s="324"/>
      <c r="AU141" s="324"/>
      <c r="AV141" s="324"/>
      <c r="AW141" s="324"/>
      <c r="AX141" s="324"/>
      <c r="AY141" s="324"/>
      <c r="AZ141" s="324"/>
      <c r="BA141" s="324"/>
      <c r="BB141" s="324"/>
      <c r="BC141" s="324"/>
      <c r="BD141" s="324"/>
      <c r="BE141" s="324"/>
      <c r="BF141" s="324"/>
      <c r="BG141" s="324"/>
      <c r="BH141" s="324"/>
      <c r="BI141" s="324"/>
      <c r="BJ141" s="324"/>
      <c r="BK141" s="324"/>
      <c r="BL141" s="324"/>
      <c r="BM141" s="324"/>
      <c r="BN141" s="324"/>
      <c r="BO141" s="324"/>
      <c r="BP141" s="324"/>
      <c r="BQ141" s="324"/>
      <c r="BR141" s="324"/>
      <c r="BS141" s="324"/>
      <c r="BT141" s="324"/>
      <c r="BU141" s="324"/>
      <c r="BV141" s="324"/>
      <c r="BW141" s="324"/>
      <c r="BX141" s="324"/>
      <c r="BY141" s="324"/>
      <c r="BZ141" s="324"/>
      <c r="CA141" s="324"/>
      <c r="CB141" s="324"/>
      <c r="CC141" s="324"/>
      <c r="CD141" s="324"/>
      <c r="CE141" s="324"/>
      <c r="CF141" s="324"/>
      <c r="CG141" s="324"/>
      <c r="CH141" s="324"/>
      <c r="CI141" s="324"/>
      <c r="CJ141" s="324"/>
      <c r="CK141" s="324"/>
      <c r="CL141" s="324"/>
      <c r="CM141" s="324"/>
      <c r="CN141" s="324"/>
      <c r="CO141" s="324"/>
      <c r="CP141" s="324"/>
      <c r="CQ141" s="324"/>
      <c r="CR141" s="324"/>
      <c r="CS141" s="324"/>
      <c r="CT141" s="324"/>
      <c r="CU141" s="324"/>
      <c r="CV141" s="324"/>
      <c r="CW141" s="324"/>
      <c r="CX141" s="324"/>
      <c r="CY141" s="324"/>
      <c r="CZ141" s="324"/>
      <c r="DA141" s="324"/>
      <c r="DB141" s="324"/>
      <c r="DC141" s="324"/>
      <c r="DD141" s="324"/>
      <c r="DE141" s="324"/>
      <c r="DF141" s="324"/>
      <c r="DG141" s="324"/>
      <c r="DH141" s="324"/>
      <c r="DI141" s="324"/>
      <c r="DJ141" s="324"/>
      <c r="DK141" s="324"/>
      <c r="DL141" s="324"/>
      <c r="DM141" s="324"/>
      <c r="DN141" s="324"/>
      <c r="DO141" s="324"/>
      <c r="DP141" s="324"/>
      <c r="DQ141" s="324"/>
      <c r="DR141" s="324"/>
      <c r="DS141" s="324"/>
      <c r="DT141" s="324"/>
      <c r="DU141" s="324"/>
      <c r="DV141" s="324"/>
      <c r="DW141" s="324"/>
      <c r="DX141" s="324"/>
      <c r="DY141" s="324"/>
      <c r="DZ141" s="324"/>
      <c r="EA141" s="324"/>
      <c r="EB141" s="324"/>
      <c r="EC141" s="324"/>
      <c r="ED141" s="324"/>
      <c r="EE141" s="324"/>
      <c r="EF141" s="324"/>
      <c r="EG141" s="324"/>
      <c r="EH141" s="324"/>
      <c r="EI141" s="324"/>
      <c r="EJ141" s="324"/>
      <c r="EK141" s="324"/>
      <c r="EL141" s="324"/>
      <c r="EM141" s="324"/>
      <c r="EN141" s="324"/>
      <c r="EO141" s="324"/>
      <c r="EP141" s="324"/>
      <c r="EQ141" s="324"/>
      <c r="ER141" s="324"/>
      <c r="ES141" s="324"/>
      <c r="ET141" s="324"/>
      <c r="EU141" s="324"/>
      <c r="EV141" s="324"/>
      <c r="EW141" s="324"/>
      <c r="EX141" s="324"/>
      <c r="EY141" s="324"/>
      <c r="EZ141" s="324"/>
      <c r="FA141" s="324"/>
      <c r="FB141" s="324"/>
      <c r="FC141" s="324"/>
      <c r="FD141" s="324"/>
      <c r="FE141" s="324"/>
      <c r="FF141" s="324"/>
      <c r="FG141" s="324"/>
      <c r="FH141" s="324"/>
      <c r="FI141" s="324"/>
      <c r="FJ141" s="324"/>
      <c r="FK141" s="324"/>
      <c r="FL141" s="324"/>
      <c r="FM141" s="324"/>
      <c r="FN141" s="324"/>
      <c r="FO141" s="324"/>
      <c r="FP141" s="324"/>
      <c r="FQ141" s="324"/>
      <c r="FR141" s="324"/>
      <c r="FS141" s="324"/>
      <c r="FT141" s="324"/>
      <c r="FU141" s="324"/>
      <c r="FV141" s="324"/>
      <c r="FW141" s="324"/>
      <c r="FX141" s="324"/>
      <c r="FY141" s="324"/>
      <c r="FZ141" s="324"/>
      <c r="GA141" s="324"/>
      <c r="GB141" s="324"/>
      <c r="GC141" s="324"/>
      <c r="GD141" s="324"/>
      <c r="GE141" s="324"/>
      <c r="GF141" s="324"/>
      <c r="GG141" s="324"/>
      <c r="GH141" s="324"/>
      <c r="GI141" s="324"/>
      <c r="GJ141" s="324"/>
      <c r="GK141" s="324"/>
      <c r="GL141" s="324"/>
      <c r="GM141" s="324"/>
      <c r="GN141" s="324"/>
      <c r="GO141" s="324"/>
      <c r="GP141" s="324"/>
      <c r="GQ141" s="324"/>
      <c r="GR141" s="324"/>
      <c r="GS141" s="324"/>
      <c r="GT141" s="324"/>
      <c r="GU141" s="324"/>
      <c r="GV141" s="324"/>
      <c r="GW141" s="324"/>
      <c r="GX141" s="324"/>
      <c r="GY141" s="324"/>
      <c r="GZ141" s="324"/>
      <c r="HA141" s="324"/>
      <c r="HB141" s="324"/>
      <c r="HC141" s="324"/>
      <c r="HD141" s="324"/>
      <c r="HE141" s="324"/>
      <c r="HF141" s="324"/>
      <c r="HG141" s="324"/>
      <c r="HH141" s="324"/>
      <c r="HI141" s="324"/>
      <c r="HJ141" s="324"/>
      <c r="HK141" s="324"/>
      <c r="HL141" s="324"/>
      <c r="HM141" s="324"/>
      <c r="HN141" s="324"/>
      <c r="HO141" s="324"/>
      <c r="HP141" s="324"/>
      <c r="HQ141" s="324"/>
      <c r="HR141" s="324"/>
      <c r="HS141" s="324"/>
      <c r="HT141" s="324"/>
      <c r="HU141" s="324"/>
      <c r="HV141" s="324"/>
      <c r="HW141" s="324"/>
      <c r="HX141" s="324"/>
      <c r="HY141" s="324"/>
      <c r="HZ141" s="324"/>
      <c r="IA141" s="324"/>
      <c r="IB141" s="324"/>
      <c r="IC141" s="324"/>
      <c r="ID141" s="324"/>
      <c r="IE141" s="324"/>
      <c r="IF141" s="324"/>
      <c r="IG141" s="324"/>
      <c r="IH141" s="324"/>
      <c r="II141" s="324"/>
      <c r="IJ141" s="324"/>
      <c r="IK141" s="324"/>
      <c r="IL141" s="324"/>
      <c r="IM141" s="324"/>
    </row>
    <row r="142" spans="1:247" x14ac:dyDescent="0.35">
      <c r="A142" s="356">
        <v>7241</v>
      </c>
      <c r="B142" s="357" t="s">
        <v>148</v>
      </c>
      <c r="C142" s="172" t="s">
        <v>8</v>
      </c>
      <c r="D142" s="358" t="s">
        <v>2053</v>
      </c>
      <c r="E142" s="336">
        <f t="shared" ref="E142:E147" si="31">+$E$3</f>
        <v>1.0740000000000001</v>
      </c>
      <c r="F142" s="331">
        <f t="shared" si="29"/>
        <v>1.0209999999999999</v>
      </c>
      <c r="G142" s="337">
        <f t="shared" ref="G142:G149" si="32">+$G$3</f>
        <v>1.0269999999999999</v>
      </c>
      <c r="H142" s="336">
        <f t="shared" ref="H142:H149" si="33">+$H$3</f>
        <v>1.0029999999999999</v>
      </c>
      <c r="I142" s="338">
        <f t="shared" ref="I142:I149" si="34">+$I$3</f>
        <v>1.0289999999999999</v>
      </c>
      <c r="J142" s="338">
        <f t="shared" ref="J142:J149" si="35">+$J$3</f>
        <v>1.0049999999999999</v>
      </c>
      <c r="K142" s="338">
        <f t="shared" ref="K142:K147" si="36">+$K$3</f>
        <v>1.026</v>
      </c>
      <c r="L142" s="338">
        <f t="shared" ref="L142:L149" si="37">+$L$3</f>
        <v>1.0129999999999999</v>
      </c>
      <c r="M142" s="338">
        <f t="shared" ref="M142:M149" si="38">+$M$3</f>
        <v>1.0029999999999999</v>
      </c>
      <c r="N142" s="337">
        <f t="shared" ref="N142:N149" si="39">+$N$3</f>
        <v>1.0029999999999999</v>
      </c>
      <c r="O142" s="339">
        <f t="shared" ref="O142:O147" si="40">+$O$3</f>
        <v>1.0209999999999999</v>
      </c>
      <c r="P142" s="336">
        <f t="shared" ref="P142:P149" si="41">+$P$3</f>
        <v>1.032</v>
      </c>
      <c r="Q142" s="337">
        <f t="shared" ref="Q142:Q149" si="42">+$Q$3</f>
        <v>1.0349999999999999</v>
      </c>
      <c r="R142" s="340">
        <f t="shared" si="30"/>
        <v>1.3319480854780448</v>
      </c>
      <c r="S142" s="324"/>
      <c r="T142" s="324"/>
      <c r="U142" s="324"/>
      <c r="V142" s="324"/>
      <c r="W142" s="324"/>
      <c r="X142" s="324"/>
      <c r="Y142" s="324"/>
      <c r="Z142" s="324"/>
      <c r="AA142" s="324"/>
      <c r="AB142" s="324"/>
      <c r="AC142" s="324"/>
      <c r="AD142" s="324"/>
      <c r="AE142" s="324"/>
      <c r="AF142" s="324"/>
      <c r="AG142" s="324"/>
      <c r="AH142" s="324"/>
      <c r="AI142" s="324"/>
      <c r="AJ142" s="324"/>
      <c r="AK142" s="324"/>
      <c r="AL142" s="324"/>
      <c r="AM142" s="324"/>
      <c r="AN142" s="324"/>
      <c r="AO142" s="324"/>
      <c r="AP142" s="324"/>
      <c r="AQ142" s="324"/>
      <c r="AR142" s="324"/>
      <c r="AS142" s="324"/>
      <c r="AT142" s="324"/>
      <c r="AU142" s="324"/>
      <c r="AV142" s="324"/>
      <c r="AW142" s="324"/>
      <c r="AX142" s="324"/>
      <c r="AY142" s="324"/>
      <c r="AZ142" s="324"/>
      <c r="BA142" s="324"/>
      <c r="BB142" s="324"/>
      <c r="BC142" s="324"/>
      <c r="BD142" s="324"/>
      <c r="BE142" s="324"/>
      <c r="BF142" s="324"/>
      <c r="BG142" s="324"/>
      <c r="BH142" s="324"/>
      <c r="BI142" s="324"/>
      <c r="BJ142" s="324"/>
      <c r="BK142" s="324"/>
      <c r="BL142" s="324"/>
      <c r="BM142" s="324"/>
      <c r="BN142" s="324"/>
      <c r="BO142" s="324"/>
      <c r="BP142" s="324"/>
      <c r="BQ142" s="324"/>
      <c r="BR142" s="324"/>
      <c r="BS142" s="324"/>
      <c r="BT142" s="324"/>
      <c r="BU142" s="324"/>
      <c r="BV142" s="324"/>
      <c r="BW142" s="324"/>
      <c r="BX142" s="324"/>
      <c r="BY142" s="324"/>
      <c r="BZ142" s="324"/>
      <c r="CA142" s="324"/>
      <c r="CB142" s="324"/>
      <c r="CC142" s="324"/>
      <c r="CD142" s="324"/>
      <c r="CE142" s="324"/>
      <c r="CF142" s="324"/>
      <c r="CG142" s="324"/>
      <c r="CH142" s="324"/>
      <c r="CI142" s="324"/>
      <c r="CJ142" s="324"/>
      <c r="CK142" s="324"/>
      <c r="CL142" s="324"/>
      <c r="CM142" s="324"/>
      <c r="CN142" s="324"/>
      <c r="CO142" s="324"/>
      <c r="CP142" s="324"/>
      <c r="CQ142" s="324"/>
      <c r="CR142" s="324"/>
      <c r="CS142" s="324"/>
      <c r="CT142" s="324"/>
      <c r="CU142" s="324"/>
      <c r="CV142" s="324"/>
      <c r="CW142" s="324"/>
      <c r="CX142" s="324"/>
      <c r="CY142" s="324"/>
      <c r="CZ142" s="324"/>
      <c r="DA142" s="324"/>
      <c r="DB142" s="324"/>
      <c r="DC142" s="324"/>
      <c r="DD142" s="324"/>
      <c r="DE142" s="324"/>
      <c r="DF142" s="324"/>
      <c r="DG142" s="324"/>
      <c r="DH142" s="324"/>
      <c r="DI142" s="324"/>
      <c r="DJ142" s="324"/>
      <c r="DK142" s="324"/>
      <c r="DL142" s="324"/>
      <c r="DM142" s="324"/>
      <c r="DN142" s="324"/>
      <c r="DO142" s="324"/>
      <c r="DP142" s="324"/>
      <c r="DQ142" s="324"/>
      <c r="DR142" s="324"/>
      <c r="DS142" s="324"/>
      <c r="DT142" s="324"/>
      <c r="DU142" s="324"/>
      <c r="DV142" s="324"/>
      <c r="DW142" s="324"/>
      <c r="DX142" s="324"/>
      <c r="DY142" s="324"/>
      <c r="DZ142" s="324"/>
      <c r="EA142" s="324"/>
      <c r="EB142" s="324"/>
      <c r="EC142" s="324"/>
      <c r="ED142" s="324"/>
      <c r="EE142" s="324"/>
      <c r="EF142" s="324"/>
      <c r="EG142" s="324"/>
      <c r="EH142" s="324"/>
      <c r="EI142" s="324"/>
      <c r="EJ142" s="324"/>
      <c r="EK142" s="324"/>
      <c r="EL142" s="324"/>
      <c r="EM142" s="324"/>
      <c r="EN142" s="324"/>
      <c r="EO142" s="324"/>
      <c r="EP142" s="324"/>
      <c r="EQ142" s="324"/>
      <c r="ER142" s="324"/>
      <c r="ES142" s="324"/>
      <c r="ET142" s="324"/>
      <c r="EU142" s="324"/>
      <c r="EV142" s="324"/>
      <c r="EW142" s="324"/>
      <c r="EX142" s="324"/>
      <c r="EY142" s="324"/>
      <c r="EZ142" s="324"/>
      <c r="FA142" s="324"/>
      <c r="FB142" s="324"/>
      <c r="FC142" s="324"/>
      <c r="FD142" s="324"/>
      <c r="FE142" s="324"/>
      <c r="FF142" s="324"/>
      <c r="FG142" s="324"/>
      <c r="FH142" s="324"/>
      <c r="FI142" s="324"/>
      <c r="FJ142" s="324"/>
      <c r="FK142" s="324"/>
      <c r="FL142" s="324"/>
      <c r="FM142" s="324"/>
      <c r="FN142" s="324"/>
      <c r="FO142" s="324"/>
      <c r="FP142" s="324"/>
      <c r="FQ142" s="324"/>
      <c r="FR142" s="324"/>
      <c r="FS142" s="324"/>
      <c r="FT142" s="324"/>
      <c r="FU142" s="324"/>
      <c r="FV142" s="324"/>
      <c r="FW142" s="324"/>
      <c r="FX142" s="324"/>
      <c r="FY142" s="324"/>
      <c r="FZ142" s="324"/>
      <c r="GA142" s="324"/>
      <c r="GB142" s="324"/>
      <c r="GC142" s="324"/>
      <c r="GD142" s="324"/>
      <c r="GE142" s="324"/>
      <c r="GF142" s="324"/>
      <c r="GG142" s="324"/>
      <c r="GH142" s="324"/>
      <c r="GI142" s="324"/>
      <c r="GJ142" s="324"/>
      <c r="GK142" s="324"/>
      <c r="GL142" s="324"/>
      <c r="GM142" s="324"/>
      <c r="GN142" s="324"/>
      <c r="GO142" s="324"/>
      <c r="GP142" s="324"/>
      <c r="GQ142" s="324"/>
      <c r="GR142" s="324"/>
      <c r="GS142" s="324"/>
      <c r="GT142" s="324"/>
      <c r="GU142" s="324"/>
      <c r="GV142" s="324"/>
      <c r="GW142" s="324"/>
      <c r="GX142" s="324"/>
      <c r="GY142" s="324"/>
      <c r="GZ142" s="324"/>
      <c r="HA142" s="324"/>
      <c r="HB142" s="324"/>
      <c r="HC142" s="324"/>
      <c r="HD142" s="324"/>
      <c r="HE142" s="324"/>
      <c r="HF142" s="324"/>
      <c r="HG142" s="324"/>
      <c r="HH142" s="324"/>
      <c r="HI142" s="324"/>
      <c r="HJ142" s="324"/>
      <c r="HK142" s="324"/>
      <c r="HL142" s="324"/>
      <c r="HM142" s="324"/>
      <c r="HN142" s="324"/>
      <c r="HO142" s="324"/>
      <c r="HP142" s="324"/>
      <c r="HQ142" s="324"/>
      <c r="HR142" s="324"/>
      <c r="HS142" s="324"/>
      <c r="HT142" s="324"/>
      <c r="HU142" s="324"/>
      <c r="HV142" s="324"/>
      <c r="HW142" s="324"/>
      <c r="HX142" s="324"/>
      <c r="HY142" s="324"/>
      <c r="HZ142" s="324"/>
      <c r="IA142" s="324"/>
      <c r="IB142" s="324"/>
      <c r="IC142" s="324"/>
      <c r="ID142" s="324"/>
      <c r="IE142" s="324"/>
      <c r="IF142" s="324"/>
      <c r="IG142" s="324"/>
      <c r="IH142" s="324"/>
      <c r="II142" s="324"/>
      <c r="IJ142" s="324"/>
      <c r="IK142" s="324"/>
      <c r="IL142" s="324"/>
      <c r="IM142" s="324"/>
    </row>
    <row r="143" spans="1:247" x14ac:dyDescent="0.35">
      <c r="A143" s="356">
        <v>7242</v>
      </c>
      <c r="B143" s="357" t="s">
        <v>149</v>
      </c>
      <c r="C143" s="172" t="s">
        <v>8</v>
      </c>
      <c r="D143" s="358" t="s">
        <v>2053</v>
      </c>
      <c r="E143" s="336">
        <f t="shared" si="31"/>
        <v>1.0740000000000001</v>
      </c>
      <c r="F143" s="331">
        <f t="shared" si="29"/>
        <v>1.0209999999999999</v>
      </c>
      <c r="G143" s="337">
        <f t="shared" si="32"/>
        <v>1.0269999999999999</v>
      </c>
      <c r="H143" s="336">
        <f t="shared" si="33"/>
        <v>1.0029999999999999</v>
      </c>
      <c r="I143" s="338">
        <f t="shared" si="34"/>
        <v>1.0289999999999999</v>
      </c>
      <c r="J143" s="338">
        <f t="shared" si="35"/>
        <v>1.0049999999999999</v>
      </c>
      <c r="K143" s="338">
        <f t="shared" si="36"/>
        <v>1.026</v>
      </c>
      <c r="L143" s="338">
        <f t="shared" si="37"/>
        <v>1.0129999999999999</v>
      </c>
      <c r="M143" s="338">
        <f t="shared" si="38"/>
        <v>1.0029999999999999</v>
      </c>
      <c r="N143" s="337">
        <f t="shared" si="39"/>
        <v>1.0029999999999999</v>
      </c>
      <c r="O143" s="339">
        <f t="shared" si="40"/>
        <v>1.0209999999999999</v>
      </c>
      <c r="P143" s="336">
        <f t="shared" si="41"/>
        <v>1.032</v>
      </c>
      <c r="Q143" s="337">
        <f t="shared" si="42"/>
        <v>1.0349999999999999</v>
      </c>
      <c r="R143" s="340">
        <f t="shared" si="30"/>
        <v>1.3319480854780448</v>
      </c>
      <c r="S143" s="324"/>
      <c r="T143" s="324"/>
      <c r="U143" s="324"/>
      <c r="V143" s="324"/>
      <c r="W143" s="324"/>
      <c r="X143" s="324"/>
      <c r="Y143" s="324"/>
      <c r="Z143" s="324"/>
      <c r="AA143" s="324"/>
      <c r="AB143" s="324"/>
      <c r="AC143" s="324"/>
      <c r="AD143" s="324"/>
      <c r="AE143" s="324"/>
      <c r="AF143" s="324"/>
      <c r="AG143" s="324"/>
      <c r="AH143" s="324"/>
      <c r="AI143" s="324"/>
      <c r="AJ143" s="324"/>
      <c r="AK143" s="324"/>
      <c r="AL143" s="324"/>
      <c r="AM143" s="324"/>
      <c r="AN143" s="324"/>
      <c r="AO143" s="324"/>
      <c r="AP143" s="324"/>
      <c r="AQ143" s="324"/>
      <c r="AR143" s="324"/>
      <c r="AS143" s="324"/>
      <c r="AT143" s="324"/>
      <c r="AU143" s="324"/>
      <c r="AV143" s="324"/>
      <c r="AW143" s="324"/>
      <c r="AX143" s="324"/>
      <c r="AY143" s="324"/>
      <c r="AZ143" s="324"/>
      <c r="BA143" s="324"/>
      <c r="BB143" s="324"/>
      <c r="BC143" s="324"/>
      <c r="BD143" s="324"/>
      <c r="BE143" s="324"/>
      <c r="BF143" s="324"/>
      <c r="BG143" s="324"/>
      <c r="BH143" s="324"/>
      <c r="BI143" s="324"/>
      <c r="BJ143" s="324"/>
      <c r="BK143" s="324"/>
      <c r="BL143" s="324"/>
      <c r="BM143" s="324"/>
      <c r="BN143" s="324"/>
      <c r="BO143" s="324"/>
      <c r="BP143" s="324"/>
      <c r="BQ143" s="324"/>
      <c r="BR143" s="324"/>
      <c r="BS143" s="324"/>
      <c r="BT143" s="324"/>
      <c r="BU143" s="324"/>
      <c r="BV143" s="324"/>
      <c r="BW143" s="324"/>
      <c r="BX143" s="324"/>
      <c r="BY143" s="324"/>
      <c r="BZ143" s="324"/>
      <c r="CA143" s="324"/>
      <c r="CB143" s="324"/>
      <c r="CC143" s="324"/>
      <c r="CD143" s="324"/>
      <c r="CE143" s="324"/>
      <c r="CF143" s="324"/>
      <c r="CG143" s="324"/>
      <c r="CH143" s="324"/>
      <c r="CI143" s="324"/>
      <c r="CJ143" s="324"/>
      <c r="CK143" s="324"/>
      <c r="CL143" s="324"/>
      <c r="CM143" s="324"/>
      <c r="CN143" s="324"/>
      <c r="CO143" s="324"/>
      <c r="CP143" s="324"/>
      <c r="CQ143" s="324"/>
      <c r="CR143" s="324"/>
      <c r="CS143" s="324"/>
      <c r="CT143" s="324"/>
      <c r="CU143" s="324"/>
      <c r="CV143" s="324"/>
      <c r="CW143" s="324"/>
      <c r="CX143" s="324"/>
      <c r="CY143" s="324"/>
      <c r="CZ143" s="324"/>
      <c r="DA143" s="324"/>
      <c r="DB143" s="324"/>
      <c r="DC143" s="324"/>
      <c r="DD143" s="324"/>
      <c r="DE143" s="324"/>
      <c r="DF143" s="324"/>
      <c r="DG143" s="324"/>
      <c r="DH143" s="324"/>
      <c r="DI143" s="324"/>
      <c r="DJ143" s="324"/>
      <c r="DK143" s="324"/>
      <c r="DL143" s="324"/>
      <c r="DM143" s="324"/>
      <c r="DN143" s="324"/>
      <c r="DO143" s="324"/>
      <c r="DP143" s="324"/>
      <c r="DQ143" s="324"/>
      <c r="DR143" s="324"/>
      <c r="DS143" s="324"/>
      <c r="DT143" s="324"/>
      <c r="DU143" s="324"/>
      <c r="DV143" s="324"/>
      <c r="DW143" s="324"/>
      <c r="DX143" s="324"/>
      <c r="DY143" s="324"/>
      <c r="DZ143" s="324"/>
      <c r="EA143" s="324"/>
      <c r="EB143" s="324"/>
      <c r="EC143" s="324"/>
      <c r="ED143" s="324"/>
      <c r="EE143" s="324"/>
      <c r="EF143" s="324"/>
      <c r="EG143" s="324"/>
      <c r="EH143" s="324"/>
      <c r="EI143" s="324"/>
      <c r="EJ143" s="324"/>
      <c r="EK143" s="324"/>
      <c r="EL143" s="324"/>
      <c r="EM143" s="324"/>
      <c r="EN143" s="324"/>
      <c r="EO143" s="324"/>
      <c r="EP143" s="324"/>
      <c r="EQ143" s="324"/>
      <c r="ER143" s="324"/>
      <c r="ES143" s="324"/>
      <c r="ET143" s="324"/>
      <c r="EU143" s="324"/>
      <c r="EV143" s="324"/>
      <c r="EW143" s="324"/>
      <c r="EX143" s="324"/>
      <c r="EY143" s="324"/>
      <c r="EZ143" s="324"/>
      <c r="FA143" s="324"/>
      <c r="FB143" s="324"/>
      <c r="FC143" s="324"/>
      <c r="FD143" s="324"/>
      <c r="FE143" s="324"/>
      <c r="FF143" s="324"/>
      <c r="FG143" s="324"/>
      <c r="FH143" s="324"/>
      <c r="FI143" s="324"/>
      <c r="FJ143" s="324"/>
      <c r="FK143" s="324"/>
      <c r="FL143" s="324"/>
      <c r="FM143" s="324"/>
      <c r="FN143" s="324"/>
      <c r="FO143" s="324"/>
      <c r="FP143" s="324"/>
      <c r="FQ143" s="324"/>
      <c r="FR143" s="324"/>
      <c r="FS143" s="324"/>
      <c r="FT143" s="324"/>
      <c r="FU143" s="324"/>
      <c r="FV143" s="324"/>
      <c r="FW143" s="324"/>
      <c r="FX143" s="324"/>
      <c r="FY143" s="324"/>
      <c r="FZ143" s="324"/>
      <c r="GA143" s="324"/>
      <c r="GB143" s="324"/>
      <c r="GC143" s="324"/>
      <c r="GD143" s="324"/>
      <c r="GE143" s="324"/>
      <c r="GF143" s="324"/>
      <c r="GG143" s="324"/>
      <c r="GH143" s="324"/>
      <c r="GI143" s="324"/>
      <c r="GJ143" s="324"/>
      <c r="GK143" s="324"/>
      <c r="GL143" s="324"/>
      <c r="GM143" s="324"/>
      <c r="GN143" s="324"/>
      <c r="GO143" s="324"/>
      <c r="GP143" s="324"/>
      <c r="GQ143" s="324"/>
      <c r="GR143" s="324"/>
      <c r="GS143" s="324"/>
      <c r="GT143" s="324"/>
      <c r="GU143" s="324"/>
      <c r="GV143" s="324"/>
      <c r="GW143" s="324"/>
      <c r="GX143" s="324"/>
      <c r="GY143" s="324"/>
      <c r="GZ143" s="324"/>
      <c r="HA143" s="324"/>
      <c r="HB143" s="324"/>
      <c r="HC143" s="324"/>
      <c r="HD143" s="324"/>
      <c r="HE143" s="324"/>
      <c r="HF143" s="324"/>
      <c r="HG143" s="324"/>
      <c r="HH143" s="324"/>
      <c r="HI143" s="324"/>
      <c r="HJ143" s="324"/>
      <c r="HK143" s="324"/>
      <c r="HL143" s="324"/>
      <c r="HM143" s="324"/>
      <c r="HN143" s="324"/>
      <c r="HO143" s="324"/>
      <c r="HP143" s="324"/>
      <c r="HQ143" s="324"/>
      <c r="HR143" s="324"/>
      <c r="HS143" s="324"/>
      <c r="HT143" s="324"/>
      <c r="HU143" s="324"/>
      <c r="HV143" s="324"/>
      <c r="HW143" s="324"/>
      <c r="HX143" s="324"/>
      <c r="HY143" s="324"/>
      <c r="HZ143" s="324"/>
      <c r="IA143" s="324"/>
      <c r="IB143" s="324"/>
      <c r="IC143" s="324"/>
      <c r="ID143" s="324"/>
      <c r="IE143" s="324"/>
      <c r="IF143" s="324"/>
      <c r="IG143" s="324"/>
      <c r="IH143" s="324"/>
      <c r="II143" s="324"/>
      <c r="IJ143" s="324"/>
      <c r="IK143" s="324"/>
      <c r="IL143" s="324"/>
      <c r="IM143" s="324"/>
    </row>
    <row r="144" spans="1:247" x14ac:dyDescent="0.35">
      <c r="A144" s="356">
        <v>7250</v>
      </c>
      <c r="B144" s="357" t="s">
        <v>150</v>
      </c>
      <c r="C144" s="172" t="s">
        <v>8</v>
      </c>
      <c r="D144" s="358" t="s">
        <v>2053</v>
      </c>
      <c r="E144" s="336">
        <f t="shared" si="31"/>
        <v>1.0740000000000001</v>
      </c>
      <c r="F144" s="331">
        <f t="shared" si="29"/>
        <v>1.0209999999999999</v>
      </c>
      <c r="G144" s="337">
        <f t="shared" si="32"/>
        <v>1.0269999999999999</v>
      </c>
      <c r="H144" s="336">
        <f t="shared" si="33"/>
        <v>1.0029999999999999</v>
      </c>
      <c r="I144" s="338">
        <f t="shared" si="34"/>
        <v>1.0289999999999999</v>
      </c>
      <c r="J144" s="338">
        <f t="shared" si="35"/>
        <v>1.0049999999999999</v>
      </c>
      <c r="K144" s="338">
        <f t="shared" si="36"/>
        <v>1.026</v>
      </c>
      <c r="L144" s="338">
        <f t="shared" si="37"/>
        <v>1.0129999999999999</v>
      </c>
      <c r="M144" s="338">
        <f t="shared" si="38"/>
        <v>1.0029999999999999</v>
      </c>
      <c r="N144" s="337">
        <f t="shared" si="39"/>
        <v>1.0029999999999999</v>
      </c>
      <c r="O144" s="339">
        <f t="shared" si="40"/>
        <v>1.0209999999999999</v>
      </c>
      <c r="P144" s="336">
        <f t="shared" si="41"/>
        <v>1.032</v>
      </c>
      <c r="Q144" s="337">
        <f t="shared" si="42"/>
        <v>1.0349999999999999</v>
      </c>
      <c r="R144" s="340">
        <f t="shared" si="30"/>
        <v>1.3319480854780448</v>
      </c>
      <c r="S144" s="324"/>
      <c r="T144" s="324"/>
      <c r="U144" s="324"/>
      <c r="V144" s="324"/>
      <c r="W144" s="324"/>
      <c r="X144" s="324"/>
      <c r="Y144" s="324"/>
      <c r="Z144" s="324"/>
      <c r="AA144" s="324"/>
      <c r="AB144" s="324"/>
      <c r="AC144" s="324"/>
      <c r="AD144" s="324"/>
      <c r="AE144" s="324"/>
      <c r="AF144" s="324"/>
      <c r="AG144" s="324"/>
      <c r="AH144" s="324"/>
      <c r="AI144" s="324"/>
      <c r="AJ144" s="324"/>
      <c r="AK144" s="324"/>
      <c r="AL144" s="324"/>
      <c r="AM144" s="324"/>
      <c r="AN144" s="324"/>
      <c r="AO144" s="324"/>
      <c r="AP144" s="324"/>
      <c r="AQ144" s="324"/>
      <c r="AR144" s="324"/>
      <c r="AS144" s="324"/>
      <c r="AT144" s="324"/>
      <c r="AU144" s="324"/>
      <c r="AV144" s="324"/>
      <c r="AW144" s="324"/>
      <c r="AX144" s="324"/>
      <c r="AY144" s="324"/>
      <c r="AZ144" s="324"/>
      <c r="BA144" s="324"/>
      <c r="BB144" s="324"/>
      <c r="BC144" s="324"/>
      <c r="BD144" s="324"/>
      <c r="BE144" s="324"/>
      <c r="BF144" s="324"/>
      <c r="BG144" s="324"/>
      <c r="BH144" s="324"/>
      <c r="BI144" s="324"/>
      <c r="BJ144" s="324"/>
      <c r="BK144" s="324"/>
      <c r="BL144" s="324"/>
      <c r="BM144" s="324"/>
      <c r="BN144" s="324"/>
      <c r="BO144" s="324"/>
      <c r="BP144" s="324"/>
      <c r="BQ144" s="324"/>
      <c r="BR144" s="324"/>
      <c r="BS144" s="324"/>
      <c r="BT144" s="324"/>
      <c r="BU144" s="324"/>
      <c r="BV144" s="324"/>
      <c r="BW144" s="324"/>
      <c r="BX144" s="324"/>
      <c r="BY144" s="324"/>
      <c r="BZ144" s="324"/>
      <c r="CA144" s="324"/>
      <c r="CB144" s="324"/>
      <c r="CC144" s="324"/>
      <c r="CD144" s="324"/>
      <c r="CE144" s="324"/>
      <c r="CF144" s="324"/>
      <c r="CG144" s="324"/>
      <c r="CH144" s="324"/>
      <c r="CI144" s="324"/>
      <c r="CJ144" s="324"/>
      <c r="CK144" s="324"/>
      <c r="CL144" s="324"/>
      <c r="CM144" s="324"/>
      <c r="CN144" s="324"/>
      <c r="CO144" s="324"/>
      <c r="CP144" s="324"/>
      <c r="CQ144" s="324"/>
      <c r="CR144" s="324"/>
      <c r="CS144" s="324"/>
      <c r="CT144" s="324"/>
      <c r="CU144" s="324"/>
      <c r="CV144" s="324"/>
      <c r="CW144" s="324"/>
      <c r="CX144" s="324"/>
      <c r="CY144" s="324"/>
      <c r="CZ144" s="324"/>
      <c r="DA144" s="324"/>
      <c r="DB144" s="324"/>
      <c r="DC144" s="324"/>
      <c r="DD144" s="324"/>
      <c r="DE144" s="324"/>
      <c r="DF144" s="324"/>
      <c r="DG144" s="324"/>
      <c r="DH144" s="324"/>
      <c r="DI144" s="324"/>
      <c r="DJ144" s="324"/>
      <c r="DK144" s="324"/>
      <c r="DL144" s="324"/>
      <c r="DM144" s="324"/>
      <c r="DN144" s="324"/>
      <c r="DO144" s="324"/>
      <c r="DP144" s="324"/>
      <c r="DQ144" s="324"/>
      <c r="DR144" s="324"/>
      <c r="DS144" s="324"/>
      <c r="DT144" s="324"/>
      <c r="DU144" s="324"/>
      <c r="DV144" s="324"/>
      <c r="DW144" s="324"/>
      <c r="DX144" s="324"/>
      <c r="DY144" s="324"/>
      <c r="DZ144" s="324"/>
      <c r="EA144" s="324"/>
      <c r="EB144" s="324"/>
      <c r="EC144" s="324"/>
      <c r="ED144" s="324"/>
      <c r="EE144" s="324"/>
      <c r="EF144" s="324"/>
      <c r="EG144" s="324"/>
      <c r="EH144" s="324"/>
      <c r="EI144" s="324"/>
      <c r="EJ144" s="324"/>
      <c r="EK144" s="324"/>
      <c r="EL144" s="324"/>
      <c r="EM144" s="324"/>
      <c r="EN144" s="324"/>
      <c r="EO144" s="324"/>
      <c r="EP144" s="324"/>
      <c r="EQ144" s="324"/>
      <c r="ER144" s="324"/>
      <c r="ES144" s="324"/>
      <c r="ET144" s="324"/>
      <c r="EU144" s="324"/>
      <c r="EV144" s="324"/>
      <c r="EW144" s="324"/>
      <c r="EX144" s="324"/>
      <c r="EY144" s="324"/>
      <c r="EZ144" s="324"/>
      <c r="FA144" s="324"/>
      <c r="FB144" s="324"/>
      <c r="FC144" s="324"/>
      <c r="FD144" s="324"/>
      <c r="FE144" s="324"/>
      <c r="FF144" s="324"/>
      <c r="FG144" s="324"/>
      <c r="FH144" s="324"/>
      <c r="FI144" s="324"/>
      <c r="FJ144" s="324"/>
      <c r="FK144" s="324"/>
      <c r="FL144" s="324"/>
      <c r="FM144" s="324"/>
      <c r="FN144" s="324"/>
      <c r="FO144" s="324"/>
      <c r="FP144" s="324"/>
      <c r="FQ144" s="324"/>
      <c r="FR144" s="324"/>
      <c r="FS144" s="324"/>
      <c r="FT144" s="324"/>
      <c r="FU144" s="324"/>
      <c r="FV144" s="324"/>
      <c r="FW144" s="324"/>
      <c r="FX144" s="324"/>
      <c r="FY144" s="324"/>
      <c r="FZ144" s="324"/>
      <c r="GA144" s="324"/>
      <c r="GB144" s="324"/>
      <c r="GC144" s="324"/>
      <c r="GD144" s="324"/>
      <c r="GE144" s="324"/>
      <c r="GF144" s="324"/>
      <c r="GG144" s="324"/>
      <c r="GH144" s="324"/>
      <c r="GI144" s="324"/>
      <c r="GJ144" s="324"/>
      <c r="GK144" s="324"/>
      <c r="GL144" s="324"/>
      <c r="GM144" s="324"/>
      <c r="GN144" s="324"/>
      <c r="GO144" s="324"/>
      <c r="GP144" s="324"/>
      <c r="GQ144" s="324"/>
      <c r="GR144" s="324"/>
      <c r="GS144" s="324"/>
      <c r="GT144" s="324"/>
      <c r="GU144" s="324"/>
      <c r="GV144" s="324"/>
      <c r="GW144" s="324"/>
      <c r="GX144" s="324"/>
      <c r="GY144" s="324"/>
      <c r="GZ144" s="324"/>
      <c r="HA144" s="324"/>
      <c r="HB144" s="324"/>
      <c r="HC144" s="324"/>
      <c r="HD144" s="324"/>
      <c r="HE144" s="324"/>
      <c r="HF144" s="324"/>
      <c r="HG144" s="324"/>
      <c r="HH144" s="324"/>
      <c r="HI144" s="324"/>
      <c r="HJ144" s="324"/>
      <c r="HK144" s="324"/>
      <c r="HL144" s="324"/>
      <c r="HM144" s="324"/>
      <c r="HN144" s="324"/>
      <c r="HO144" s="324"/>
      <c r="HP144" s="324"/>
      <c r="HQ144" s="324"/>
      <c r="HR144" s="324"/>
      <c r="HS144" s="324"/>
      <c r="HT144" s="324"/>
      <c r="HU144" s="324"/>
      <c r="HV144" s="324"/>
      <c r="HW144" s="324"/>
      <c r="HX144" s="324"/>
      <c r="HY144" s="324"/>
      <c r="HZ144" s="324"/>
      <c r="IA144" s="324"/>
      <c r="IB144" s="324"/>
      <c r="IC144" s="324"/>
      <c r="ID144" s="324"/>
      <c r="IE144" s="324"/>
      <c r="IF144" s="324"/>
      <c r="IG144" s="324"/>
      <c r="IH144" s="324"/>
      <c r="II144" s="324"/>
      <c r="IJ144" s="324"/>
      <c r="IK144" s="324"/>
      <c r="IL144" s="324"/>
      <c r="IM144" s="324"/>
    </row>
    <row r="145" spans="1:247" x14ac:dyDescent="0.35">
      <c r="A145" s="356">
        <v>7312</v>
      </c>
      <c r="B145" s="357" t="s">
        <v>151</v>
      </c>
      <c r="C145" s="172" t="s">
        <v>8</v>
      </c>
      <c r="D145" s="358" t="s">
        <v>2053</v>
      </c>
      <c r="E145" s="336">
        <f t="shared" si="31"/>
        <v>1.0740000000000001</v>
      </c>
      <c r="F145" s="331">
        <f t="shared" si="29"/>
        <v>1.0209999999999999</v>
      </c>
      <c r="G145" s="337">
        <f t="shared" si="32"/>
        <v>1.0269999999999999</v>
      </c>
      <c r="H145" s="336">
        <f t="shared" si="33"/>
        <v>1.0029999999999999</v>
      </c>
      <c r="I145" s="338">
        <f t="shared" si="34"/>
        <v>1.0289999999999999</v>
      </c>
      <c r="J145" s="338">
        <f t="shared" si="35"/>
        <v>1.0049999999999999</v>
      </c>
      <c r="K145" s="338">
        <f t="shared" si="36"/>
        <v>1.026</v>
      </c>
      <c r="L145" s="338">
        <f t="shared" si="37"/>
        <v>1.0129999999999999</v>
      </c>
      <c r="M145" s="338">
        <f t="shared" si="38"/>
        <v>1.0029999999999999</v>
      </c>
      <c r="N145" s="337">
        <f t="shared" si="39"/>
        <v>1.0029999999999999</v>
      </c>
      <c r="O145" s="339">
        <f t="shared" si="40"/>
        <v>1.0209999999999999</v>
      </c>
      <c r="P145" s="336">
        <f t="shared" si="41"/>
        <v>1.032</v>
      </c>
      <c r="Q145" s="337">
        <f t="shared" si="42"/>
        <v>1.0349999999999999</v>
      </c>
      <c r="R145" s="340">
        <f t="shared" si="30"/>
        <v>1.3319480854780448</v>
      </c>
      <c r="S145" s="324"/>
      <c r="T145" s="324"/>
      <c r="U145" s="324"/>
      <c r="V145" s="324"/>
      <c r="W145" s="324"/>
      <c r="X145" s="324"/>
      <c r="Y145" s="324"/>
      <c r="Z145" s="324"/>
      <c r="AA145" s="324"/>
      <c r="AB145" s="324"/>
      <c r="AC145" s="324"/>
      <c r="AD145" s="324"/>
      <c r="AE145" s="324"/>
      <c r="AF145" s="324"/>
      <c r="AG145" s="324"/>
      <c r="AH145" s="324"/>
      <c r="AI145" s="324"/>
      <c r="AJ145" s="324"/>
      <c r="AK145" s="324"/>
      <c r="AL145" s="324"/>
      <c r="AM145" s="324"/>
      <c r="AN145" s="324"/>
      <c r="AO145" s="324"/>
      <c r="AP145" s="324"/>
      <c r="AQ145" s="324"/>
      <c r="AR145" s="324"/>
      <c r="AS145" s="324"/>
      <c r="AT145" s="324"/>
      <c r="AU145" s="324"/>
      <c r="AV145" s="324"/>
      <c r="AW145" s="324"/>
      <c r="AX145" s="324"/>
      <c r="AY145" s="324"/>
      <c r="AZ145" s="324"/>
      <c r="BA145" s="324"/>
      <c r="BB145" s="324"/>
      <c r="BC145" s="324"/>
      <c r="BD145" s="324"/>
      <c r="BE145" s="324"/>
      <c r="BF145" s="324"/>
      <c r="BG145" s="324"/>
      <c r="BH145" s="324"/>
      <c r="BI145" s="324"/>
      <c r="BJ145" s="324"/>
      <c r="BK145" s="324"/>
      <c r="BL145" s="324"/>
      <c r="BM145" s="324"/>
      <c r="BN145" s="324"/>
      <c r="BO145" s="324"/>
      <c r="BP145" s="324"/>
      <c r="BQ145" s="324"/>
      <c r="BR145" s="324"/>
      <c r="BS145" s="324"/>
      <c r="BT145" s="324"/>
      <c r="BU145" s="324"/>
      <c r="BV145" s="324"/>
      <c r="BW145" s="324"/>
      <c r="BX145" s="324"/>
      <c r="BY145" s="324"/>
      <c r="BZ145" s="324"/>
      <c r="CA145" s="324"/>
      <c r="CB145" s="324"/>
      <c r="CC145" s="324"/>
      <c r="CD145" s="324"/>
      <c r="CE145" s="324"/>
      <c r="CF145" s="324"/>
      <c r="CG145" s="324"/>
      <c r="CH145" s="324"/>
      <c r="CI145" s="324"/>
      <c r="CJ145" s="324"/>
      <c r="CK145" s="324"/>
      <c r="CL145" s="324"/>
      <c r="CM145" s="324"/>
      <c r="CN145" s="324"/>
      <c r="CO145" s="324"/>
      <c r="CP145" s="324"/>
      <c r="CQ145" s="324"/>
      <c r="CR145" s="324"/>
      <c r="CS145" s="324"/>
      <c r="CT145" s="324"/>
      <c r="CU145" s="324"/>
      <c r="CV145" s="324"/>
      <c r="CW145" s="324"/>
      <c r="CX145" s="324"/>
      <c r="CY145" s="324"/>
      <c r="CZ145" s="324"/>
      <c r="DA145" s="324"/>
      <c r="DB145" s="324"/>
      <c r="DC145" s="324"/>
      <c r="DD145" s="324"/>
      <c r="DE145" s="324"/>
      <c r="DF145" s="324"/>
      <c r="DG145" s="324"/>
      <c r="DH145" s="324"/>
      <c r="DI145" s="324"/>
      <c r="DJ145" s="324"/>
      <c r="DK145" s="324"/>
      <c r="DL145" s="324"/>
      <c r="DM145" s="324"/>
      <c r="DN145" s="324"/>
      <c r="DO145" s="324"/>
      <c r="DP145" s="324"/>
      <c r="DQ145" s="324"/>
      <c r="DR145" s="324"/>
      <c r="DS145" s="324"/>
      <c r="DT145" s="324"/>
      <c r="DU145" s="324"/>
      <c r="DV145" s="324"/>
      <c r="DW145" s="324"/>
      <c r="DX145" s="324"/>
      <c r="DY145" s="324"/>
      <c r="DZ145" s="324"/>
      <c r="EA145" s="324"/>
      <c r="EB145" s="324"/>
      <c r="EC145" s="324"/>
      <c r="ED145" s="324"/>
      <c r="EE145" s="324"/>
      <c r="EF145" s="324"/>
      <c r="EG145" s="324"/>
      <c r="EH145" s="324"/>
      <c r="EI145" s="324"/>
      <c r="EJ145" s="324"/>
      <c r="EK145" s="324"/>
      <c r="EL145" s="324"/>
      <c r="EM145" s="324"/>
      <c r="EN145" s="324"/>
      <c r="EO145" s="324"/>
      <c r="EP145" s="324"/>
      <c r="EQ145" s="324"/>
      <c r="ER145" s="324"/>
      <c r="ES145" s="324"/>
      <c r="ET145" s="324"/>
      <c r="EU145" s="324"/>
      <c r="EV145" s="324"/>
      <c r="EW145" s="324"/>
      <c r="EX145" s="324"/>
      <c r="EY145" s="324"/>
      <c r="EZ145" s="324"/>
      <c r="FA145" s="324"/>
      <c r="FB145" s="324"/>
      <c r="FC145" s="324"/>
      <c r="FD145" s="324"/>
      <c r="FE145" s="324"/>
      <c r="FF145" s="324"/>
      <c r="FG145" s="324"/>
      <c r="FH145" s="324"/>
      <c r="FI145" s="324"/>
      <c r="FJ145" s="324"/>
      <c r="FK145" s="324"/>
      <c r="FL145" s="324"/>
      <c r="FM145" s="324"/>
      <c r="FN145" s="324"/>
      <c r="FO145" s="324"/>
      <c r="FP145" s="324"/>
      <c r="FQ145" s="324"/>
      <c r="FR145" s="324"/>
      <c r="FS145" s="324"/>
      <c r="FT145" s="324"/>
      <c r="FU145" s="324"/>
      <c r="FV145" s="324"/>
      <c r="FW145" s="324"/>
      <c r="FX145" s="324"/>
      <c r="FY145" s="324"/>
      <c r="FZ145" s="324"/>
      <c r="GA145" s="324"/>
      <c r="GB145" s="324"/>
      <c r="GC145" s="324"/>
      <c r="GD145" s="324"/>
      <c r="GE145" s="324"/>
      <c r="GF145" s="324"/>
      <c r="GG145" s="324"/>
      <c r="GH145" s="324"/>
      <c r="GI145" s="324"/>
      <c r="GJ145" s="324"/>
      <c r="GK145" s="324"/>
      <c r="GL145" s="324"/>
      <c r="GM145" s="324"/>
      <c r="GN145" s="324"/>
      <c r="GO145" s="324"/>
      <c r="GP145" s="324"/>
      <c r="GQ145" s="324"/>
      <c r="GR145" s="324"/>
      <c r="GS145" s="324"/>
      <c r="GT145" s="324"/>
      <c r="GU145" s="324"/>
      <c r="GV145" s="324"/>
      <c r="GW145" s="324"/>
      <c r="GX145" s="324"/>
      <c r="GY145" s="324"/>
      <c r="GZ145" s="324"/>
      <c r="HA145" s="324"/>
      <c r="HB145" s="324"/>
      <c r="HC145" s="324"/>
      <c r="HD145" s="324"/>
      <c r="HE145" s="324"/>
      <c r="HF145" s="324"/>
      <c r="HG145" s="324"/>
      <c r="HH145" s="324"/>
      <c r="HI145" s="324"/>
      <c r="HJ145" s="324"/>
      <c r="HK145" s="324"/>
      <c r="HL145" s="324"/>
      <c r="HM145" s="324"/>
      <c r="HN145" s="324"/>
      <c r="HO145" s="324"/>
      <c r="HP145" s="324"/>
      <c r="HQ145" s="324"/>
      <c r="HR145" s="324"/>
      <c r="HS145" s="324"/>
      <c r="HT145" s="324"/>
      <c r="HU145" s="324"/>
      <c r="HV145" s="324"/>
      <c r="HW145" s="324"/>
      <c r="HX145" s="324"/>
      <c r="HY145" s="324"/>
      <c r="HZ145" s="324"/>
      <c r="IA145" s="324"/>
      <c r="IB145" s="324"/>
      <c r="IC145" s="324"/>
      <c r="ID145" s="324"/>
      <c r="IE145" s="324"/>
      <c r="IF145" s="324"/>
      <c r="IG145" s="324"/>
      <c r="IH145" s="324"/>
      <c r="II145" s="324"/>
      <c r="IJ145" s="324"/>
      <c r="IK145" s="324"/>
      <c r="IL145" s="324"/>
      <c r="IM145" s="324"/>
    </row>
    <row r="146" spans="1:247" x14ac:dyDescent="0.35">
      <c r="A146" s="356">
        <v>7313</v>
      </c>
      <c r="B146" s="357" t="s">
        <v>152</v>
      </c>
      <c r="C146" s="172" t="s">
        <v>8</v>
      </c>
      <c r="D146" s="358" t="s">
        <v>2053</v>
      </c>
      <c r="E146" s="336">
        <f t="shared" si="31"/>
        <v>1.0740000000000001</v>
      </c>
      <c r="F146" s="331">
        <f t="shared" si="29"/>
        <v>1.0209999999999999</v>
      </c>
      <c r="G146" s="337">
        <f t="shared" si="32"/>
        <v>1.0269999999999999</v>
      </c>
      <c r="H146" s="336">
        <f t="shared" si="33"/>
        <v>1.0029999999999999</v>
      </c>
      <c r="I146" s="338">
        <f t="shared" si="34"/>
        <v>1.0289999999999999</v>
      </c>
      <c r="J146" s="338">
        <f t="shared" si="35"/>
        <v>1.0049999999999999</v>
      </c>
      <c r="K146" s="338">
        <f t="shared" si="36"/>
        <v>1.026</v>
      </c>
      <c r="L146" s="338">
        <f t="shared" si="37"/>
        <v>1.0129999999999999</v>
      </c>
      <c r="M146" s="338">
        <f t="shared" si="38"/>
        <v>1.0029999999999999</v>
      </c>
      <c r="N146" s="337">
        <f t="shared" si="39"/>
        <v>1.0029999999999999</v>
      </c>
      <c r="O146" s="339">
        <f t="shared" si="40"/>
        <v>1.0209999999999999</v>
      </c>
      <c r="P146" s="336">
        <f t="shared" si="41"/>
        <v>1.032</v>
      </c>
      <c r="Q146" s="337">
        <f t="shared" si="42"/>
        <v>1.0349999999999999</v>
      </c>
      <c r="R146" s="340">
        <f t="shared" si="30"/>
        <v>1.3319480854780448</v>
      </c>
      <c r="S146" s="324"/>
      <c r="T146" s="324"/>
      <c r="U146" s="324"/>
      <c r="V146" s="324"/>
      <c r="W146" s="324"/>
      <c r="X146" s="324"/>
      <c r="Y146" s="324"/>
      <c r="Z146" s="324"/>
      <c r="AA146" s="324"/>
      <c r="AB146" s="324"/>
      <c r="AC146" s="324"/>
      <c r="AD146" s="324"/>
      <c r="AE146" s="324"/>
      <c r="AF146" s="324"/>
      <c r="AG146" s="324"/>
      <c r="AH146" s="324"/>
      <c r="AI146" s="324"/>
      <c r="AJ146" s="324"/>
      <c r="AK146" s="324"/>
      <c r="AL146" s="324"/>
      <c r="AM146" s="324"/>
      <c r="AN146" s="324"/>
      <c r="AO146" s="324"/>
      <c r="AP146" s="324"/>
      <c r="AQ146" s="324"/>
      <c r="AR146" s="324"/>
      <c r="AS146" s="324"/>
      <c r="AT146" s="324"/>
      <c r="AU146" s="324"/>
      <c r="AV146" s="324"/>
      <c r="AW146" s="324"/>
      <c r="AX146" s="324"/>
      <c r="AY146" s="324"/>
      <c r="AZ146" s="324"/>
      <c r="BA146" s="324"/>
      <c r="BB146" s="324"/>
      <c r="BC146" s="324"/>
      <c r="BD146" s="324"/>
      <c r="BE146" s="324"/>
      <c r="BF146" s="324"/>
      <c r="BG146" s="324"/>
      <c r="BH146" s="324"/>
      <c r="BI146" s="324"/>
      <c r="BJ146" s="324"/>
      <c r="BK146" s="324"/>
      <c r="BL146" s="324"/>
      <c r="BM146" s="324"/>
      <c r="BN146" s="324"/>
      <c r="BO146" s="324"/>
      <c r="BP146" s="324"/>
      <c r="BQ146" s="324"/>
      <c r="BR146" s="324"/>
      <c r="BS146" s="324"/>
      <c r="BT146" s="324"/>
      <c r="BU146" s="324"/>
      <c r="BV146" s="324"/>
      <c r="BW146" s="324"/>
      <c r="BX146" s="324"/>
      <c r="BY146" s="324"/>
      <c r="BZ146" s="324"/>
      <c r="CA146" s="324"/>
      <c r="CB146" s="324"/>
      <c r="CC146" s="324"/>
      <c r="CD146" s="324"/>
      <c r="CE146" s="324"/>
      <c r="CF146" s="324"/>
      <c r="CG146" s="324"/>
      <c r="CH146" s="324"/>
      <c r="CI146" s="324"/>
      <c r="CJ146" s="324"/>
      <c r="CK146" s="324"/>
      <c r="CL146" s="324"/>
      <c r="CM146" s="324"/>
      <c r="CN146" s="324"/>
      <c r="CO146" s="324"/>
      <c r="CP146" s="324"/>
      <c r="CQ146" s="324"/>
      <c r="CR146" s="324"/>
      <c r="CS146" s="324"/>
      <c r="CT146" s="324"/>
      <c r="CU146" s="324"/>
      <c r="CV146" s="324"/>
      <c r="CW146" s="324"/>
      <c r="CX146" s="324"/>
      <c r="CY146" s="324"/>
      <c r="CZ146" s="324"/>
      <c r="DA146" s="324"/>
      <c r="DB146" s="324"/>
      <c r="DC146" s="324"/>
      <c r="DD146" s="324"/>
      <c r="DE146" s="324"/>
      <c r="DF146" s="324"/>
      <c r="DG146" s="324"/>
      <c r="DH146" s="324"/>
      <c r="DI146" s="324"/>
      <c r="DJ146" s="324"/>
      <c r="DK146" s="324"/>
      <c r="DL146" s="324"/>
      <c r="DM146" s="324"/>
      <c r="DN146" s="324"/>
      <c r="DO146" s="324"/>
      <c r="DP146" s="324"/>
      <c r="DQ146" s="324"/>
      <c r="DR146" s="324"/>
      <c r="DS146" s="324"/>
      <c r="DT146" s="324"/>
      <c r="DU146" s="324"/>
      <c r="DV146" s="324"/>
      <c r="DW146" s="324"/>
      <c r="DX146" s="324"/>
      <c r="DY146" s="324"/>
      <c r="DZ146" s="324"/>
      <c r="EA146" s="324"/>
      <c r="EB146" s="324"/>
      <c r="EC146" s="324"/>
      <c r="ED146" s="324"/>
      <c r="EE146" s="324"/>
      <c r="EF146" s="324"/>
      <c r="EG146" s="324"/>
      <c r="EH146" s="324"/>
      <c r="EI146" s="324"/>
      <c r="EJ146" s="324"/>
      <c r="EK146" s="324"/>
      <c r="EL146" s="324"/>
      <c r="EM146" s="324"/>
      <c r="EN146" s="324"/>
      <c r="EO146" s="324"/>
      <c r="EP146" s="324"/>
      <c r="EQ146" s="324"/>
      <c r="ER146" s="324"/>
      <c r="ES146" s="324"/>
      <c r="ET146" s="324"/>
      <c r="EU146" s="324"/>
      <c r="EV146" s="324"/>
      <c r="EW146" s="324"/>
      <c r="EX146" s="324"/>
      <c r="EY146" s="324"/>
      <c r="EZ146" s="324"/>
      <c r="FA146" s="324"/>
      <c r="FB146" s="324"/>
      <c r="FC146" s="324"/>
      <c r="FD146" s="324"/>
      <c r="FE146" s="324"/>
      <c r="FF146" s="324"/>
      <c r="FG146" s="324"/>
      <c r="FH146" s="324"/>
      <c r="FI146" s="324"/>
      <c r="FJ146" s="324"/>
      <c r="FK146" s="324"/>
      <c r="FL146" s="324"/>
      <c r="FM146" s="324"/>
      <c r="FN146" s="324"/>
      <c r="FO146" s="324"/>
      <c r="FP146" s="324"/>
      <c r="FQ146" s="324"/>
      <c r="FR146" s="324"/>
      <c r="FS146" s="324"/>
      <c r="FT146" s="324"/>
      <c r="FU146" s="324"/>
      <c r="FV146" s="324"/>
      <c r="FW146" s="324"/>
      <c r="FX146" s="324"/>
      <c r="FY146" s="324"/>
      <c r="FZ146" s="324"/>
      <c r="GA146" s="324"/>
      <c r="GB146" s="324"/>
      <c r="GC146" s="324"/>
      <c r="GD146" s="324"/>
      <c r="GE146" s="324"/>
      <c r="GF146" s="324"/>
      <c r="GG146" s="324"/>
      <c r="GH146" s="324"/>
      <c r="GI146" s="324"/>
      <c r="GJ146" s="324"/>
      <c r="GK146" s="324"/>
      <c r="GL146" s="324"/>
      <c r="GM146" s="324"/>
      <c r="GN146" s="324"/>
      <c r="GO146" s="324"/>
      <c r="GP146" s="324"/>
      <c r="GQ146" s="324"/>
      <c r="GR146" s="324"/>
      <c r="GS146" s="324"/>
      <c r="GT146" s="324"/>
      <c r="GU146" s="324"/>
      <c r="GV146" s="324"/>
      <c r="GW146" s="324"/>
      <c r="GX146" s="324"/>
      <c r="GY146" s="324"/>
      <c r="GZ146" s="324"/>
      <c r="HA146" s="324"/>
      <c r="HB146" s="324"/>
      <c r="HC146" s="324"/>
      <c r="HD146" s="324"/>
      <c r="HE146" s="324"/>
      <c r="HF146" s="324"/>
      <c r="HG146" s="324"/>
      <c r="HH146" s="324"/>
      <c r="HI146" s="324"/>
      <c r="HJ146" s="324"/>
      <c r="HK146" s="324"/>
      <c r="HL146" s="324"/>
      <c r="HM146" s="324"/>
      <c r="HN146" s="324"/>
      <c r="HO146" s="324"/>
      <c r="HP146" s="324"/>
      <c r="HQ146" s="324"/>
      <c r="HR146" s="324"/>
      <c r="HS146" s="324"/>
      <c r="HT146" s="324"/>
      <c r="HU146" s="324"/>
      <c r="HV146" s="324"/>
      <c r="HW146" s="324"/>
      <c r="HX146" s="324"/>
      <c r="HY146" s="324"/>
      <c r="HZ146" s="324"/>
      <c r="IA146" s="324"/>
      <c r="IB146" s="324"/>
      <c r="IC146" s="324"/>
      <c r="ID146" s="324"/>
      <c r="IE146" s="324"/>
      <c r="IF146" s="324"/>
      <c r="IG146" s="324"/>
      <c r="IH146" s="324"/>
      <c r="II146" s="324"/>
      <c r="IJ146" s="324"/>
      <c r="IK146" s="324"/>
      <c r="IL146" s="324"/>
      <c r="IM146" s="324"/>
    </row>
    <row r="147" spans="1:247" x14ac:dyDescent="0.35">
      <c r="A147" s="356">
        <v>7314</v>
      </c>
      <c r="B147" s="357" t="s">
        <v>153</v>
      </c>
      <c r="C147" s="172" t="s">
        <v>8</v>
      </c>
      <c r="D147" s="358" t="s">
        <v>2053</v>
      </c>
      <c r="E147" s="336">
        <f t="shared" si="31"/>
        <v>1.0740000000000001</v>
      </c>
      <c r="F147" s="331">
        <f t="shared" si="29"/>
        <v>1.0209999999999999</v>
      </c>
      <c r="G147" s="337">
        <f t="shared" si="32"/>
        <v>1.0269999999999999</v>
      </c>
      <c r="H147" s="336">
        <f t="shared" si="33"/>
        <v>1.0029999999999999</v>
      </c>
      <c r="I147" s="338">
        <f t="shared" si="34"/>
        <v>1.0289999999999999</v>
      </c>
      <c r="J147" s="338">
        <f t="shared" si="35"/>
        <v>1.0049999999999999</v>
      </c>
      <c r="K147" s="338">
        <f t="shared" si="36"/>
        <v>1.026</v>
      </c>
      <c r="L147" s="338">
        <f t="shared" si="37"/>
        <v>1.0129999999999999</v>
      </c>
      <c r="M147" s="338">
        <f t="shared" si="38"/>
        <v>1.0029999999999999</v>
      </c>
      <c r="N147" s="337">
        <f t="shared" si="39"/>
        <v>1.0029999999999999</v>
      </c>
      <c r="O147" s="339">
        <f t="shared" si="40"/>
        <v>1.0209999999999999</v>
      </c>
      <c r="P147" s="336">
        <f t="shared" si="41"/>
        <v>1.032</v>
      </c>
      <c r="Q147" s="337">
        <f t="shared" si="42"/>
        <v>1.0349999999999999</v>
      </c>
      <c r="R147" s="340">
        <f t="shared" si="30"/>
        <v>1.3319480854780448</v>
      </c>
      <c r="S147" s="324"/>
      <c r="T147" s="324"/>
      <c r="U147" s="324"/>
      <c r="V147" s="324"/>
      <c r="W147" s="324"/>
      <c r="X147" s="324"/>
      <c r="Y147" s="324"/>
      <c r="Z147" s="324"/>
      <c r="AA147" s="324"/>
      <c r="AB147" s="324"/>
      <c r="AC147" s="324"/>
      <c r="AD147" s="324"/>
      <c r="AE147" s="324"/>
      <c r="AF147" s="324"/>
      <c r="AG147" s="324"/>
      <c r="AH147" s="324"/>
      <c r="AI147" s="324"/>
      <c r="AJ147" s="324"/>
      <c r="AK147" s="324"/>
      <c r="AL147" s="324"/>
      <c r="AM147" s="324"/>
      <c r="AN147" s="324"/>
      <c r="AO147" s="324"/>
      <c r="AP147" s="324"/>
      <c r="AQ147" s="324"/>
      <c r="AR147" s="324"/>
      <c r="AS147" s="324"/>
      <c r="AT147" s="324"/>
      <c r="AU147" s="324"/>
      <c r="AV147" s="324"/>
      <c r="AW147" s="324"/>
      <c r="AX147" s="324"/>
      <c r="AY147" s="324"/>
      <c r="AZ147" s="324"/>
      <c r="BA147" s="324"/>
      <c r="BB147" s="324"/>
      <c r="BC147" s="324"/>
      <c r="BD147" s="324"/>
      <c r="BE147" s="324"/>
      <c r="BF147" s="324"/>
      <c r="BG147" s="324"/>
      <c r="BH147" s="324"/>
      <c r="BI147" s="324"/>
      <c r="BJ147" s="324"/>
      <c r="BK147" s="324"/>
      <c r="BL147" s="324"/>
      <c r="BM147" s="324"/>
      <c r="BN147" s="324"/>
      <c r="BO147" s="324"/>
      <c r="BP147" s="324"/>
      <c r="BQ147" s="324"/>
      <c r="BR147" s="324"/>
      <c r="BS147" s="324"/>
      <c r="BT147" s="324"/>
      <c r="BU147" s="324"/>
      <c r="BV147" s="324"/>
      <c r="BW147" s="324"/>
      <c r="BX147" s="324"/>
      <c r="BY147" s="324"/>
      <c r="BZ147" s="324"/>
      <c r="CA147" s="324"/>
      <c r="CB147" s="324"/>
      <c r="CC147" s="324"/>
      <c r="CD147" s="324"/>
      <c r="CE147" s="324"/>
      <c r="CF147" s="324"/>
      <c r="CG147" s="324"/>
      <c r="CH147" s="324"/>
      <c r="CI147" s="324"/>
      <c r="CJ147" s="324"/>
      <c r="CK147" s="324"/>
      <c r="CL147" s="324"/>
      <c r="CM147" s="324"/>
      <c r="CN147" s="324"/>
      <c r="CO147" s="324"/>
      <c r="CP147" s="324"/>
      <c r="CQ147" s="324"/>
      <c r="CR147" s="324"/>
      <c r="CS147" s="324"/>
      <c r="CT147" s="324"/>
      <c r="CU147" s="324"/>
      <c r="CV147" s="324"/>
      <c r="CW147" s="324"/>
      <c r="CX147" s="324"/>
      <c r="CY147" s="324"/>
      <c r="CZ147" s="324"/>
      <c r="DA147" s="324"/>
      <c r="DB147" s="324"/>
      <c r="DC147" s="324"/>
      <c r="DD147" s="324"/>
      <c r="DE147" s="324"/>
      <c r="DF147" s="324"/>
      <c r="DG147" s="324"/>
      <c r="DH147" s="324"/>
      <c r="DI147" s="324"/>
      <c r="DJ147" s="324"/>
      <c r="DK147" s="324"/>
      <c r="DL147" s="324"/>
      <c r="DM147" s="324"/>
      <c r="DN147" s="324"/>
      <c r="DO147" s="324"/>
      <c r="DP147" s="324"/>
      <c r="DQ147" s="324"/>
      <c r="DR147" s="324"/>
      <c r="DS147" s="324"/>
      <c r="DT147" s="324"/>
      <c r="DU147" s="324"/>
      <c r="DV147" s="324"/>
      <c r="DW147" s="324"/>
      <c r="DX147" s="324"/>
      <c r="DY147" s="324"/>
      <c r="DZ147" s="324"/>
      <c r="EA147" s="324"/>
      <c r="EB147" s="324"/>
      <c r="EC147" s="324"/>
      <c r="ED147" s="324"/>
      <c r="EE147" s="324"/>
      <c r="EF147" s="324"/>
      <c r="EG147" s="324"/>
      <c r="EH147" s="324"/>
      <c r="EI147" s="324"/>
      <c r="EJ147" s="324"/>
      <c r="EK147" s="324"/>
      <c r="EL147" s="324"/>
      <c r="EM147" s="324"/>
      <c r="EN147" s="324"/>
      <c r="EO147" s="324"/>
      <c r="EP147" s="324"/>
      <c r="EQ147" s="324"/>
      <c r="ER147" s="324"/>
      <c r="ES147" s="324"/>
      <c r="ET147" s="324"/>
      <c r="EU147" s="324"/>
      <c r="EV147" s="324"/>
      <c r="EW147" s="324"/>
      <c r="EX147" s="324"/>
      <c r="EY147" s="324"/>
      <c r="EZ147" s="324"/>
      <c r="FA147" s="324"/>
      <c r="FB147" s="324"/>
      <c r="FC147" s="324"/>
      <c r="FD147" s="324"/>
      <c r="FE147" s="324"/>
      <c r="FF147" s="324"/>
      <c r="FG147" s="324"/>
      <c r="FH147" s="324"/>
      <c r="FI147" s="324"/>
      <c r="FJ147" s="324"/>
      <c r="FK147" s="324"/>
      <c r="FL147" s="324"/>
      <c r="FM147" s="324"/>
      <c r="FN147" s="324"/>
      <c r="FO147" s="324"/>
      <c r="FP147" s="324"/>
      <c r="FQ147" s="324"/>
      <c r="FR147" s="324"/>
      <c r="FS147" s="324"/>
      <c r="FT147" s="324"/>
      <c r="FU147" s="324"/>
      <c r="FV147" s="324"/>
      <c r="FW147" s="324"/>
      <c r="FX147" s="324"/>
      <c r="FY147" s="324"/>
      <c r="FZ147" s="324"/>
      <c r="GA147" s="324"/>
      <c r="GB147" s="324"/>
      <c r="GC147" s="324"/>
      <c r="GD147" s="324"/>
      <c r="GE147" s="324"/>
      <c r="GF147" s="324"/>
      <c r="GG147" s="324"/>
      <c r="GH147" s="324"/>
      <c r="GI147" s="324"/>
      <c r="GJ147" s="324"/>
      <c r="GK147" s="324"/>
      <c r="GL147" s="324"/>
      <c r="GM147" s="324"/>
      <c r="GN147" s="324"/>
      <c r="GO147" s="324"/>
      <c r="GP147" s="324"/>
      <c r="GQ147" s="324"/>
      <c r="GR147" s="324"/>
      <c r="GS147" s="324"/>
      <c r="GT147" s="324"/>
      <c r="GU147" s="324"/>
      <c r="GV147" s="324"/>
      <c r="GW147" s="324"/>
      <c r="GX147" s="324"/>
      <c r="GY147" s="324"/>
      <c r="GZ147" s="324"/>
      <c r="HA147" s="324"/>
      <c r="HB147" s="324"/>
      <c r="HC147" s="324"/>
      <c r="HD147" s="324"/>
      <c r="HE147" s="324"/>
      <c r="HF147" s="324"/>
      <c r="HG147" s="324"/>
      <c r="HH147" s="324"/>
      <c r="HI147" s="324"/>
      <c r="HJ147" s="324"/>
      <c r="HK147" s="324"/>
      <c r="HL147" s="324"/>
      <c r="HM147" s="324"/>
      <c r="HN147" s="324"/>
      <c r="HO147" s="324"/>
      <c r="HP147" s="324"/>
      <c r="HQ147" s="324"/>
      <c r="HR147" s="324"/>
      <c r="HS147" s="324"/>
      <c r="HT147" s="324"/>
      <c r="HU147" s="324"/>
      <c r="HV147" s="324"/>
      <c r="HW147" s="324"/>
      <c r="HX147" s="324"/>
      <c r="HY147" s="324"/>
      <c r="HZ147" s="324"/>
      <c r="IA147" s="324"/>
      <c r="IB147" s="324"/>
      <c r="IC147" s="324"/>
      <c r="ID147" s="324"/>
      <c r="IE147" s="324"/>
      <c r="IF147" s="324"/>
      <c r="IG147" s="324"/>
      <c r="IH147" s="324"/>
      <c r="II147" s="324"/>
      <c r="IJ147" s="324"/>
      <c r="IK147" s="324"/>
      <c r="IL147" s="324"/>
      <c r="IM147" s="324"/>
    </row>
    <row r="148" spans="1:247" x14ac:dyDescent="0.35">
      <c r="A148" s="356">
        <v>7321</v>
      </c>
      <c r="B148" s="357" t="s">
        <v>154</v>
      </c>
      <c r="C148" s="172" t="s">
        <v>8</v>
      </c>
      <c r="D148" s="358" t="s">
        <v>2053</v>
      </c>
      <c r="E148" s="336"/>
      <c r="F148" s="331">
        <f t="shared" si="29"/>
        <v>1.0209999999999999</v>
      </c>
      <c r="G148" s="337">
        <f t="shared" si="32"/>
        <v>1.0269999999999999</v>
      </c>
      <c r="H148" s="336">
        <f t="shared" si="33"/>
        <v>1.0029999999999999</v>
      </c>
      <c r="I148" s="338">
        <f t="shared" si="34"/>
        <v>1.0289999999999999</v>
      </c>
      <c r="J148" s="338">
        <f t="shared" si="35"/>
        <v>1.0049999999999999</v>
      </c>
      <c r="K148" s="338"/>
      <c r="L148" s="338">
        <f t="shared" si="37"/>
        <v>1.0129999999999999</v>
      </c>
      <c r="M148" s="338">
        <f t="shared" si="38"/>
        <v>1.0029999999999999</v>
      </c>
      <c r="N148" s="337">
        <f t="shared" si="39"/>
        <v>1.0029999999999999</v>
      </c>
      <c r="O148" s="339"/>
      <c r="P148" s="336">
        <f t="shared" si="41"/>
        <v>1.032</v>
      </c>
      <c r="Q148" s="337">
        <f t="shared" si="42"/>
        <v>1.0349999999999999</v>
      </c>
      <c r="R148" s="340">
        <f t="shared" si="30"/>
        <v>1.1838860786480316</v>
      </c>
      <c r="S148" s="324"/>
      <c r="T148" s="324"/>
      <c r="U148" s="324"/>
      <c r="V148" s="324"/>
      <c r="W148" s="324"/>
      <c r="X148" s="324"/>
      <c r="Y148" s="324"/>
      <c r="Z148" s="324"/>
      <c r="AA148" s="324"/>
      <c r="AB148" s="324"/>
      <c r="AC148" s="324"/>
      <c r="AD148" s="324"/>
      <c r="AE148" s="324"/>
      <c r="AF148" s="324"/>
      <c r="AG148" s="324"/>
      <c r="AH148" s="324"/>
      <c r="AI148" s="324"/>
      <c r="AJ148" s="324"/>
      <c r="AK148" s="324"/>
      <c r="AL148" s="324"/>
      <c r="AM148" s="324"/>
      <c r="AN148" s="324"/>
      <c r="AO148" s="324"/>
      <c r="AP148" s="324"/>
      <c r="AQ148" s="324"/>
      <c r="AR148" s="324"/>
      <c r="AS148" s="324"/>
      <c r="AT148" s="324"/>
      <c r="AU148" s="324"/>
      <c r="AV148" s="324"/>
      <c r="AW148" s="324"/>
      <c r="AX148" s="324"/>
      <c r="AY148" s="324"/>
      <c r="AZ148" s="324"/>
      <c r="BA148" s="324"/>
      <c r="BB148" s="324"/>
      <c r="BC148" s="324"/>
      <c r="BD148" s="324"/>
      <c r="BE148" s="324"/>
      <c r="BF148" s="324"/>
      <c r="BG148" s="324"/>
      <c r="BH148" s="324"/>
      <c r="BI148" s="324"/>
      <c r="BJ148" s="324"/>
      <c r="BK148" s="324"/>
      <c r="BL148" s="324"/>
      <c r="BM148" s="324"/>
      <c r="BN148" s="324"/>
      <c r="BO148" s="324"/>
      <c r="BP148" s="324"/>
      <c r="BQ148" s="324"/>
      <c r="BR148" s="324"/>
      <c r="BS148" s="324"/>
      <c r="BT148" s="324"/>
      <c r="BU148" s="324"/>
      <c r="BV148" s="324"/>
      <c r="BW148" s="324"/>
      <c r="BX148" s="324"/>
      <c r="BY148" s="324"/>
      <c r="BZ148" s="324"/>
      <c r="CA148" s="324"/>
      <c r="CB148" s="324"/>
      <c r="CC148" s="324"/>
      <c r="CD148" s="324"/>
      <c r="CE148" s="324"/>
      <c r="CF148" s="324"/>
      <c r="CG148" s="324"/>
      <c r="CH148" s="324"/>
      <c r="CI148" s="324"/>
      <c r="CJ148" s="324"/>
      <c r="CK148" s="324"/>
      <c r="CL148" s="324"/>
      <c r="CM148" s="324"/>
      <c r="CN148" s="324"/>
      <c r="CO148" s="324"/>
      <c r="CP148" s="324"/>
      <c r="CQ148" s="324"/>
      <c r="CR148" s="324"/>
      <c r="CS148" s="324"/>
      <c r="CT148" s="324"/>
      <c r="CU148" s="324"/>
      <c r="CV148" s="324"/>
      <c r="CW148" s="324"/>
      <c r="CX148" s="324"/>
      <c r="CY148" s="324"/>
      <c r="CZ148" s="324"/>
      <c r="DA148" s="324"/>
      <c r="DB148" s="324"/>
      <c r="DC148" s="324"/>
      <c r="DD148" s="324"/>
      <c r="DE148" s="324"/>
      <c r="DF148" s="324"/>
      <c r="DG148" s="324"/>
      <c r="DH148" s="324"/>
      <c r="DI148" s="324"/>
      <c r="DJ148" s="324"/>
      <c r="DK148" s="324"/>
      <c r="DL148" s="324"/>
      <c r="DM148" s="324"/>
      <c r="DN148" s="324"/>
      <c r="DO148" s="324"/>
      <c r="DP148" s="324"/>
      <c r="DQ148" s="324"/>
      <c r="DR148" s="324"/>
      <c r="DS148" s="324"/>
      <c r="DT148" s="324"/>
      <c r="DU148" s="324"/>
      <c r="DV148" s="324"/>
      <c r="DW148" s="324"/>
      <c r="DX148" s="324"/>
      <c r="DY148" s="324"/>
      <c r="DZ148" s="324"/>
      <c r="EA148" s="324"/>
      <c r="EB148" s="324"/>
      <c r="EC148" s="324"/>
      <c r="ED148" s="324"/>
      <c r="EE148" s="324"/>
      <c r="EF148" s="324"/>
      <c r="EG148" s="324"/>
      <c r="EH148" s="324"/>
      <c r="EI148" s="324"/>
      <c r="EJ148" s="324"/>
      <c r="EK148" s="324"/>
      <c r="EL148" s="324"/>
      <c r="EM148" s="324"/>
      <c r="EN148" s="324"/>
      <c r="EO148" s="324"/>
      <c r="EP148" s="324"/>
      <c r="EQ148" s="324"/>
      <c r="ER148" s="324"/>
      <c r="ES148" s="324"/>
      <c r="ET148" s="324"/>
      <c r="EU148" s="324"/>
      <c r="EV148" s="324"/>
      <c r="EW148" s="324"/>
      <c r="EX148" s="324"/>
      <c r="EY148" s="324"/>
      <c r="EZ148" s="324"/>
      <c r="FA148" s="324"/>
      <c r="FB148" s="324"/>
      <c r="FC148" s="324"/>
      <c r="FD148" s="324"/>
      <c r="FE148" s="324"/>
      <c r="FF148" s="324"/>
      <c r="FG148" s="324"/>
      <c r="FH148" s="324"/>
      <c r="FI148" s="324"/>
      <c r="FJ148" s="324"/>
      <c r="FK148" s="324"/>
      <c r="FL148" s="324"/>
      <c r="FM148" s="324"/>
      <c r="FN148" s="324"/>
      <c r="FO148" s="324"/>
      <c r="FP148" s="324"/>
      <c r="FQ148" s="324"/>
      <c r="FR148" s="324"/>
      <c r="FS148" s="324"/>
      <c r="FT148" s="324"/>
      <c r="FU148" s="324"/>
      <c r="FV148" s="324"/>
      <c r="FW148" s="324"/>
      <c r="FX148" s="324"/>
      <c r="FY148" s="324"/>
      <c r="FZ148" s="324"/>
      <c r="GA148" s="324"/>
      <c r="GB148" s="324"/>
      <c r="GC148" s="324"/>
      <c r="GD148" s="324"/>
      <c r="GE148" s="324"/>
      <c r="GF148" s="324"/>
      <c r="GG148" s="324"/>
      <c r="GH148" s="324"/>
      <c r="GI148" s="324"/>
      <c r="GJ148" s="324"/>
      <c r="GK148" s="324"/>
      <c r="GL148" s="324"/>
      <c r="GM148" s="324"/>
      <c r="GN148" s="324"/>
      <c r="GO148" s="324"/>
      <c r="GP148" s="324"/>
      <c r="GQ148" s="324"/>
      <c r="GR148" s="324"/>
      <c r="GS148" s="324"/>
      <c r="GT148" s="324"/>
      <c r="GU148" s="324"/>
      <c r="GV148" s="324"/>
      <c r="GW148" s="324"/>
      <c r="GX148" s="324"/>
      <c r="GY148" s="324"/>
      <c r="GZ148" s="324"/>
      <c r="HA148" s="324"/>
      <c r="HB148" s="324"/>
      <c r="HC148" s="324"/>
      <c r="HD148" s="324"/>
      <c r="HE148" s="324"/>
      <c r="HF148" s="324"/>
      <c r="HG148" s="324"/>
      <c r="HH148" s="324"/>
      <c r="HI148" s="324"/>
      <c r="HJ148" s="324"/>
      <c r="HK148" s="324"/>
      <c r="HL148" s="324"/>
      <c r="HM148" s="324"/>
      <c r="HN148" s="324"/>
      <c r="HO148" s="324"/>
      <c r="HP148" s="324"/>
      <c r="HQ148" s="324"/>
      <c r="HR148" s="324"/>
      <c r="HS148" s="324"/>
      <c r="HT148" s="324"/>
      <c r="HU148" s="324"/>
      <c r="HV148" s="324"/>
      <c r="HW148" s="324"/>
      <c r="HX148" s="324"/>
      <c r="HY148" s="324"/>
      <c r="HZ148" s="324"/>
      <c r="IA148" s="324"/>
      <c r="IB148" s="324"/>
      <c r="IC148" s="324"/>
      <c r="ID148" s="324"/>
      <c r="IE148" s="324"/>
      <c r="IF148" s="324"/>
      <c r="IG148" s="324"/>
      <c r="IH148" s="324"/>
      <c r="II148" s="324"/>
      <c r="IJ148" s="324"/>
      <c r="IK148" s="324"/>
      <c r="IL148" s="324"/>
      <c r="IM148" s="324"/>
    </row>
    <row r="149" spans="1:247" x14ac:dyDescent="0.35">
      <c r="A149" s="356">
        <v>7322</v>
      </c>
      <c r="B149" s="357" t="s">
        <v>155</v>
      </c>
      <c r="C149" s="172" t="s">
        <v>8</v>
      </c>
      <c r="D149" s="358" t="s">
        <v>2053</v>
      </c>
      <c r="E149" s="336"/>
      <c r="F149" s="331">
        <f t="shared" si="29"/>
        <v>1.0209999999999999</v>
      </c>
      <c r="G149" s="337">
        <f t="shared" si="32"/>
        <v>1.0269999999999999</v>
      </c>
      <c r="H149" s="336">
        <f t="shared" si="33"/>
        <v>1.0029999999999999</v>
      </c>
      <c r="I149" s="338">
        <f t="shared" si="34"/>
        <v>1.0289999999999999</v>
      </c>
      <c r="J149" s="338">
        <f t="shared" si="35"/>
        <v>1.0049999999999999</v>
      </c>
      <c r="K149" s="338"/>
      <c r="L149" s="338">
        <f t="shared" si="37"/>
        <v>1.0129999999999999</v>
      </c>
      <c r="M149" s="338">
        <f t="shared" si="38"/>
        <v>1.0029999999999999</v>
      </c>
      <c r="N149" s="337">
        <f t="shared" si="39"/>
        <v>1.0029999999999999</v>
      </c>
      <c r="O149" s="339"/>
      <c r="P149" s="336">
        <f t="shared" si="41"/>
        <v>1.032</v>
      </c>
      <c r="Q149" s="337">
        <f t="shared" si="42"/>
        <v>1.0349999999999999</v>
      </c>
      <c r="R149" s="340">
        <f t="shared" si="30"/>
        <v>1.1838860786480316</v>
      </c>
      <c r="S149" s="324"/>
      <c r="T149" s="324"/>
      <c r="U149" s="324"/>
      <c r="V149" s="324"/>
      <c r="W149" s="324"/>
      <c r="X149" s="324"/>
      <c r="Y149" s="324"/>
      <c r="Z149" s="324"/>
      <c r="AA149" s="324"/>
      <c r="AB149" s="324"/>
      <c r="AC149" s="324"/>
      <c r="AD149" s="324"/>
      <c r="AE149" s="324"/>
      <c r="AF149" s="324"/>
      <c r="AG149" s="324"/>
      <c r="AH149" s="324"/>
      <c r="AI149" s="324"/>
      <c r="AJ149" s="324"/>
      <c r="AK149" s="324"/>
      <c r="AL149" s="324"/>
      <c r="AM149" s="324"/>
      <c r="AN149" s="324"/>
      <c r="AO149" s="324"/>
      <c r="AP149" s="324"/>
      <c r="AQ149" s="324"/>
      <c r="AR149" s="324"/>
      <c r="AS149" s="324"/>
      <c r="AT149" s="324"/>
      <c r="AU149" s="324"/>
      <c r="AV149" s="324"/>
      <c r="AW149" s="324"/>
      <c r="AX149" s="324"/>
      <c r="AY149" s="324"/>
      <c r="AZ149" s="324"/>
      <c r="BA149" s="324"/>
      <c r="BB149" s="324"/>
      <c r="BC149" s="324"/>
      <c r="BD149" s="324"/>
      <c r="BE149" s="324"/>
      <c r="BF149" s="324"/>
      <c r="BG149" s="324"/>
      <c r="BH149" s="324"/>
      <c r="BI149" s="324"/>
      <c r="BJ149" s="324"/>
      <c r="BK149" s="324"/>
      <c r="BL149" s="324"/>
      <c r="BM149" s="324"/>
      <c r="BN149" s="324"/>
      <c r="BO149" s="324"/>
      <c r="BP149" s="324"/>
      <c r="BQ149" s="324"/>
      <c r="BR149" s="324"/>
      <c r="BS149" s="324"/>
      <c r="BT149" s="324"/>
      <c r="BU149" s="324"/>
      <c r="BV149" s="324"/>
      <c r="BW149" s="324"/>
      <c r="BX149" s="324"/>
      <c r="BY149" s="324"/>
      <c r="BZ149" s="324"/>
      <c r="CA149" s="324"/>
      <c r="CB149" s="324"/>
      <c r="CC149" s="324"/>
      <c r="CD149" s="324"/>
      <c r="CE149" s="324"/>
      <c r="CF149" s="324"/>
      <c r="CG149" s="324"/>
      <c r="CH149" s="324"/>
      <c r="CI149" s="324"/>
      <c r="CJ149" s="324"/>
      <c r="CK149" s="324"/>
      <c r="CL149" s="324"/>
      <c r="CM149" s="324"/>
      <c r="CN149" s="324"/>
      <c r="CO149" s="324"/>
      <c r="CP149" s="324"/>
      <c r="CQ149" s="324"/>
      <c r="CR149" s="324"/>
      <c r="CS149" s="324"/>
      <c r="CT149" s="324"/>
      <c r="CU149" s="324"/>
      <c r="CV149" s="324"/>
      <c r="CW149" s="324"/>
      <c r="CX149" s="324"/>
      <c r="CY149" s="324"/>
      <c r="CZ149" s="324"/>
      <c r="DA149" s="324"/>
      <c r="DB149" s="324"/>
      <c r="DC149" s="324"/>
      <c r="DD149" s="324"/>
      <c r="DE149" s="324"/>
      <c r="DF149" s="324"/>
      <c r="DG149" s="324"/>
      <c r="DH149" s="324"/>
      <c r="DI149" s="324"/>
      <c r="DJ149" s="324"/>
      <c r="DK149" s="324"/>
      <c r="DL149" s="324"/>
      <c r="DM149" s="324"/>
      <c r="DN149" s="324"/>
      <c r="DO149" s="324"/>
      <c r="DP149" s="324"/>
      <c r="DQ149" s="324"/>
      <c r="DR149" s="324"/>
      <c r="DS149" s="324"/>
      <c r="DT149" s="324"/>
      <c r="DU149" s="324"/>
      <c r="DV149" s="324"/>
      <c r="DW149" s="324"/>
      <c r="DX149" s="324"/>
      <c r="DY149" s="324"/>
      <c r="DZ149" s="324"/>
      <c r="EA149" s="324"/>
      <c r="EB149" s="324"/>
      <c r="EC149" s="324"/>
      <c r="ED149" s="324"/>
      <c r="EE149" s="324"/>
      <c r="EF149" s="324"/>
      <c r="EG149" s="324"/>
      <c r="EH149" s="324"/>
      <c r="EI149" s="324"/>
      <c r="EJ149" s="324"/>
      <c r="EK149" s="324"/>
      <c r="EL149" s="324"/>
      <c r="EM149" s="324"/>
      <c r="EN149" s="324"/>
      <c r="EO149" s="324"/>
      <c r="EP149" s="324"/>
      <c r="EQ149" s="324"/>
      <c r="ER149" s="324"/>
      <c r="ES149" s="324"/>
      <c r="ET149" s="324"/>
      <c r="EU149" s="324"/>
      <c r="EV149" s="324"/>
      <c r="EW149" s="324"/>
      <c r="EX149" s="324"/>
      <c r="EY149" s="324"/>
      <c r="EZ149" s="324"/>
      <c r="FA149" s="324"/>
      <c r="FB149" s="324"/>
      <c r="FC149" s="324"/>
      <c r="FD149" s="324"/>
      <c r="FE149" s="324"/>
      <c r="FF149" s="324"/>
      <c r="FG149" s="324"/>
      <c r="FH149" s="324"/>
      <c r="FI149" s="324"/>
      <c r="FJ149" s="324"/>
      <c r="FK149" s="324"/>
      <c r="FL149" s="324"/>
      <c r="FM149" s="324"/>
      <c r="FN149" s="324"/>
      <c r="FO149" s="324"/>
      <c r="FP149" s="324"/>
      <c r="FQ149" s="324"/>
      <c r="FR149" s="324"/>
      <c r="FS149" s="324"/>
      <c r="FT149" s="324"/>
      <c r="FU149" s="324"/>
      <c r="FV149" s="324"/>
      <c r="FW149" s="324"/>
      <c r="FX149" s="324"/>
      <c r="FY149" s="324"/>
      <c r="FZ149" s="324"/>
      <c r="GA149" s="324"/>
      <c r="GB149" s="324"/>
      <c r="GC149" s="324"/>
      <c r="GD149" s="324"/>
      <c r="GE149" s="324"/>
      <c r="GF149" s="324"/>
      <c r="GG149" s="324"/>
      <c r="GH149" s="324"/>
      <c r="GI149" s="324"/>
      <c r="GJ149" s="324"/>
      <c r="GK149" s="324"/>
      <c r="GL149" s="324"/>
      <c r="GM149" s="324"/>
      <c r="GN149" s="324"/>
      <c r="GO149" s="324"/>
      <c r="GP149" s="324"/>
      <c r="GQ149" s="324"/>
      <c r="GR149" s="324"/>
      <c r="GS149" s="324"/>
      <c r="GT149" s="324"/>
      <c r="GU149" s="324"/>
      <c r="GV149" s="324"/>
      <c r="GW149" s="324"/>
      <c r="GX149" s="324"/>
      <c r="GY149" s="324"/>
      <c r="GZ149" s="324"/>
      <c r="HA149" s="324"/>
      <c r="HB149" s="324"/>
      <c r="HC149" s="324"/>
      <c r="HD149" s="324"/>
      <c r="HE149" s="324"/>
      <c r="HF149" s="324"/>
      <c r="HG149" s="324"/>
      <c r="HH149" s="324"/>
      <c r="HI149" s="324"/>
      <c r="HJ149" s="324"/>
      <c r="HK149" s="324"/>
      <c r="HL149" s="324"/>
      <c r="HM149" s="324"/>
      <c r="HN149" s="324"/>
      <c r="HO149" s="324"/>
      <c r="HP149" s="324"/>
      <c r="HQ149" s="324"/>
      <c r="HR149" s="324"/>
      <c r="HS149" s="324"/>
      <c r="HT149" s="324"/>
      <c r="HU149" s="324"/>
      <c r="HV149" s="324"/>
      <c r="HW149" s="324"/>
      <c r="HX149" s="324"/>
      <c r="HY149" s="324"/>
      <c r="HZ149" s="324"/>
      <c r="IA149" s="324"/>
      <c r="IB149" s="324"/>
      <c r="IC149" s="324"/>
      <c r="ID149" s="324"/>
      <c r="IE149" s="324"/>
      <c r="IF149" s="324"/>
      <c r="IG149" s="324"/>
      <c r="IH149" s="324"/>
      <c r="II149" s="324"/>
      <c r="IJ149" s="324"/>
      <c r="IK149" s="324"/>
      <c r="IL149" s="324"/>
      <c r="IM149" s="324"/>
    </row>
    <row r="150" spans="1:247" x14ac:dyDescent="0.35">
      <c r="A150" s="356">
        <v>7323</v>
      </c>
      <c r="B150" s="357" t="s">
        <v>156</v>
      </c>
      <c r="C150" s="172" t="s">
        <v>8</v>
      </c>
      <c r="D150" s="358" t="s">
        <v>2053</v>
      </c>
      <c r="E150" s="336"/>
      <c r="F150" s="331">
        <f t="shared" si="29"/>
        <v>1.0209999999999999</v>
      </c>
      <c r="G150" s="337"/>
      <c r="H150" s="336"/>
      <c r="I150" s="338"/>
      <c r="J150" s="338"/>
      <c r="K150" s="338"/>
      <c r="L150" s="338"/>
      <c r="M150" s="338"/>
      <c r="N150" s="337"/>
      <c r="O150" s="339"/>
      <c r="P150" s="336"/>
      <c r="Q150" s="337"/>
      <c r="R150" s="340">
        <f t="shared" si="30"/>
        <v>1.0209999999999999</v>
      </c>
      <c r="S150" s="324"/>
      <c r="T150" s="324"/>
      <c r="U150" s="324"/>
      <c r="V150" s="324"/>
      <c r="W150" s="324"/>
      <c r="X150" s="324"/>
      <c r="Y150" s="324"/>
      <c r="Z150" s="324"/>
      <c r="AA150" s="324"/>
      <c r="AB150" s="324"/>
      <c r="AC150" s="324"/>
      <c r="AD150" s="324"/>
      <c r="AE150" s="324"/>
      <c r="AF150" s="324"/>
      <c r="AG150" s="324"/>
      <c r="AH150" s="324"/>
      <c r="AI150" s="324"/>
      <c r="AJ150" s="324"/>
      <c r="AK150" s="324"/>
      <c r="AL150" s="324"/>
      <c r="AM150" s="324"/>
      <c r="AN150" s="324"/>
      <c r="AO150" s="324"/>
      <c r="AP150" s="324"/>
      <c r="AQ150" s="324"/>
      <c r="AR150" s="324"/>
      <c r="AS150" s="324"/>
      <c r="AT150" s="324"/>
      <c r="AU150" s="324"/>
      <c r="AV150" s="324"/>
      <c r="AW150" s="324"/>
      <c r="AX150" s="324"/>
      <c r="AY150" s="324"/>
      <c r="AZ150" s="324"/>
      <c r="BA150" s="324"/>
      <c r="BB150" s="324"/>
      <c r="BC150" s="324"/>
      <c r="BD150" s="324"/>
      <c r="BE150" s="324"/>
      <c r="BF150" s="324"/>
      <c r="BG150" s="324"/>
      <c r="BH150" s="324"/>
      <c r="BI150" s="324"/>
      <c r="BJ150" s="324"/>
      <c r="BK150" s="324"/>
      <c r="BL150" s="324"/>
      <c r="BM150" s="324"/>
      <c r="BN150" s="324"/>
      <c r="BO150" s="324"/>
      <c r="BP150" s="324"/>
      <c r="BQ150" s="324"/>
      <c r="BR150" s="324"/>
      <c r="BS150" s="324"/>
      <c r="BT150" s="324"/>
      <c r="BU150" s="324"/>
      <c r="BV150" s="324"/>
      <c r="BW150" s="324"/>
      <c r="BX150" s="324"/>
      <c r="BY150" s="324"/>
      <c r="BZ150" s="324"/>
      <c r="CA150" s="324"/>
      <c r="CB150" s="324"/>
      <c r="CC150" s="324"/>
      <c r="CD150" s="324"/>
      <c r="CE150" s="324"/>
      <c r="CF150" s="324"/>
      <c r="CG150" s="324"/>
      <c r="CH150" s="324"/>
      <c r="CI150" s="324"/>
      <c r="CJ150" s="324"/>
      <c r="CK150" s="324"/>
      <c r="CL150" s="324"/>
      <c r="CM150" s="324"/>
      <c r="CN150" s="324"/>
      <c r="CO150" s="324"/>
      <c r="CP150" s="324"/>
      <c r="CQ150" s="324"/>
      <c r="CR150" s="324"/>
      <c r="CS150" s="324"/>
      <c r="CT150" s="324"/>
      <c r="CU150" s="324"/>
      <c r="CV150" s="324"/>
      <c r="CW150" s="324"/>
      <c r="CX150" s="324"/>
      <c r="CY150" s="324"/>
      <c r="CZ150" s="324"/>
      <c r="DA150" s="324"/>
      <c r="DB150" s="324"/>
      <c r="DC150" s="324"/>
      <c r="DD150" s="324"/>
      <c r="DE150" s="324"/>
      <c r="DF150" s="324"/>
      <c r="DG150" s="324"/>
      <c r="DH150" s="324"/>
      <c r="DI150" s="324"/>
      <c r="DJ150" s="324"/>
      <c r="DK150" s="324"/>
      <c r="DL150" s="324"/>
      <c r="DM150" s="324"/>
      <c r="DN150" s="324"/>
      <c r="DO150" s="324"/>
      <c r="DP150" s="324"/>
      <c r="DQ150" s="324"/>
      <c r="DR150" s="324"/>
      <c r="DS150" s="324"/>
      <c r="DT150" s="324"/>
      <c r="DU150" s="324"/>
      <c r="DV150" s="324"/>
      <c r="DW150" s="324"/>
      <c r="DX150" s="324"/>
      <c r="DY150" s="324"/>
      <c r="DZ150" s="324"/>
      <c r="EA150" s="324"/>
      <c r="EB150" s="324"/>
      <c r="EC150" s="324"/>
      <c r="ED150" s="324"/>
      <c r="EE150" s="324"/>
      <c r="EF150" s="324"/>
      <c r="EG150" s="324"/>
      <c r="EH150" s="324"/>
      <c r="EI150" s="324"/>
      <c r="EJ150" s="324"/>
      <c r="EK150" s="324"/>
      <c r="EL150" s="324"/>
      <c r="EM150" s="324"/>
      <c r="EN150" s="324"/>
      <c r="EO150" s="324"/>
      <c r="EP150" s="324"/>
      <c r="EQ150" s="324"/>
      <c r="ER150" s="324"/>
      <c r="ES150" s="324"/>
      <c r="ET150" s="324"/>
      <c r="EU150" s="324"/>
      <c r="EV150" s="324"/>
      <c r="EW150" s="324"/>
      <c r="EX150" s="324"/>
      <c r="EY150" s="324"/>
      <c r="EZ150" s="324"/>
      <c r="FA150" s="324"/>
      <c r="FB150" s="324"/>
      <c r="FC150" s="324"/>
      <c r="FD150" s="324"/>
      <c r="FE150" s="324"/>
      <c r="FF150" s="324"/>
      <c r="FG150" s="324"/>
      <c r="FH150" s="324"/>
      <c r="FI150" s="324"/>
      <c r="FJ150" s="324"/>
      <c r="FK150" s="324"/>
      <c r="FL150" s="324"/>
      <c r="FM150" s="324"/>
      <c r="FN150" s="324"/>
      <c r="FO150" s="324"/>
      <c r="FP150" s="324"/>
      <c r="FQ150" s="324"/>
      <c r="FR150" s="324"/>
      <c r="FS150" s="324"/>
      <c r="FT150" s="324"/>
      <c r="FU150" s="324"/>
      <c r="FV150" s="324"/>
      <c r="FW150" s="324"/>
      <c r="FX150" s="324"/>
      <c r="FY150" s="324"/>
      <c r="FZ150" s="324"/>
      <c r="GA150" s="324"/>
      <c r="GB150" s="324"/>
      <c r="GC150" s="324"/>
      <c r="GD150" s="324"/>
      <c r="GE150" s="324"/>
      <c r="GF150" s="324"/>
      <c r="GG150" s="324"/>
      <c r="GH150" s="324"/>
      <c r="GI150" s="324"/>
      <c r="GJ150" s="324"/>
      <c r="GK150" s="324"/>
      <c r="GL150" s="324"/>
      <c r="GM150" s="324"/>
      <c r="GN150" s="324"/>
      <c r="GO150" s="324"/>
      <c r="GP150" s="324"/>
      <c r="GQ150" s="324"/>
      <c r="GR150" s="324"/>
      <c r="GS150" s="324"/>
      <c r="GT150" s="324"/>
      <c r="GU150" s="324"/>
      <c r="GV150" s="324"/>
      <c r="GW150" s="324"/>
      <c r="GX150" s="324"/>
      <c r="GY150" s="324"/>
      <c r="GZ150" s="324"/>
      <c r="HA150" s="324"/>
      <c r="HB150" s="324"/>
      <c r="HC150" s="324"/>
      <c r="HD150" s="324"/>
      <c r="HE150" s="324"/>
      <c r="HF150" s="324"/>
      <c r="HG150" s="324"/>
      <c r="HH150" s="324"/>
      <c r="HI150" s="324"/>
      <c r="HJ150" s="324"/>
      <c r="HK150" s="324"/>
      <c r="HL150" s="324"/>
      <c r="HM150" s="324"/>
      <c r="HN150" s="324"/>
      <c r="HO150" s="324"/>
      <c r="HP150" s="324"/>
      <c r="HQ150" s="324"/>
      <c r="HR150" s="324"/>
      <c r="HS150" s="324"/>
      <c r="HT150" s="324"/>
      <c r="HU150" s="324"/>
      <c r="HV150" s="324"/>
      <c r="HW150" s="324"/>
      <c r="HX150" s="324"/>
      <c r="HY150" s="324"/>
      <c r="HZ150" s="324"/>
      <c r="IA150" s="324"/>
      <c r="IB150" s="324"/>
      <c r="IC150" s="324"/>
      <c r="ID150" s="324"/>
      <c r="IE150" s="324"/>
      <c r="IF150" s="324"/>
      <c r="IG150" s="324"/>
      <c r="IH150" s="324"/>
      <c r="II150" s="324"/>
      <c r="IJ150" s="324"/>
      <c r="IK150" s="324"/>
      <c r="IL150" s="324"/>
      <c r="IM150" s="324"/>
    </row>
    <row r="151" spans="1:247" x14ac:dyDescent="0.35">
      <c r="A151" s="356">
        <v>7331</v>
      </c>
      <c r="B151" s="357" t="s">
        <v>157</v>
      </c>
      <c r="C151" s="172" t="s">
        <v>8</v>
      </c>
      <c r="D151" s="358" t="s">
        <v>2053</v>
      </c>
      <c r="E151" s="336">
        <f>+$E$3</f>
        <v>1.0740000000000001</v>
      </c>
      <c r="F151" s="331">
        <f t="shared" si="29"/>
        <v>1.0209999999999999</v>
      </c>
      <c r="G151" s="337">
        <f>+$G$3</f>
        <v>1.0269999999999999</v>
      </c>
      <c r="H151" s="336"/>
      <c r="I151" s="338"/>
      <c r="J151" s="338">
        <f>+$J$3</f>
        <v>1.0049999999999999</v>
      </c>
      <c r="K151" s="338">
        <f>+$K$3</f>
        <v>1.026</v>
      </c>
      <c r="L151" s="338">
        <f>+$L$3</f>
        <v>1.0129999999999999</v>
      </c>
      <c r="M151" s="338">
        <f>+$M$3</f>
        <v>1.0029999999999999</v>
      </c>
      <c r="N151" s="337">
        <f t="shared" ref="N151:N163" si="43">+$N$3</f>
        <v>1.0029999999999999</v>
      </c>
      <c r="O151" s="339">
        <f>+$O$3</f>
        <v>1.0209999999999999</v>
      </c>
      <c r="P151" s="336">
        <f>+$P$3</f>
        <v>1.032</v>
      </c>
      <c r="Q151" s="337">
        <f>+$Q$3</f>
        <v>1.0349999999999999</v>
      </c>
      <c r="R151" s="340">
        <f t="shared" si="30"/>
        <v>1.290538574246207</v>
      </c>
      <c r="S151" s="324"/>
      <c r="T151" s="324"/>
      <c r="U151" s="324"/>
      <c r="V151" s="324"/>
      <c r="W151" s="324"/>
      <c r="X151" s="324"/>
      <c r="Y151" s="324"/>
      <c r="Z151" s="324"/>
      <c r="AA151" s="324"/>
      <c r="AB151" s="324"/>
      <c r="AC151" s="324"/>
      <c r="AD151" s="324"/>
      <c r="AE151" s="324"/>
      <c r="AF151" s="324"/>
      <c r="AG151" s="324"/>
      <c r="AH151" s="324"/>
      <c r="AI151" s="324"/>
      <c r="AJ151" s="324"/>
      <c r="AK151" s="324"/>
      <c r="AL151" s="324"/>
      <c r="AM151" s="324"/>
      <c r="AN151" s="324"/>
      <c r="AO151" s="324"/>
      <c r="AP151" s="324"/>
      <c r="AQ151" s="324"/>
      <c r="AR151" s="324"/>
      <c r="AS151" s="324"/>
      <c r="AT151" s="324"/>
      <c r="AU151" s="324"/>
      <c r="AV151" s="324"/>
      <c r="AW151" s="324"/>
      <c r="AX151" s="324"/>
      <c r="AY151" s="324"/>
      <c r="AZ151" s="324"/>
      <c r="BA151" s="324"/>
      <c r="BB151" s="324"/>
      <c r="BC151" s="324"/>
      <c r="BD151" s="324"/>
      <c r="BE151" s="324"/>
      <c r="BF151" s="324"/>
      <c r="BG151" s="324"/>
      <c r="BH151" s="324"/>
      <c r="BI151" s="324"/>
      <c r="BJ151" s="324"/>
      <c r="BK151" s="324"/>
      <c r="BL151" s="324"/>
      <c r="BM151" s="324"/>
      <c r="BN151" s="324"/>
      <c r="BO151" s="324"/>
      <c r="BP151" s="324"/>
      <c r="BQ151" s="324"/>
      <c r="BR151" s="324"/>
      <c r="BS151" s="324"/>
      <c r="BT151" s="324"/>
      <c r="BU151" s="324"/>
      <c r="BV151" s="324"/>
      <c r="BW151" s="324"/>
      <c r="BX151" s="324"/>
      <c r="BY151" s="324"/>
      <c r="BZ151" s="324"/>
      <c r="CA151" s="324"/>
      <c r="CB151" s="324"/>
      <c r="CC151" s="324"/>
      <c r="CD151" s="324"/>
      <c r="CE151" s="324"/>
      <c r="CF151" s="324"/>
      <c r="CG151" s="324"/>
      <c r="CH151" s="324"/>
      <c r="CI151" s="324"/>
      <c r="CJ151" s="324"/>
      <c r="CK151" s="324"/>
      <c r="CL151" s="324"/>
      <c r="CM151" s="324"/>
      <c r="CN151" s="324"/>
      <c r="CO151" s="324"/>
      <c r="CP151" s="324"/>
      <c r="CQ151" s="324"/>
      <c r="CR151" s="324"/>
      <c r="CS151" s="324"/>
      <c r="CT151" s="324"/>
      <c r="CU151" s="324"/>
      <c r="CV151" s="324"/>
      <c r="CW151" s="324"/>
      <c r="CX151" s="324"/>
      <c r="CY151" s="324"/>
      <c r="CZ151" s="324"/>
      <c r="DA151" s="324"/>
      <c r="DB151" s="324"/>
      <c r="DC151" s="324"/>
      <c r="DD151" s="324"/>
      <c r="DE151" s="324"/>
      <c r="DF151" s="324"/>
      <c r="DG151" s="324"/>
      <c r="DH151" s="324"/>
      <c r="DI151" s="324"/>
      <c r="DJ151" s="324"/>
      <c r="DK151" s="324"/>
      <c r="DL151" s="324"/>
      <c r="DM151" s="324"/>
      <c r="DN151" s="324"/>
      <c r="DO151" s="324"/>
      <c r="DP151" s="324"/>
      <c r="DQ151" s="324"/>
      <c r="DR151" s="324"/>
      <c r="DS151" s="324"/>
      <c r="DT151" s="324"/>
      <c r="DU151" s="324"/>
      <c r="DV151" s="324"/>
      <c r="DW151" s="324"/>
      <c r="DX151" s="324"/>
      <c r="DY151" s="324"/>
      <c r="DZ151" s="324"/>
      <c r="EA151" s="324"/>
      <c r="EB151" s="324"/>
      <c r="EC151" s="324"/>
      <c r="ED151" s="324"/>
      <c r="EE151" s="324"/>
      <c r="EF151" s="324"/>
      <c r="EG151" s="324"/>
      <c r="EH151" s="324"/>
      <c r="EI151" s="324"/>
      <c r="EJ151" s="324"/>
      <c r="EK151" s="324"/>
      <c r="EL151" s="324"/>
      <c r="EM151" s="324"/>
      <c r="EN151" s="324"/>
      <c r="EO151" s="324"/>
      <c r="EP151" s="324"/>
      <c r="EQ151" s="324"/>
      <c r="ER151" s="324"/>
      <c r="ES151" s="324"/>
      <c r="ET151" s="324"/>
      <c r="EU151" s="324"/>
      <c r="EV151" s="324"/>
      <c r="EW151" s="324"/>
      <c r="EX151" s="324"/>
      <c r="EY151" s="324"/>
      <c r="EZ151" s="324"/>
      <c r="FA151" s="324"/>
      <c r="FB151" s="324"/>
      <c r="FC151" s="324"/>
      <c r="FD151" s="324"/>
      <c r="FE151" s="324"/>
      <c r="FF151" s="324"/>
      <c r="FG151" s="324"/>
      <c r="FH151" s="324"/>
      <c r="FI151" s="324"/>
      <c r="FJ151" s="324"/>
      <c r="FK151" s="324"/>
      <c r="FL151" s="324"/>
      <c r="FM151" s="324"/>
      <c r="FN151" s="324"/>
      <c r="FO151" s="324"/>
      <c r="FP151" s="324"/>
      <c r="FQ151" s="324"/>
      <c r="FR151" s="324"/>
      <c r="FS151" s="324"/>
      <c r="FT151" s="324"/>
      <c r="FU151" s="324"/>
      <c r="FV151" s="324"/>
      <c r="FW151" s="324"/>
      <c r="FX151" s="324"/>
      <c r="FY151" s="324"/>
      <c r="FZ151" s="324"/>
      <c r="GA151" s="324"/>
      <c r="GB151" s="324"/>
      <c r="GC151" s="324"/>
      <c r="GD151" s="324"/>
      <c r="GE151" s="324"/>
      <c r="GF151" s="324"/>
      <c r="GG151" s="324"/>
      <c r="GH151" s="324"/>
      <c r="GI151" s="324"/>
      <c r="GJ151" s="324"/>
      <c r="GK151" s="324"/>
      <c r="GL151" s="324"/>
      <c r="GM151" s="324"/>
      <c r="GN151" s="324"/>
      <c r="GO151" s="324"/>
      <c r="GP151" s="324"/>
      <c r="GQ151" s="324"/>
      <c r="GR151" s="324"/>
      <c r="GS151" s="324"/>
      <c r="GT151" s="324"/>
      <c r="GU151" s="324"/>
      <c r="GV151" s="324"/>
      <c r="GW151" s="324"/>
      <c r="GX151" s="324"/>
      <c r="GY151" s="324"/>
      <c r="GZ151" s="324"/>
      <c r="HA151" s="324"/>
      <c r="HB151" s="324"/>
      <c r="HC151" s="324"/>
      <c r="HD151" s="324"/>
      <c r="HE151" s="324"/>
      <c r="HF151" s="324"/>
      <c r="HG151" s="324"/>
      <c r="HH151" s="324"/>
      <c r="HI151" s="324"/>
      <c r="HJ151" s="324"/>
      <c r="HK151" s="324"/>
      <c r="HL151" s="324"/>
      <c r="HM151" s="324"/>
      <c r="HN151" s="324"/>
      <c r="HO151" s="324"/>
      <c r="HP151" s="324"/>
      <c r="HQ151" s="324"/>
      <c r="HR151" s="324"/>
      <c r="HS151" s="324"/>
      <c r="HT151" s="324"/>
      <c r="HU151" s="324"/>
      <c r="HV151" s="324"/>
      <c r="HW151" s="324"/>
      <c r="HX151" s="324"/>
      <c r="HY151" s="324"/>
      <c r="HZ151" s="324"/>
      <c r="IA151" s="324"/>
      <c r="IB151" s="324"/>
      <c r="IC151" s="324"/>
      <c r="ID151" s="324"/>
      <c r="IE151" s="324"/>
      <c r="IF151" s="324"/>
      <c r="IG151" s="324"/>
      <c r="IH151" s="324"/>
      <c r="II151" s="324"/>
      <c r="IJ151" s="324"/>
      <c r="IK151" s="324"/>
      <c r="IL151" s="324"/>
      <c r="IM151" s="324"/>
    </row>
    <row r="152" spans="1:247" x14ac:dyDescent="0.35">
      <c r="A152" s="356">
        <v>7333</v>
      </c>
      <c r="B152" s="357" t="s">
        <v>158</v>
      </c>
      <c r="C152" s="172" t="s">
        <v>8</v>
      </c>
      <c r="D152" s="358" t="s">
        <v>2053</v>
      </c>
      <c r="E152" s="336">
        <f>+$E$3</f>
        <v>1.0740000000000001</v>
      </c>
      <c r="F152" s="331">
        <f t="shared" si="29"/>
        <v>1.0209999999999999</v>
      </c>
      <c r="G152" s="337">
        <f>+$G$3</f>
        <v>1.0269999999999999</v>
      </c>
      <c r="H152" s="336">
        <f>+$H$3</f>
        <v>1.0029999999999999</v>
      </c>
      <c r="I152" s="338">
        <f>+$I$3</f>
        <v>1.0289999999999999</v>
      </c>
      <c r="J152" s="338">
        <f>+$J$3</f>
        <v>1.0049999999999999</v>
      </c>
      <c r="K152" s="338">
        <f>+$K$3</f>
        <v>1.026</v>
      </c>
      <c r="L152" s="338">
        <f>+$L$3</f>
        <v>1.0129999999999999</v>
      </c>
      <c r="M152" s="338">
        <f>+$M$3</f>
        <v>1.0029999999999999</v>
      </c>
      <c r="N152" s="337">
        <f t="shared" si="43"/>
        <v>1.0029999999999999</v>
      </c>
      <c r="O152" s="339">
        <f>+$O$3</f>
        <v>1.0209999999999999</v>
      </c>
      <c r="P152" s="336">
        <f>+$P$3</f>
        <v>1.032</v>
      </c>
      <c r="Q152" s="337">
        <f>+$Q$3</f>
        <v>1.0349999999999999</v>
      </c>
      <c r="R152" s="340">
        <f t="shared" si="30"/>
        <v>1.3319480854780448</v>
      </c>
      <c r="S152" s="324"/>
      <c r="T152" s="324"/>
      <c r="U152" s="324"/>
      <c r="V152" s="324"/>
      <c r="W152" s="324"/>
      <c r="X152" s="324"/>
      <c r="Y152" s="324"/>
      <c r="Z152" s="324"/>
      <c r="AA152" s="324"/>
      <c r="AB152" s="324"/>
      <c r="AC152" s="324"/>
      <c r="AD152" s="324"/>
      <c r="AE152" s="324"/>
      <c r="AF152" s="324"/>
      <c r="AG152" s="324"/>
      <c r="AH152" s="324"/>
      <c r="AI152" s="324"/>
      <c r="AJ152" s="324"/>
      <c r="AK152" s="324"/>
      <c r="AL152" s="324"/>
      <c r="AM152" s="324"/>
      <c r="AN152" s="324"/>
      <c r="AO152" s="324"/>
      <c r="AP152" s="324"/>
      <c r="AQ152" s="324"/>
      <c r="AR152" s="324"/>
      <c r="AS152" s="324"/>
      <c r="AT152" s="324"/>
      <c r="AU152" s="324"/>
      <c r="AV152" s="324"/>
      <c r="AW152" s="324"/>
      <c r="AX152" s="324"/>
      <c r="AY152" s="324"/>
      <c r="AZ152" s="324"/>
      <c r="BA152" s="324"/>
      <c r="BB152" s="324"/>
      <c r="BC152" s="324"/>
      <c r="BD152" s="324"/>
      <c r="BE152" s="324"/>
      <c r="BF152" s="324"/>
      <c r="BG152" s="324"/>
      <c r="BH152" s="324"/>
      <c r="BI152" s="324"/>
      <c r="BJ152" s="324"/>
      <c r="BK152" s="324"/>
      <c r="BL152" s="324"/>
      <c r="BM152" s="324"/>
      <c r="BN152" s="324"/>
      <c r="BO152" s="324"/>
      <c r="BP152" s="324"/>
      <c r="BQ152" s="324"/>
      <c r="BR152" s="324"/>
      <c r="BS152" s="324"/>
      <c r="BT152" s="324"/>
      <c r="BU152" s="324"/>
      <c r="BV152" s="324"/>
      <c r="BW152" s="324"/>
      <c r="BX152" s="324"/>
      <c r="BY152" s="324"/>
      <c r="BZ152" s="324"/>
      <c r="CA152" s="324"/>
      <c r="CB152" s="324"/>
      <c r="CC152" s="324"/>
      <c r="CD152" s="324"/>
      <c r="CE152" s="324"/>
      <c r="CF152" s="324"/>
      <c r="CG152" s="324"/>
      <c r="CH152" s="324"/>
      <c r="CI152" s="324"/>
      <c r="CJ152" s="324"/>
      <c r="CK152" s="324"/>
      <c r="CL152" s="324"/>
      <c r="CM152" s="324"/>
      <c r="CN152" s="324"/>
      <c r="CO152" s="324"/>
      <c r="CP152" s="324"/>
      <c r="CQ152" s="324"/>
      <c r="CR152" s="324"/>
      <c r="CS152" s="324"/>
      <c r="CT152" s="324"/>
      <c r="CU152" s="324"/>
      <c r="CV152" s="324"/>
      <c r="CW152" s="324"/>
      <c r="CX152" s="324"/>
      <c r="CY152" s="324"/>
      <c r="CZ152" s="324"/>
      <c r="DA152" s="324"/>
      <c r="DB152" s="324"/>
      <c r="DC152" s="324"/>
      <c r="DD152" s="324"/>
      <c r="DE152" s="324"/>
      <c r="DF152" s="324"/>
      <c r="DG152" s="324"/>
      <c r="DH152" s="324"/>
      <c r="DI152" s="324"/>
      <c r="DJ152" s="324"/>
      <c r="DK152" s="324"/>
      <c r="DL152" s="324"/>
      <c r="DM152" s="324"/>
      <c r="DN152" s="324"/>
      <c r="DO152" s="324"/>
      <c r="DP152" s="324"/>
      <c r="DQ152" s="324"/>
      <c r="DR152" s="324"/>
      <c r="DS152" s="324"/>
      <c r="DT152" s="324"/>
      <c r="DU152" s="324"/>
      <c r="DV152" s="324"/>
      <c r="DW152" s="324"/>
      <c r="DX152" s="324"/>
      <c r="DY152" s="324"/>
      <c r="DZ152" s="324"/>
      <c r="EA152" s="324"/>
      <c r="EB152" s="324"/>
      <c r="EC152" s="324"/>
      <c r="ED152" s="324"/>
      <c r="EE152" s="324"/>
      <c r="EF152" s="324"/>
      <c r="EG152" s="324"/>
      <c r="EH152" s="324"/>
      <c r="EI152" s="324"/>
      <c r="EJ152" s="324"/>
      <c r="EK152" s="324"/>
      <c r="EL152" s="324"/>
      <c r="EM152" s="324"/>
      <c r="EN152" s="324"/>
      <c r="EO152" s="324"/>
      <c r="EP152" s="324"/>
      <c r="EQ152" s="324"/>
      <c r="ER152" s="324"/>
      <c r="ES152" s="324"/>
      <c r="ET152" s="324"/>
      <c r="EU152" s="324"/>
      <c r="EV152" s="324"/>
      <c r="EW152" s="324"/>
      <c r="EX152" s="324"/>
      <c r="EY152" s="324"/>
      <c r="EZ152" s="324"/>
      <c r="FA152" s="324"/>
      <c r="FB152" s="324"/>
      <c r="FC152" s="324"/>
      <c r="FD152" s="324"/>
      <c r="FE152" s="324"/>
      <c r="FF152" s="324"/>
      <c r="FG152" s="324"/>
      <c r="FH152" s="324"/>
      <c r="FI152" s="324"/>
      <c r="FJ152" s="324"/>
      <c r="FK152" s="324"/>
      <c r="FL152" s="324"/>
      <c r="FM152" s="324"/>
      <c r="FN152" s="324"/>
      <c r="FO152" s="324"/>
      <c r="FP152" s="324"/>
      <c r="FQ152" s="324"/>
      <c r="FR152" s="324"/>
      <c r="FS152" s="324"/>
      <c r="FT152" s="324"/>
      <c r="FU152" s="324"/>
      <c r="FV152" s="324"/>
      <c r="FW152" s="324"/>
      <c r="FX152" s="324"/>
      <c r="FY152" s="324"/>
      <c r="FZ152" s="324"/>
      <c r="GA152" s="324"/>
      <c r="GB152" s="324"/>
      <c r="GC152" s="324"/>
      <c r="GD152" s="324"/>
      <c r="GE152" s="324"/>
      <c r="GF152" s="324"/>
      <c r="GG152" s="324"/>
      <c r="GH152" s="324"/>
      <c r="GI152" s="324"/>
      <c r="GJ152" s="324"/>
      <c r="GK152" s="324"/>
      <c r="GL152" s="324"/>
      <c r="GM152" s="324"/>
      <c r="GN152" s="324"/>
      <c r="GO152" s="324"/>
      <c r="GP152" s="324"/>
      <c r="GQ152" s="324"/>
      <c r="GR152" s="324"/>
      <c r="GS152" s="324"/>
      <c r="GT152" s="324"/>
      <c r="GU152" s="324"/>
      <c r="GV152" s="324"/>
      <c r="GW152" s="324"/>
      <c r="GX152" s="324"/>
      <c r="GY152" s="324"/>
      <c r="GZ152" s="324"/>
      <c r="HA152" s="324"/>
      <c r="HB152" s="324"/>
      <c r="HC152" s="324"/>
      <c r="HD152" s="324"/>
      <c r="HE152" s="324"/>
      <c r="HF152" s="324"/>
      <c r="HG152" s="324"/>
      <c r="HH152" s="324"/>
      <c r="HI152" s="324"/>
      <c r="HJ152" s="324"/>
      <c r="HK152" s="324"/>
      <c r="HL152" s="324"/>
      <c r="HM152" s="324"/>
      <c r="HN152" s="324"/>
      <c r="HO152" s="324"/>
      <c r="HP152" s="324"/>
      <c r="HQ152" s="324"/>
      <c r="HR152" s="324"/>
      <c r="HS152" s="324"/>
      <c r="HT152" s="324"/>
      <c r="HU152" s="324"/>
      <c r="HV152" s="324"/>
      <c r="HW152" s="324"/>
      <c r="HX152" s="324"/>
      <c r="HY152" s="324"/>
      <c r="HZ152" s="324"/>
      <c r="IA152" s="324"/>
      <c r="IB152" s="324"/>
      <c r="IC152" s="324"/>
      <c r="ID152" s="324"/>
      <c r="IE152" s="324"/>
      <c r="IF152" s="324"/>
      <c r="IG152" s="324"/>
      <c r="IH152" s="324"/>
      <c r="II152" s="324"/>
      <c r="IJ152" s="324"/>
      <c r="IK152" s="324"/>
      <c r="IL152" s="324"/>
      <c r="IM152" s="324"/>
    </row>
    <row r="153" spans="1:247" x14ac:dyDescent="0.35">
      <c r="A153" s="356">
        <v>7340</v>
      </c>
      <c r="B153" s="357" t="s">
        <v>159</v>
      </c>
      <c r="C153" s="172" t="s">
        <v>8</v>
      </c>
      <c r="D153" s="358" t="s">
        <v>2053</v>
      </c>
      <c r="E153" s="336"/>
      <c r="F153" s="331">
        <f t="shared" si="29"/>
        <v>1.0209999999999999</v>
      </c>
      <c r="G153" s="337"/>
      <c r="H153" s="336"/>
      <c r="I153" s="338"/>
      <c r="J153" s="338">
        <f>+$J$3</f>
        <v>1.0049999999999999</v>
      </c>
      <c r="K153" s="338"/>
      <c r="L153" s="338"/>
      <c r="M153" s="338"/>
      <c r="N153" s="337">
        <f t="shared" si="43"/>
        <v>1.0029999999999999</v>
      </c>
      <c r="O153" s="339"/>
      <c r="P153" s="336"/>
      <c r="Q153" s="337"/>
      <c r="R153" s="340">
        <f t="shared" si="30"/>
        <v>1.0291833149999998</v>
      </c>
      <c r="S153" s="324"/>
      <c r="T153" s="324"/>
      <c r="U153" s="324"/>
      <c r="V153" s="324"/>
      <c r="W153" s="324"/>
      <c r="X153" s="324"/>
      <c r="Y153" s="324"/>
      <c r="Z153" s="324"/>
      <c r="AA153" s="324"/>
      <c r="AB153" s="324"/>
      <c r="AC153" s="324"/>
      <c r="AD153" s="324"/>
      <c r="AE153" s="324"/>
      <c r="AF153" s="324"/>
      <c r="AG153" s="324"/>
      <c r="AH153" s="324"/>
      <c r="AI153" s="324"/>
      <c r="AJ153" s="324"/>
      <c r="AK153" s="324"/>
      <c r="AL153" s="324"/>
      <c r="AM153" s="324"/>
      <c r="AN153" s="324"/>
      <c r="AO153" s="324"/>
      <c r="AP153" s="324"/>
      <c r="AQ153" s="324"/>
      <c r="AR153" s="324"/>
      <c r="AS153" s="324"/>
      <c r="AT153" s="324"/>
      <c r="AU153" s="324"/>
      <c r="AV153" s="324"/>
      <c r="AW153" s="324"/>
      <c r="AX153" s="324"/>
      <c r="AY153" s="324"/>
      <c r="AZ153" s="324"/>
      <c r="BA153" s="324"/>
      <c r="BB153" s="324"/>
      <c r="BC153" s="324"/>
      <c r="BD153" s="324"/>
      <c r="BE153" s="324"/>
      <c r="BF153" s="324"/>
      <c r="BG153" s="324"/>
      <c r="BH153" s="324"/>
      <c r="BI153" s="324"/>
      <c r="BJ153" s="324"/>
      <c r="BK153" s="324"/>
      <c r="BL153" s="324"/>
      <c r="BM153" s="324"/>
      <c r="BN153" s="324"/>
      <c r="BO153" s="324"/>
      <c r="BP153" s="324"/>
      <c r="BQ153" s="324"/>
      <c r="BR153" s="324"/>
      <c r="BS153" s="324"/>
      <c r="BT153" s="324"/>
      <c r="BU153" s="324"/>
      <c r="BV153" s="324"/>
      <c r="BW153" s="324"/>
      <c r="BX153" s="324"/>
      <c r="BY153" s="324"/>
      <c r="BZ153" s="324"/>
      <c r="CA153" s="324"/>
      <c r="CB153" s="324"/>
      <c r="CC153" s="324"/>
      <c r="CD153" s="324"/>
      <c r="CE153" s="324"/>
      <c r="CF153" s="324"/>
      <c r="CG153" s="324"/>
      <c r="CH153" s="324"/>
      <c r="CI153" s="324"/>
      <c r="CJ153" s="324"/>
      <c r="CK153" s="324"/>
      <c r="CL153" s="324"/>
      <c r="CM153" s="324"/>
      <c r="CN153" s="324"/>
      <c r="CO153" s="324"/>
      <c r="CP153" s="324"/>
      <c r="CQ153" s="324"/>
      <c r="CR153" s="324"/>
      <c r="CS153" s="324"/>
      <c r="CT153" s="324"/>
      <c r="CU153" s="324"/>
      <c r="CV153" s="324"/>
      <c r="CW153" s="324"/>
      <c r="CX153" s="324"/>
      <c r="CY153" s="324"/>
      <c r="CZ153" s="324"/>
      <c r="DA153" s="324"/>
      <c r="DB153" s="324"/>
      <c r="DC153" s="324"/>
      <c r="DD153" s="324"/>
      <c r="DE153" s="324"/>
      <c r="DF153" s="324"/>
      <c r="DG153" s="324"/>
      <c r="DH153" s="324"/>
      <c r="DI153" s="324"/>
      <c r="DJ153" s="324"/>
      <c r="DK153" s="324"/>
      <c r="DL153" s="324"/>
      <c r="DM153" s="324"/>
      <c r="DN153" s="324"/>
      <c r="DO153" s="324"/>
      <c r="DP153" s="324"/>
      <c r="DQ153" s="324"/>
      <c r="DR153" s="324"/>
      <c r="DS153" s="324"/>
      <c r="DT153" s="324"/>
      <c r="DU153" s="324"/>
      <c r="DV153" s="324"/>
      <c r="DW153" s="324"/>
      <c r="DX153" s="324"/>
      <c r="DY153" s="324"/>
      <c r="DZ153" s="324"/>
      <c r="EA153" s="324"/>
      <c r="EB153" s="324"/>
      <c r="EC153" s="324"/>
      <c r="ED153" s="324"/>
      <c r="EE153" s="324"/>
      <c r="EF153" s="324"/>
      <c r="EG153" s="324"/>
      <c r="EH153" s="324"/>
      <c r="EI153" s="324"/>
      <c r="EJ153" s="324"/>
      <c r="EK153" s="324"/>
      <c r="EL153" s="324"/>
      <c r="EM153" s="324"/>
      <c r="EN153" s="324"/>
      <c r="EO153" s="324"/>
      <c r="EP153" s="324"/>
      <c r="EQ153" s="324"/>
      <c r="ER153" s="324"/>
      <c r="ES153" s="324"/>
      <c r="ET153" s="324"/>
      <c r="EU153" s="324"/>
      <c r="EV153" s="324"/>
      <c r="EW153" s="324"/>
      <c r="EX153" s="324"/>
      <c r="EY153" s="324"/>
      <c r="EZ153" s="324"/>
      <c r="FA153" s="324"/>
      <c r="FB153" s="324"/>
      <c r="FC153" s="324"/>
      <c r="FD153" s="324"/>
      <c r="FE153" s="324"/>
      <c r="FF153" s="324"/>
      <c r="FG153" s="324"/>
      <c r="FH153" s="324"/>
      <c r="FI153" s="324"/>
      <c r="FJ153" s="324"/>
      <c r="FK153" s="324"/>
      <c r="FL153" s="324"/>
      <c r="FM153" s="324"/>
      <c r="FN153" s="324"/>
      <c r="FO153" s="324"/>
      <c r="FP153" s="324"/>
      <c r="FQ153" s="324"/>
      <c r="FR153" s="324"/>
      <c r="FS153" s="324"/>
      <c r="FT153" s="324"/>
      <c r="FU153" s="324"/>
      <c r="FV153" s="324"/>
      <c r="FW153" s="324"/>
      <c r="FX153" s="324"/>
      <c r="FY153" s="324"/>
      <c r="FZ153" s="324"/>
      <c r="GA153" s="324"/>
      <c r="GB153" s="324"/>
      <c r="GC153" s="324"/>
      <c r="GD153" s="324"/>
      <c r="GE153" s="324"/>
      <c r="GF153" s="324"/>
      <c r="GG153" s="324"/>
      <c r="GH153" s="324"/>
      <c r="GI153" s="324"/>
      <c r="GJ153" s="324"/>
      <c r="GK153" s="324"/>
      <c r="GL153" s="324"/>
      <c r="GM153" s="324"/>
      <c r="GN153" s="324"/>
      <c r="GO153" s="324"/>
      <c r="GP153" s="324"/>
      <c r="GQ153" s="324"/>
      <c r="GR153" s="324"/>
      <c r="GS153" s="324"/>
      <c r="GT153" s="324"/>
      <c r="GU153" s="324"/>
      <c r="GV153" s="324"/>
      <c r="GW153" s="324"/>
      <c r="GX153" s="324"/>
      <c r="GY153" s="324"/>
      <c r="GZ153" s="324"/>
      <c r="HA153" s="324"/>
      <c r="HB153" s="324"/>
      <c r="HC153" s="324"/>
      <c r="HD153" s="324"/>
      <c r="HE153" s="324"/>
      <c r="HF153" s="324"/>
      <c r="HG153" s="324"/>
      <c r="HH153" s="324"/>
      <c r="HI153" s="324"/>
      <c r="HJ153" s="324"/>
      <c r="HK153" s="324"/>
      <c r="HL153" s="324"/>
      <c r="HM153" s="324"/>
      <c r="HN153" s="324"/>
      <c r="HO153" s="324"/>
      <c r="HP153" s="324"/>
      <c r="HQ153" s="324"/>
      <c r="HR153" s="324"/>
      <c r="HS153" s="324"/>
      <c r="HT153" s="324"/>
      <c r="HU153" s="324"/>
      <c r="HV153" s="324"/>
      <c r="HW153" s="324"/>
      <c r="HX153" s="324"/>
      <c r="HY153" s="324"/>
      <c r="HZ153" s="324"/>
      <c r="IA153" s="324"/>
      <c r="IB153" s="324"/>
      <c r="IC153" s="324"/>
      <c r="ID153" s="324"/>
      <c r="IE153" s="324"/>
      <c r="IF153" s="324"/>
      <c r="IG153" s="324"/>
      <c r="IH153" s="324"/>
      <c r="II153" s="324"/>
      <c r="IJ153" s="324"/>
      <c r="IK153" s="324"/>
      <c r="IL153" s="324"/>
      <c r="IM153" s="324"/>
    </row>
    <row r="154" spans="1:247" x14ac:dyDescent="0.35">
      <c r="A154" s="356">
        <v>7341</v>
      </c>
      <c r="B154" s="357" t="s">
        <v>160</v>
      </c>
      <c r="C154" s="172" t="s">
        <v>8</v>
      </c>
      <c r="D154" s="358" t="s">
        <v>2053</v>
      </c>
      <c r="E154" s="336"/>
      <c r="F154" s="331">
        <f t="shared" si="29"/>
        <v>1.0209999999999999</v>
      </c>
      <c r="G154" s="337"/>
      <c r="H154" s="336">
        <f>+$H$3</f>
        <v>1.0029999999999999</v>
      </c>
      <c r="I154" s="338">
        <f>+$I$3</f>
        <v>1.0289999999999999</v>
      </c>
      <c r="J154" s="338">
        <f>+$J$3</f>
        <v>1.0049999999999999</v>
      </c>
      <c r="K154" s="338"/>
      <c r="L154" s="338"/>
      <c r="M154" s="338"/>
      <c r="N154" s="337">
        <f t="shared" si="43"/>
        <v>1.0029999999999999</v>
      </c>
      <c r="O154" s="339"/>
      <c r="P154" s="336">
        <f t="shared" ref="P154:P163" si="44">+$P$3</f>
        <v>1.032</v>
      </c>
      <c r="Q154" s="337">
        <f t="shared" ref="Q154:Q163" si="45">+$Q$3</f>
        <v>1.0349999999999999</v>
      </c>
      <c r="R154" s="340">
        <f t="shared" si="30"/>
        <v>1.1345642417967394</v>
      </c>
      <c r="S154" s="324"/>
      <c r="T154" s="324"/>
      <c r="U154" s="324"/>
      <c r="V154" s="324"/>
      <c r="W154" s="324"/>
      <c r="X154" s="324"/>
      <c r="Y154" s="324"/>
      <c r="Z154" s="324"/>
      <c r="AA154" s="324"/>
      <c r="AB154" s="324"/>
      <c r="AC154" s="324"/>
      <c r="AD154" s="324"/>
      <c r="AE154" s="324"/>
      <c r="AF154" s="324"/>
      <c r="AG154" s="324"/>
      <c r="AH154" s="324"/>
      <c r="AI154" s="324"/>
      <c r="AJ154" s="324"/>
      <c r="AK154" s="324"/>
      <c r="AL154" s="324"/>
      <c r="AM154" s="324"/>
      <c r="AN154" s="324"/>
      <c r="AO154" s="324"/>
      <c r="AP154" s="324"/>
      <c r="AQ154" s="324"/>
      <c r="AR154" s="324"/>
      <c r="AS154" s="324"/>
      <c r="AT154" s="324"/>
      <c r="AU154" s="324"/>
      <c r="AV154" s="324"/>
      <c r="AW154" s="324"/>
      <c r="AX154" s="324"/>
      <c r="AY154" s="324"/>
      <c r="AZ154" s="324"/>
      <c r="BA154" s="324"/>
      <c r="BB154" s="324"/>
      <c r="BC154" s="324"/>
      <c r="BD154" s="324"/>
      <c r="BE154" s="324"/>
      <c r="BF154" s="324"/>
      <c r="BG154" s="324"/>
      <c r="BH154" s="324"/>
      <c r="BI154" s="324"/>
      <c r="BJ154" s="324"/>
      <c r="BK154" s="324"/>
      <c r="BL154" s="324"/>
      <c r="BM154" s="324"/>
      <c r="BN154" s="324"/>
      <c r="BO154" s="324"/>
      <c r="BP154" s="324"/>
      <c r="BQ154" s="324"/>
      <c r="BR154" s="324"/>
      <c r="BS154" s="324"/>
      <c r="BT154" s="324"/>
      <c r="BU154" s="324"/>
      <c r="BV154" s="324"/>
      <c r="BW154" s="324"/>
      <c r="BX154" s="324"/>
      <c r="BY154" s="324"/>
      <c r="BZ154" s="324"/>
      <c r="CA154" s="324"/>
      <c r="CB154" s="324"/>
      <c r="CC154" s="324"/>
      <c r="CD154" s="324"/>
      <c r="CE154" s="324"/>
      <c r="CF154" s="324"/>
      <c r="CG154" s="324"/>
      <c r="CH154" s="324"/>
      <c r="CI154" s="324"/>
      <c r="CJ154" s="324"/>
      <c r="CK154" s="324"/>
      <c r="CL154" s="324"/>
      <c r="CM154" s="324"/>
      <c r="CN154" s="324"/>
      <c r="CO154" s="324"/>
      <c r="CP154" s="324"/>
      <c r="CQ154" s="324"/>
      <c r="CR154" s="324"/>
      <c r="CS154" s="324"/>
      <c r="CT154" s="324"/>
      <c r="CU154" s="324"/>
      <c r="CV154" s="324"/>
      <c r="CW154" s="324"/>
      <c r="CX154" s="324"/>
      <c r="CY154" s="324"/>
      <c r="CZ154" s="324"/>
      <c r="DA154" s="324"/>
      <c r="DB154" s="324"/>
      <c r="DC154" s="324"/>
      <c r="DD154" s="324"/>
      <c r="DE154" s="324"/>
      <c r="DF154" s="324"/>
      <c r="DG154" s="324"/>
      <c r="DH154" s="324"/>
      <c r="DI154" s="324"/>
      <c r="DJ154" s="324"/>
      <c r="DK154" s="324"/>
      <c r="DL154" s="324"/>
      <c r="DM154" s="324"/>
      <c r="DN154" s="324"/>
      <c r="DO154" s="324"/>
      <c r="DP154" s="324"/>
      <c r="DQ154" s="324"/>
      <c r="DR154" s="324"/>
      <c r="DS154" s="324"/>
      <c r="DT154" s="324"/>
      <c r="DU154" s="324"/>
      <c r="DV154" s="324"/>
      <c r="DW154" s="324"/>
      <c r="DX154" s="324"/>
      <c r="DY154" s="324"/>
      <c r="DZ154" s="324"/>
      <c r="EA154" s="324"/>
      <c r="EB154" s="324"/>
      <c r="EC154" s="324"/>
      <c r="ED154" s="324"/>
      <c r="EE154" s="324"/>
      <c r="EF154" s="324"/>
      <c r="EG154" s="324"/>
      <c r="EH154" s="324"/>
      <c r="EI154" s="324"/>
      <c r="EJ154" s="324"/>
      <c r="EK154" s="324"/>
      <c r="EL154" s="324"/>
      <c r="EM154" s="324"/>
      <c r="EN154" s="324"/>
      <c r="EO154" s="324"/>
      <c r="EP154" s="324"/>
      <c r="EQ154" s="324"/>
      <c r="ER154" s="324"/>
      <c r="ES154" s="324"/>
      <c r="ET154" s="324"/>
      <c r="EU154" s="324"/>
      <c r="EV154" s="324"/>
      <c r="EW154" s="324"/>
      <c r="EX154" s="324"/>
      <c r="EY154" s="324"/>
      <c r="EZ154" s="324"/>
      <c r="FA154" s="324"/>
      <c r="FB154" s="324"/>
      <c r="FC154" s="324"/>
      <c r="FD154" s="324"/>
      <c r="FE154" s="324"/>
      <c r="FF154" s="324"/>
      <c r="FG154" s="324"/>
      <c r="FH154" s="324"/>
      <c r="FI154" s="324"/>
      <c r="FJ154" s="324"/>
      <c r="FK154" s="324"/>
      <c r="FL154" s="324"/>
      <c r="FM154" s="324"/>
      <c r="FN154" s="324"/>
      <c r="FO154" s="324"/>
      <c r="FP154" s="324"/>
      <c r="FQ154" s="324"/>
      <c r="FR154" s="324"/>
      <c r="FS154" s="324"/>
      <c r="FT154" s="324"/>
      <c r="FU154" s="324"/>
      <c r="FV154" s="324"/>
      <c r="FW154" s="324"/>
      <c r="FX154" s="324"/>
      <c r="FY154" s="324"/>
      <c r="FZ154" s="324"/>
      <c r="GA154" s="324"/>
      <c r="GB154" s="324"/>
      <c r="GC154" s="324"/>
      <c r="GD154" s="324"/>
      <c r="GE154" s="324"/>
      <c r="GF154" s="324"/>
      <c r="GG154" s="324"/>
      <c r="GH154" s="324"/>
      <c r="GI154" s="324"/>
      <c r="GJ154" s="324"/>
      <c r="GK154" s="324"/>
      <c r="GL154" s="324"/>
      <c r="GM154" s="324"/>
      <c r="GN154" s="324"/>
      <c r="GO154" s="324"/>
      <c r="GP154" s="324"/>
      <c r="GQ154" s="324"/>
      <c r="GR154" s="324"/>
      <c r="GS154" s="324"/>
      <c r="GT154" s="324"/>
      <c r="GU154" s="324"/>
      <c r="GV154" s="324"/>
      <c r="GW154" s="324"/>
      <c r="GX154" s="324"/>
      <c r="GY154" s="324"/>
      <c r="GZ154" s="324"/>
      <c r="HA154" s="324"/>
      <c r="HB154" s="324"/>
      <c r="HC154" s="324"/>
      <c r="HD154" s="324"/>
      <c r="HE154" s="324"/>
      <c r="HF154" s="324"/>
      <c r="HG154" s="324"/>
      <c r="HH154" s="324"/>
      <c r="HI154" s="324"/>
      <c r="HJ154" s="324"/>
      <c r="HK154" s="324"/>
      <c r="HL154" s="324"/>
      <c r="HM154" s="324"/>
      <c r="HN154" s="324"/>
      <c r="HO154" s="324"/>
      <c r="HP154" s="324"/>
      <c r="HQ154" s="324"/>
      <c r="HR154" s="324"/>
      <c r="HS154" s="324"/>
      <c r="HT154" s="324"/>
      <c r="HU154" s="324"/>
      <c r="HV154" s="324"/>
      <c r="HW154" s="324"/>
      <c r="HX154" s="324"/>
      <c r="HY154" s="324"/>
      <c r="HZ154" s="324"/>
      <c r="IA154" s="324"/>
      <c r="IB154" s="324"/>
      <c r="IC154" s="324"/>
      <c r="ID154" s="324"/>
      <c r="IE154" s="324"/>
      <c r="IF154" s="324"/>
      <c r="IG154" s="324"/>
      <c r="IH154" s="324"/>
      <c r="II154" s="324"/>
      <c r="IJ154" s="324"/>
      <c r="IK154" s="324"/>
      <c r="IL154" s="324"/>
      <c r="IM154" s="324"/>
    </row>
    <row r="155" spans="1:247" x14ac:dyDescent="0.35">
      <c r="A155" s="356">
        <v>7342</v>
      </c>
      <c r="B155" s="357" t="s">
        <v>161</v>
      </c>
      <c r="C155" s="172" t="s">
        <v>8</v>
      </c>
      <c r="D155" s="358" t="s">
        <v>2053</v>
      </c>
      <c r="E155" s="336"/>
      <c r="F155" s="331">
        <f t="shared" si="29"/>
        <v>1.0209999999999999</v>
      </c>
      <c r="G155" s="337"/>
      <c r="H155" s="336"/>
      <c r="I155" s="338"/>
      <c r="J155" s="338"/>
      <c r="K155" s="338"/>
      <c r="L155" s="338">
        <f>+$L$3</f>
        <v>1.0129999999999999</v>
      </c>
      <c r="M155" s="338">
        <f>+$M$3</f>
        <v>1.0029999999999999</v>
      </c>
      <c r="N155" s="337">
        <f t="shared" si="43"/>
        <v>1.0029999999999999</v>
      </c>
      <c r="O155" s="339"/>
      <c r="P155" s="336">
        <f t="shared" si="44"/>
        <v>1.032</v>
      </c>
      <c r="Q155" s="337">
        <f t="shared" si="45"/>
        <v>1.0349999999999999</v>
      </c>
      <c r="R155" s="340">
        <f t="shared" si="30"/>
        <v>1.1113659853696505</v>
      </c>
      <c r="S155" s="324"/>
      <c r="T155" s="324"/>
      <c r="U155" s="324"/>
      <c r="V155" s="324"/>
      <c r="W155" s="324"/>
      <c r="X155" s="324"/>
      <c r="Y155" s="324"/>
      <c r="Z155" s="324"/>
      <c r="AA155" s="324"/>
      <c r="AB155" s="324"/>
      <c r="AC155" s="324"/>
      <c r="AD155" s="324"/>
      <c r="AE155" s="324"/>
      <c r="AF155" s="324"/>
      <c r="AG155" s="324"/>
      <c r="AH155" s="324"/>
      <c r="AI155" s="324"/>
      <c r="AJ155" s="324"/>
      <c r="AK155" s="324"/>
      <c r="AL155" s="324"/>
      <c r="AM155" s="324"/>
      <c r="AN155" s="324"/>
      <c r="AO155" s="324"/>
      <c r="AP155" s="324"/>
      <c r="AQ155" s="324"/>
      <c r="AR155" s="324"/>
      <c r="AS155" s="324"/>
      <c r="AT155" s="324"/>
      <c r="AU155" s="324"/>
      <c r="AV155" s="324"/>
      <c r="AW155" s="324"/>
      <c r="AX155" s="324"/>
      <c r="AY155" s="324"/>
      <c r="AZ155" s="324"/>
      <c r="BA155" s="324"/>
      <c r="BB155" s="324"/>
      <c r="BC155" s="324"/>
      <c r="BD155" s="324"/>
      <c r="BE155" s="324"/>
      <c r="BF155" s="324"/>
      <c r="BG155" s="324"/>
      <c r="BH155" s="324"/>
      <c r="BI155" s="324"/>
      <c r="BJ155" s="324"/>
      <c r="BK155" s="324"/>
      <c r="BL155" s="324"/>
      <c r="BM155" s="324"/>
      <c r="BN155" s="324"/>
      <c r="BO155" s="324"/>
      <c r="BP155" s="324"/>
      <c r="BQ155" s="324"/>
      <c r="BR155" s="324"/>
      <c r="BS155" s="324"/>
      <c r="BT155" s="324"/>
      <c r="BU155" s="324"/>
      <c r="BV155" s="324"/>
      <c r="BW155" s="324"/>
      <c r="BX155" s="324"/>
      <c r="BY155" s="324"/>
      <c r="BZ155" s="324"/>
      <c r="CA155" s="324"/>
      <c r="CB155" s="324"/>
      <c r="CC155" s="324"/>
      <c r="CD155" s="324"/>
      <c r="CE155" s="324"/>
      <c r="CF155" s="324"/>
      <c r="CG155" s="324"/>
      <c r="CH155" s="324"/>
      <c r="CI155" s="324"/>
      <c r="CJ155" s="324"/>
      <c r="CK155" s="324"/>
      <c r="CL155" s="324"/>
      <c r="CM155" s="324"/>
      <c r="CN155" s="324"/>
      <c r="CO155" s="324"/>
      <c r="CP155" s="324"/>
      <c r="CQ155" s="324"/>
      <c r="CR155" s="324"/>
      <c r="CS155" s="324"/>
      <c r="CT155" s="324"/>
      <c r="CU155" s="324"/>
      <c r="CV155" s="324"/>
      <c r="CW155" s="324"/>
      <c r="CX155" s="324"/>
      <c r="CY155" s="324"/>
      <c r="CZ155" s="324"/>
      <c r="DA155" s="324"/>
      <c r="DB155" s="324"/>
      <c r="DC155" s="324"/>
      <c r="DD155" s="324"/>
      <c r="DE155" s="324"/>
      <c r="DF155" s="324"/>
      <c r="DG155" s="324"/>
      <c r="DH155" s="324"/>
      <c r="DI155" s="324"/>
      <c r="DJ155" s="324"/>
      <c r="DK155" s="324"/>
      <c r="DL155" s="324"/>
      <c r="DM155" s="324"/>
      <c r="DN155" s="324"/>
      <c r="DO155" s="324"/>
      <c r="DP155" s="324"/>
      <c r="DQ155" s="324"/>
      <c r="DR155" s="324"/>
      <c r="DS155" s="324"/>
      <c r="DT155" s="324"/>
      <c r="DU155" s="324"/>
      <c r="DV155" s="324"/>
      <c r="DW155" s="324"/>
      <c r="DX155" s="324"/>
      <c r="DY155" s="324"/>
      <c r="DZ155" s="324"/>
      <c r="EA155" s="324"/>
      <c r="EB155" s="324"/>
      <c r="EC155" s="324"/>
      <c r="ED155" s="324"/>
      <c r="EE155" s="324"/>
      <c r="EF155" s="324"/>
      <c r="EG155" s="324"/>
      <c r="EH155" s="324"/>
      <c r="EI155" s="324"/>
      <c r="EJ155" s="324"/>
      <c r="EK155" s="324"/>
      <c r="EL155" s="324"/>
      <c r="EM155" s="324"/>
      <c r="EN155" s="324"/>
      <c r="EO155" s="324"/>
      <c r="EP155" s="324"/>
      <c r="EQ155" s="324"/>
      <c r="ER155" s="324"/>
      <c r="ES155" s="324"/>
      <c r="ET155" s="324"/>
      <c r="EU155" s="324"/>
      <c r="EV155" s="324"/>
      <c r="EW155" s="324"/>
      <c r="EX155" s="324"/>
      <c r="EY155" s="324"/>
      <c r="EZ155" s="324"/>
      <c r="FA155" s="324"/>
      <c r="FB155" s="324"/>
      <c r="FC155" s="324"/>
      <c r="FD155" s="324"/>
      <c r="FE155" s="324"/>
      <c r="FF155" s="324"/>
      <c r="FG155" s="324"/>
      <c r="FH155" s="324"/>
      <c r="FI155" s="324"/>
      <c r="FJ155" s="324"/>
      <c r="FK155" s="324"/>
      <c r="FL155" s="324"/>
      <c r="FM155" s="324"/>
      <c r="FN155" s="324"/>
      <c r="FO155" s="324"/>
      <c r="FP155" s="324"/>
      <c r="FQ155" s="324"/>
      <c r="FR155" s="324"/>
      <c r="FS155" s="324"/>
      <c r="FT155" s="324"/>
      <c r="FU155" s="324"/>
      <c r="FV155" s="324"/>
      <c r="FW155" s="324"/>
      <c r="FX155" s="324"/>
      <c r="FY155" s="324"/>
      <c r="FZ155" s="324"/>
      <c r="GA155" s="324"/>
      <c r="GB155" s="324"/>
      <c r="GC155" s="324"/>
      <c r="GD155" s="324"/>
      <c r="GE155" s="324"/>
      <c r="GF155" s="324"/>
      <c r="GG155" s="324"/>
      <c r="GH155" s="324"/>
      <c r="GI155" s="324"/>
      <c r="GJ155" s="324"/>
      <c r="GK155" s="324"/>
      <c r="GL155" s="324"/>
      <c r="GM155" s="324"/>
      <c r="GN155" s="324"/>
      <c r="GO155" s="324"/>
      <c r="GP155" s="324"/>
      <c r="GQ155" s="324"/>
      <c r="GR155" s="324"/>
      <c r="GS155" s="324"/>
      <c r="GT155" s="324"/>
      <c r="GU155" s="324"/>
      <c r="GV155" s="324"/>
      <c r="GW155" s="324"/>
      <c r="GX155" s="324"/>
      <c r="GY155" s="324"/>
      <c r="GZ155" s="324"/>
      <c r="HA155" s="324"/>
      <c r="HB155" s="324"/>
      <c r="HC155" s="324"/>
      <c r="HD155" s="324"/>
      <c r="HE155" s="324"/>
      <c r="HF155" s="324"/>
      <c r="HG155" s="324"/>
      <c r="HH155" s="324"/>
      <c r="HI155" s="324"/>
      <c r="HJ155" s="324"/>
      <c r="HK155" s="324"/>
      <c r="HL155" s="324"/>
      <c r="HM155" s="324"/>
      <c r="HN155" s="324"/>
      <c r="HO155" s="324"/>
      <c r="HP155" s="324"/>
      <c r="HQ155" s="324"/>
      <c r="HR155" s="324"/>
      <c r="HS155" s="324"/>
      <c r="HT155" s="324"/>
      <c r="HU155" s="324"/>
      <c r="HV155" s="324"/>
      <c r="HW155" s="324"/>
      <c r="HX155" s="324"/>
      <c r="HY155" s="324"/>
      <c r="HZ155" s="324"/>
      <c r="IA155" s="324"/>
      <c r="IB155" s="324"/>
      <c r="IC155" s="324"/>
      <c r="ID155" s="324"/>
      <c r="IE155" s="324"/>
      <c r="IF155" s="324"/>
      <c r="IG155" s="324"/>
      <c r="IH155" s="324"/>
      <c r="II155" s="324"/>
      <c r="IJ155" s="324"/>
      <c r="IK155" s="324"/>
      <c r="IL155" s="324"/>
      <c r="IM155" s="324"/>
    </row>
    <row r="156" spans="1:247" x14ac:dyDescent="0.35">
      <c r="A156" s="356">
        <v>7344</v>
      </c>
      <c r="B156" s="357" t="s">
        <v>162</v>
      </c>
      <c r="C156" s="172" t="s">
        <v>8</v>
      </c>
      <c r="D156" s="358" t="s">
        <v>2053</v>
      </c>
      <c r="E156" s="336">
        <f>+$E$3</f>
        <v>1.0740000000000001</v>
      </c>
      <c r="F156" s="331">
        <f t="shared" si="29"/>
        <v>1.0209999999999999</v>
      </c>
      <c r="G156" s="337">
        <f>+$G$3</f>
        <v>1.0269999999999999</v>
      </c>
      <c r="H156" s="336">
        <f>+$H$3</f>
        <v>1.0029999999999999</v>
      </c>
      <c r="I156" s="338">
        <f>+$I$3</f>
        <v>1.0289999999999999</v>
      </c>
      <c r="J156" s="338">
        <f>+$J$3</f>
        <v>1.0049999999999999</v>
      </c>
      <c r="K156" s="338">
        <f>+$K$3</f>
        <v>1.026</v>
      </c>
      <c r="L156" s="338">
        <f>+$L$3</f>
        <v>1.0129999999999999</v>
      </c>
      <c r="M156" s="338">
        <f>+$M$3</f>
        <v>1.0029999999999999</v>
      </c>
      <c r="N156" s="337">
        <f t="shared" si="43"/>
        <v>1.0029999999999999</v>
      </c>
      <c r="O156" s="339">
        <f>+$O$3</f>
        <v>1.0209999999999999</v>
      </c>
      <c r="P156" s="336">
        <f t="shared" si="44"/>
        <v>1.032</v>
      </c>
      <c r="Q156" s="337">
        <f t="shared" si="45"/>
        <v>1.0349999999999999</v>
      </c>
      <c r="R156" s="340">
        <f t="shared" si="30"/>
        <v>1.3319480854780448</v>
      </c>
      <c r="S156" s="324"/>
      <c r="T156" s="324"/>
      <c r="U156" s="324"/>
      <c r="V156" s="324"/>
      <c r="W156" s="324"/>
      <c r="X156" s="324"/>
      <c r="Y156" s="324"/>
      <c r="Z156" s="324"/>
      <c r="AA156" s="324"/>
      <c r="AB156" s="324"/>
      <c r="AC156" s="324"/>
      <c r="AD156" s="324"/>
      <c r="AE156" s="324"/>
      <c r="AF156" s="324"/>
      <c r="AG156" s="324"/>
      <c r="AH156" s="324"/>
      <c r="AI156" s="324"/>
      <c r="AJ156" s="324"/>
      <c r="AK156" s="324"/>
      <c r="AL156" s="324"/>
      <c r="AM156" s="324"/>
      <c r="AN156" s="324"/>
      <c r="AO156" s="324"/>
      <c r="AP156" s="324"/>
      <c r="AQ156" s="324"/>
      <c r="AR156" s="324"/>
      <c r="AS156" s="324"/>
      <c r="AT156" s="324"/>
      <c r="AU156" s="324"/>
      <c r="AV156" s="324"/>
      <c r="AW156" s="324"/>
      <c r="AX156" s="324"/>
      <c r="AY156" s="324"/>
      <c r="AZ156" s="324"/>
      <c r="BA156" s="324"/>
      <c r="BB156" s="324"/>
      <c r="BC156" s="324"/>
      <c r="BD156" s="324"/>
      <c r="BE156" s="324"/>
      <c r="BF156" s="324"/>
      <c r="BG156" s="324"/>
      <c r="BH156" s="324"/>
      <c r="BI156" s="324"/>
      <c r="BJ156" s="324"/>
      <c r="BK156" s="324"/>
      <c r="BL156" s="324"/>
      <c r="BM156" s="324"/>
      <c r="BN156" s="324"/>
      <c r="BO156" s="324"/>
      <c r="BP156" s="324"/>
      <c r="BQ156" s="324"/>
      <c r="BR156" s="324"/>
      <c r="BS156" s="324"/>
      <c r="BT156" s="324"/>
      <c r="BU156" s="324"/>
      <c r="BV156" s="324"/>
      <c r="BW156" s="324"/>
      <c r="BX156" s="324"/>
      <c r="BY156" s="324"/>
      <c r="BZ156" s="324"/>
      <c r="CA156" s="324"/>
      <c r="CB156" s="324"/>
      <c r="CC156" s="324"/>
      <c r="CD156" s="324"/>
      <c r="CE156" s="324"/>
      <c r="CF156" s="324"/>
      <c r="CG156" s="324"/>
      <c r="CH156" s="324"/>
      <c r="CI156" s="324"/>
      <c r="CJ156" s="324"/>
      <c r="CK156" s="324"/>
      <c r="CL156" s="324"/>
      <c r="CM156" s="324"/>
      <c r="CN156" s="324"/>
      <c r="CO156" s="324"/>
      <c r="CP156" s="324"/>
      <c r="CQ156" s="324"/>
      <c r="CR156" s="324"/>
      <c r="CS156" s="324"/>
      <c r="CT156" s="324"/>
      <c r="CU156" s="324"/>
      <c r="CV156" s="324"/>
      <c r="CW156" s="324"/>
      <c r="CX156" s="324"/>
      <c r="CY156" s="324"/>
      <c r="CZ156" s="324"/>
      <c r="DA156" s="324"/>
      <c r="DB156" s="324"/>
      <c r="DC156" s="324"/>
      <c r="DD156" s="324"/>
      <c r="DE156" s="324"/>
      <c r="DF156" s="324"/>
      <c r="DG156" s="324"/>
      <c r="DH156" s="324"/>
      <c r="DI156" s="324"/>
      <c r="DJ156" s="324"/>
      <c r="DK156" s="324"/>
      <c r="DL156" s="324"/>
      <c r="DM156" s="324"/>
      <c r="DN156" s="324"/>
      <c r="DO156" s="324"/>
      <c r="DP156" s="324"/>
      <c r="DQ156" s="324"/>
      <c r="DR156" s="324"/>
      <c r="DS156" s="324"/>
      <c r="DT156" s="324"/>
      <c r="DU156" s="324"/>
      <c r="DV156" s="324"/>
      <c r="DW156" s="324"/>
      <c r="DX156" s="324"/>
      <c r="DY156" s="324"/>
      <c r="DZ156" s="324"/>
      <c r="EA156" s="324"/>
      <c r="EB156" s="324"/>
      <c r="EC156" s="324"/>
      <c r="ED156" s="324"/>
      <c r="EE156" s="324"/>
      <c r="EF156" s="324"/>
      <c r="EG156" s="324"/>
      <c r="EH156" s="324"/>
      <c r="EI156" s="324"/>
      <c r="EJ156" s="324"/>
      <c r="EK156" s="324"/>
      <c r="EL156" s="324"/>
      <c r="EM156" s="324"/>
      <c r="EN156" s="324"/>
      <c r="EO156" s="324"/>
      <c r="EP156" s="324"/>
      <c r="EQ156" s="324"/>
      <c r="ER156" s="324"/>
      <c r="ES156" s="324"/>
      <c r="ET156" s="324"/>
      <c r="EU156" s="324"/>
      <c r="EV156" s="324"/>
      <c r="EW156" s="324"/>
      <c r="EX156" s="324"/>
      <c r="EY156" s="324"/>
      <c r="EZ156" s="324"/>
      <c r="FA156" s="324"/>
      <c r="FB156" s="324"/>
      <c r="FC156" s="324"/>
      <c r="FD156" s="324"/>
      <c r="FE156" s="324"/>
      <c r="FF156" s="324"/>
      <c r="FG156" s="324"/>
      <c r="FH156" s="324"/>
      <c r="FI156" s="324"/>
      <c r="FJ156" s="324"/>
      <c r="FK156" s="324"/>
      <c r="FL156" s="324"/>
      <c r="FM156" s="324"/>
      <c r="FN156" s="324"/>
      <c r="FO156" s="324"/>
      <c r="FP156" s="324"/>
      <c r="FQ156" s="324"/>
      <c r="FR156" s="324"/>
      <c r="FS156" s="324"/>
      <c r="FT156" s="324"/>
      <c r="FU156" s="324"/>
      <c r="FV156" s="324"/>
      <c r="FW156" s="324"/>
      <c r="FX156" s="324"/>
      <c r="FY156" s="324"/>
      <c r="FZ156" s="324"/>
      <c r="GA156" s="324"/>
      <c r="GB156" s="324"/>
      <c r="GC156" s="324"/>
      <c r="GD156" s="324"/>
      <c r="GE156" s="324"/>
      <c r="GF156" s="324"/>
      <c r="GG156" s="324"/>
      <c r="GH156" s="324"/>
      <c r="GI156" s="324"/>
      <c r="GJ156" s="324"/>
      <c r="GK156" s="324"/>
      <c r="GL156" s="324"/>
      <c r="GM156" s="324"/>
      <c r="GN156" s="324"/>
      <c r="GO156" s="324"/>
      <c r="GP156" s="324"/>
      <c r="GQ156" s="324"/>
      <c r="GR156" s="324"/>
      <c r="GS156" s="324"/>
      <c r="GT156" s="324"/>
      <c r="GU156" s="324"/>
      <c r="GV156" s="324"/>
      <c r="GW156" s="324"/>
      <c r="GX156" s="324"/>
      <c r="GY156" s="324"/>
      <c r="GZ156" s="324"/>
      <c r="HA156" s="324"/>
      <c r="HB156" s="324"/>
      <c r="HC156" s="324"/>
      <c r="HD156" s="324"/>
      <c r="HE156" s="324"/>
      <c r="HF156" s="324"/>
      <c r="HG156" s="324"/>
      <c r="HH156" s="324"/>
      <c r="HI156" s="324"/>
      <c r="HJ156" s="324"/>
      <c r="HK156" s="324"/>
      <c r="HL156" s="324"/>
      <c r="HM156" s="324"/>
      <c r="HN156" s="324"/>
      <c r="HO156" s="324"/>
      <c r="HP156" s="324"/>
      <c r="HQ156" s="324"/>
      <c r="HR156" s="324"/>
      <c r="HS156" s="324"/>
      <c r="HT156" s="324"/>
      <c r="HU156" s="324"/>
      <c r="HV156" s="324"/>
      <c r="HW156" s="324"/>
      <c r="HX156" s="324"/>
      <c r="HY156" s="324"/>
      <c r="HZ156" s="324"/>
      <c r="IA156" s="324"/>
      <c r="IB156" s="324"/>
      <c r="IC156" s="324"/>
      <c r="ID156" s="324"/>
      <c r="IE156" s="324"/>
      <c r="IF156" s="324"/>
      <c r="IG156" s="324"/>
      <c r="IH156" s="324"/>
      <c r="II156" s="324"/>
      <c r="IJ156" s="324"/>
      <c r="IK156" s="324"/>
      <c r="IL156" s="324"/>
      <c r="IM156" s="324"/>
    </row>
    <row r="157" spans="1:247" x14ac:dyDescent="0.35">
      <c r="A157" s="356">
        <v>7345</v>
      </c>
      <c r="B157" s="357" t="s">
        <v>163</v>
      </c>
      <c r="C157" s="172" t="s">
        <v>8</v>
      </c>
      <c r="D157" s="358" t="s">
        <v>2053</v>
      </c>
      <c r="E157" s="336"/>
      <c r="F157" s="331">
        <f t="shared" si="29"/>
        <v>1.0209999999999999</v>
      </c>
      <c r="G157" s="337">
        <f>+$G$3</f>
        <v>1.0269999999999999</v>
      </c>
      <c r="H157" s="336">
        <f>+$H$3</f>
        <v>1.0029999999999999</v>
      </c>
      <c r="I157" s="338">
        <f>+$I$3</f>
        <v>1.0289999999999999</v>
      </c>
      <c r="J157" s="338">
        <f>+$J$3</f>
        <v>1.0049999999999999</v>
      </c>
      <c r="K157" s="338"/>
      <c r="L157" s="338"/>
      <c r="M157" s="338"/>
      <c r="N157" s="337">
        <f t="shared" si="43"/>
        <v>1.0029999999999999</v>
      </c>
      <c r="O157" s="339"/>
      <c r="P157" s="336">
        <f t="shared" si="44"/>
        <v>1.032</v>
      </c>
      <c r="Q157" s="337">
        <f t="shared" si="45"/>
        <v>1.0349999999999999</v>
      </c>
      <c r="R157" s="340">
        <f t="shared" si="30"/>
        <v>1.1651974763252515</v>
      </c>
      <c r="S157" s="324"/>
      <c r="T157" s="324"/>
      <c r="U157" s="324"/>
      <c r="V157" s="324"/>
      <c r="W157" s="324"/>
      <c r="X157" s="324"/>
      <c r="Y157" s="324"/>
      <c r="Z157" s="324"/>
      <c r="AA157" s="324"/>
      <c r="AB157" s="324"/>
      <c r="AC157" s="324"/>
      <c r="AD157" s="324"/>
      <c r="AE157" s="324"/>
      <c r="AF157" s="324"/>
      <c r="AG157" s="324"/>
      <c r="AH157" s="324"/>
      <c r="AI157" s="324"/>
      <c r="AJ157" s="324"/>
      <c r="AK157" s="324"/>
      <c r="AL157" s="324"/>
      <c r="AM157" s="324"/>
      <c r="AN157" s="324"/>
      <c r="AO157" s="324"/>
      <c r="AP157" s="324"/>
      <c r="AQ157" s="324"/>
      <c r="AR157" s="324"/>
      <c r="AS157" s="324"/>
      <c r="AT157" s="324"/>
      <c r="AU157" s="324"/>
      <c r="AV157" s="324"/>
      <c r="AW157" s="324"/>
      <c r="AX157" s="324"/>
      <c r="AY157" s="324"/>
      <c r="AZ157" s="324"/>
      <c r="BA157" s="324"/>
      <c r="BB157" s="324"/>
      <c r="BC157" s="324"/>
      <c r="BD157" s="324"/>
      <c r="BE157" s="324"/>
      <c r="BF157" s="324"/>
      <c r="BG157" s="324"/>
      <c r="BH157" s="324"/>
      <c r="BI157" s="324"/>
      <c r="BJ157" s="324"/>
      <c r="BK157" s="324"/>
      <c r="BL157" s="324"/>
      <c r="BM157" s="324"/>
      <c r="BN157" s="324"/>
      <c r="BO157" s="324"/>
      <c r="BP157" s="324"/>
      <c r="BQ157" s="324"/>
      <c r="BR157" s="324"/>
      <c r="BS157" s="324"/>
      <c r="BT157" s="324"/>
      <c r="BU157" s="324"/>
      <c r="BV157" s="324"/>
      <c r="BW157" s="324"/>
      <c r="BX157" s="324"/>
      <c r="BY157" s="324"/>
      <c r="BZ157" s="324"/>
      <c r="CA157" s="324"/>
      <c r="CB157" s="324"/>
      <c r="CC157" s="324"/>
      <c r="CD157" s="324"/>
      <c r="CE157" s="324"/>
      <c r="CF157" s="324"/>
      <c r="CG157" s="324"/>
      <c r="CH157" s="324"/>
      <c r="CI157" s="324"/>
      <c r="CJ157" s="324"/>
      <c r="CK157" s="324"/>
      <c r="CL157" s="324"/>
      <c r="CM157" s="324"/>
      <c r="CN157" s="324"/>
      <c r="CO157" s="324"/>
      <c r="CP157" s="324"/>
      <c r="CQ157" s="324"/>
      <c r="CR157" s="324"/>
      <c r="CS157" s="324"/>
      <c r="CT157" s="324"/>
      <c r="CU157" s="324"/>
      <c r="CV157" s="324"/>
      <c r="CW157" s="324"/>
      <c r="CX157" s="324"/>
      <c r="CY157" s="324"/>
      <c r="CZ157" s="324"/>
      <c r="DA157" s="324"/>
      <c r="DB157" s="324"/>
      <c r="DC157" s="324"/>
      <c r="DD157" s="324"/>
      <c r="DE157" s="324"/>
      <c r="DF157" s="324"/>
      <c r="DG157" s="324"/>
      <c r="DH157" s="324"/>
      <c r="DI157" s="324"/>
      <c r="DJ157" s="324"/>
      <c r="DK157" s="324"/>
      <c r="DL157" s="324"/>
      <c r="DM157" s="324"/>
      <c r="DN157" s="324"/>
      <c r="DO157" s="324"/>
      <c r="DP157" s="324"/>
      <c r="DQ157" s="324"/>
      <c r="DR157" s="324"/>
      <c r="DS157" s="324"/>
      <c r="DT157" s="324"/>
      <c r="DU157" s="324"/>
      <c r="DV157" s="324"/>
      <c r="DW157" s="324"/>
      <c r="DX157" s="324"/>
      <c r="DY157" s="324"/>
      <c r="DZ157" s="324"/>
      <c r="EA157" s="324"/>
      <c r="EB157" s="324"/>
      <c r="EC157" s="324"/>
      <c r="ED157" s="324"/>
      <c r="EE157" s="324"/>
      <c r="EF157" s="324"/>
      <c r="EG157" s="324"/>
      <c r="EH157" s="324"/>
      <c r="EI157" s="324"/>
      <c r="EJ157" s="324"/>
      <c r="EK157" s="324"/>
      <c r="EL157" s="324"/>
      <c r="EM157" s="324"/>
      <c r="EN157" s="324"/>
      <c r="EO157" s="324"/>
      <c r="EP157" s="324"/>
      <c r="EQ157" s="324"/>
      <c r="ER157" s="324"/>
      <c r="ES157" s="324"/>
      <c r="ET157" s="324"/>
      <c r="EU157" s="324"/>
      <c r="EV157" s="324"/>
      <c r="EW157" s="324"/>
      <c r="EX157" s="324"/>
      <c r="EY157" s="324"/>
      <c r="EZ157" s="324"/>
      <c r="FA157" s="324"/>
      <c r="FB157" s="324"/>
      <c r="FC157" s="324"/>
      <c r="FD157" s="324"/>
      <c r="FE157" s="324"/>
      <c r="FF157" s="324"/>
      <c r="FG157" s="324"/>
      <c r="FH157" s="324"/>
      <c r="FI157" s="324"/>
      <c r="FJ157" s="324"/>
      <c r="FK157" s="324"/>
      <c r="FL157" s="324"/>
      <c r="FM157" s="324"/>
      <c r="FN157" s="324"/>
      <c r="FO157" s="324"/>
      <c r="FP157" s="324"/>
      <c r="FQ157" s="324"/>
      <c r="FR157" s="324"/>
      <c r="FS157" s="324"/>
      <c r="FT157" s="324"/>
      <c r="FU157" s="324"/>
      <c r="FV157" s="324"/>
      <c r="FW157" s="324"/>
      <c r="FX157" s="324"/>
      <c r="FY157" s="324"/>
      <c r="FZ157" s="324"/>
      <c r="GA157" s="324"/>
      <c r="GB157" s="324"/>
      <c r="GC157" s="324"/>
      <c r="GD157" s="324"/>
      <c r="GE157" s="324"/>
      <c r="GF157" s="324"/>
      <c r="GG157" s="324"/>
      <c r="GH157" s="324"/>
      <c r="GI157" s="324"/>
      <c r="GJ157" s="324"/>
      <c r="GK157" s="324"/>
      <c r="GL157" s="324"/>
      <c r="GM157" s="324"/>
      <c r="GN157" s="324"/>
      <c r="GO157" s="324"/>
      <c r="GP157" s="324"/>
      <c r="GQ157" s="324"/>
      <c r="GR157" s="324"/>
      <c r="GS157" s="324"/>
      <c r="GT157" s="324"/>
      <c r="GU157" s="324"/>
      <c r="GV157" s="324"/>
      <c r="GW157" s="324"/>
      <c r="GX157" s="324"/>
      <c r="GY157" s="324"/>
      <c r="GZ157" s="324"/>
      <c r="HA157" s="324"/>
      <c r="HB157" s="324"/>
      <c r="HC157" s="324"/>
      <c r="HD157" s="324"/>
      <c r="HE157" s="324"/>
      <c r="HF157" s="324"/>
      <c r="HG157" s="324"/>
      <c r="HH157" s="324"/>
      <c r="HI157" s="324"/>
      <c r="HJ157" s="324"/>
      <c r="HK157" s="324"/>
      <c r="HL157" s="324"/>
      <c r="HM157" s="324"/>
      <c r="HN157" s="324"/>
      <c r="HO157" s="324"/>
      <c r="HP157" s="324"/>
      <c r="HQ157" s="324"/>
      <c r="HR157" s="324"/>
      <c r="HS157" s="324"/>
      <c r="HT157" s="324"/>
      <c r="HU157" s="324"/>
      <c r="HV157" s="324"/>
      <c r="HW157" s="324"/>
      <c r="HX157" s="324"/>
      <c r="HY157" s="324"/>
      <c r="HZ157" s="324"/>
      <c r="IA157" s="324"/>
      <c r="IB157" s="324"/>
      <c r="IC157" s="324"/>
      <c r="ID157" s="324"/>
      <c r="IE157" s="324"/>
      <c r="IF157" s="324"/>
      <c r="IG157" s="324"/>
      <c r="IH157" s="324"/>
      <c r="II157" s="324"/>
      <c r="IJ157" s="324"/>
      <c r="IK157" s="324"/>
      <c r="IL157" s="324"/>
      <c r="IM157" s="324"/>
    </row>
    <row r="158" spans="1:247" x14ac:dyDescent="0.35">
      <c r="A158" s="356">
        <v>7346</v>
      </c>
      <c r="B158" s="357" t="s">
        <v>164</v>
      </c>
      <c r="C158" s="172" t="s">
        <v>8</v>
      </c>
      <c r="D158" s="358" t="s">
        <v>2053</v>
      </c>
      <c r="E158" s="336"/>
      <c r="F158" s="331">
        <f t="shared" si="29"/>
        <v>1.0209999999999999</v>
      </c>
      <c r="G158" s="337">
        <f>+$G$3</f>
        <v>1.0269999999999999</v>
      </c>
      <c r="H158" s="336">
        <f>+$H$3</f>
        <v>1.0029999999999999</v>
      </c>
      <c r="I158" s="338">
        <f>+$I$3</f>
        <v>1.0289999999999999</v>
      </c>
      <c r="J158" s="338">
        <f>+$J$3</f>
        <v>1.0049999999999999</v>
      </c>
      <c r="K158" s="338">
        <f>+$K$3</f>
        <v>1.026</v>
      </c>
      <c r="L158" s="338">
        <f>+$L$3</f>
        <v>1.0129999999999999</v>
      </c>
      <c r="M158" s="338">
        <f>+$M$3</f>
        <v>1.0029999999999999</v>
      </c>
      <c r="N158" s="337">
        <f t="shared" si="43"/>
        <v>1.0029999999999999</v>
      </c>
      <c r="O158" s="339"/>
      <c r="P158" s="336">
        <f t="shared" si="44"/>
        <v>1.032</v>
      </c>
      <c r="Q158" s="337">
        <f t="shared" si="45"/>
        <v>1.0349999999999999</v>
      </c>
      <c r="R158" s="340">
        <f t="shared" si="30"/>
        <v>1.2146671166928804</v>
      </c>
      <c r="S158" s="324"/>
      <c r="T158" s="324"/>
      <c r="U158" s="324"/>
      <c r="V158" s="324"/>
      <c r="W158" s="324"/>
      <c r="X158" s="324"/>
      <c r="Y158" s="324"/>
      <c r="Z158" s="324"/>
      <c r="AA158" s="324"/>
      <c r="AB158" s="324"/>
      <c r="AC158" s="324"/>
      <c r="AD158" s="324"/>
      <c r="AE158" s="324"/>
      <c r="AF158" s="324"/>
      <c r="AG158" s="324"/>
      <c r="AH158" s="324"/>
      <c r="AI158" s="324"/>
      <c r="AJ158" s="324"/>
      <c r="AK158" s="324"/>
      <c r="AL158" s="324"/>
      <c r="AM158" s="324"/>
      <c r="AN158" s="324"/>
      <c r="AO158" s="324"/>
      <c r="AP158" s="324"/>
      <c r="AQ158" s="324"/>
      <c r="AR158" s="324"/>
      <c r="AS158" s="324"/>
      <c r="AT158" s="324"/>
      <c r="AU158" s="324"/>
      <c r="AV158" s="324"/>
      <c r="AW158" s="324"/>
      <c r="AX158" s="324"/>
      <c r="AY158" s="324"/>
      <c r="AZ158" s="324"/>
      <c r="BA158" s="324"/>
      <c r="BB158" s="324"/>
      <c r="BC158" s="324"/>
      <c r="BD158" s="324"/>
      <c r="BE158" s="324"/>
      <c r="BF158" s="324"/>
      <c r="BG158" s="324"/>
      <c r="BH158" s="324"/>
      <c r="BI158" s="324"/>
      <c r="BJ158" s="324"/>
      <c r="BK158" s="324"/>
      <c r="BL158" s="324"/>
      <c r="BM158" s="324"/>
      <c r="BN158" s="324"/>
      <c r="BO158" s="324"/>
      <c r="BP158" s="324"/>
      <c r="BQ158" s="324"/>
      <c r="BR158" s="324"/>
      <c r="BS158" s="324"/>
      <c r="BT158" s="324"/>
      <c r="BU158" s="324"/>
      <c r="BV158" s="324"/>
      <c r="BW158" s="324"/>
      <c r="BX158" s="324"/>
      <c r="BY158" s="324"/>
      <c r="BZ158" s="324"/>
      <c r="CA158" s="324"/>
      <c r="CB158" s="324"/>
      <c r="CC158" s="324"/>
      <c r="CD158" s="324"/>
      <c r="CE158" s="324"/>
      <c r="CF158" s="324"/>
      <c r="CG158" s="324"/>
      <c r="CH158" s="324"/>
      <c r="CI158" s="324"/>
      <c r="CJ158" s="324"/>
      <c r="CK158" s="324"/>
      <c r="CL158" s="324"/>
      <c r="CM158" s="324"/>
      <c r="CN158" s="324"/>
      <c r="CO158" s="324"/>
      <c r="CP158" s="324"/>
      <c r="CQ158" s="324"/>
      <c r="CR158" s="324"/>
      <c r="CS158" s="324"/>
      <c r="CT158" s="324"/>
      <c r="CU158" s="324"/>
      <c r="CV158" s="324"/>
      <c r="CW158" s="324"/>
      <c r="CX158" s="324"/>
      <c r="CY158" s="324"/>
      <c r="CZ158" s="324"/>
      <c r="DA158" s="324"/>
      <c r="DB158" s="324"/>
      <c r="DC158" s="324"/>
      <c r="DD158" s="324"/>
      <c r="DE158" s="324"/>
      <c r="DF158" s="324"/>
      <c r="DG158" s="324"/>
      <c r="DH158" s="324"/>
      <c r="DI158" s="324"/>
      <c r="DJ158" s="324"/>
      <c r="DK158" s="324"/>
      <c r="DL158" s="324"/>
      <c r="DM158" s="324"/>
      <c r="DN158" s="324"/>
      <c r="DO158" s="324"/>
      <c r="DP158" s="324"/>
      <c r="DQ158" s="324"/>
      <c r="DR158" s="324"/>
      <c r="DS158" s="324"/>
      <c r="DT158" s="324"/>
      <c r="DU158" s="324"/>
      <c r="DV158" s="324"/>
      <c r="DW158" s="324"/>
      <c r="DX158" s="324"/>
      <c r="DY158" s="324"/>
      <c r="DZ158" s="324"/>
      <c r="EA158" s="324"/>
      <c r="EB158" s="324"/>
      <c r="EC158" s="324"/>
      <c r="ED158" s="324"/>
      <c r="EE158" s="324"/>
      <c r="EF158" s="324"/>
      <c r="EG158" s="324"/>
      <c r="EH158" s="324"/>
      <c r="EI158" s="324"/>
      <c r="EJ158" s="324"/>
      <c r="EK158" s="324"/>
      <c r="EL158" s="324"/>
      <c r="EM158" s="324"/>
      <c r="EN158" s="324"/>
      <c r="EO158" s="324"/>
      <c r="EP158" s="324"/>
      <c r="EQ158" s="324"/>
      <c r="ER158" s="324"/>
      <c r="ES158" s="324"/>
      <c r="ET158" s="324"/>
      <c r="EU158" s="324"/>
      <c r="EV158" s="324"/>
      <c r="EW158" s="324"/>
      <c r="EX158" s="324"/>
      <c r="EY158" s="324"/>
      <c r="EZ158" s="324"/>
      <c r="FA158" s="324"/>
      <c r="FB158" s="324"/>
      <c r="FC158" s="324"/>
      <c r="FD158" s="324"/>
      <c r="FE158" s="324"/>
      <c r="FF158" s="324"/>
      <c r="FG158" s="324"/>
      <c r="FH158" s="324"/>
      <c r="FI158" s="324"/>
      <c r="FJ158" s="324"/>
      <c r="FK158" s="324"/>
      <c r="FL158" s="324"/>
      <c r="FM158" s="324"/>
      <c r="FN158" s="324"/>
      <c r="FO158" s="324"/>
      <c r="FP158" s="324"/>
      <c r="FQ158" s="324"/>
      <c r="FR158" s="324"/>
      <c r="FS158" s="324"/>
      <c r="FT158" s="324"/>
      <c r="FU158" s="324"/>
      <c r="FV158" s="324"/>
      <c r="FW158" s="324"/>
      <c r="FX158" s="324"/>
      <c r="FY158" s="324"/>
      <c r="FZ158" s="324"/>
      <c r="GA158" s="324"/>
      <c r="GB158" s="324"/>
      <c r="GC158" s="324"/>
      <c r="GD158" s="324"/>
      <c r="GE158" s="324"/>
      <c r="GF158" s="324"/>
      <c r="GG158" s="324"/>
      <c r="GH158" s="324"/>
      <c r="GI158" s="324"/>
      <c r="GJ158" s="324"/>
      <c r="GK158" s="324"/>
      <c r="GL158" s="324"/>
      <c r="GM158" s="324"/>
      <c r="GN158" s="324"/>
      <c r="GO158" s="324"/>
      <c r="GP158" s="324"/>
      <c r="GQ158" s="324"/>
      <c r="GR158" s="324"/>
      <c r="GS158" s="324"/>
      <c r="GT158" s="324"/>
      <c r="GU158" s="324"/>
      <c r="GV158" s="324"/>
      <c r="GW158" s="324"/>
      <c r="GX158" s="324"/>
      <c r="GY158" s="324"/>
      <c r="GZ158" s="324"/>
      <c r="HA158" s="324"/>
      <c r="HB158" s="324"/>
      <c r="HC158" s="324"/>
      <c r="HD158" s="324"/>
      <c r="HE158" s="324"/>
      <c r="HF158" s="324"/>
      <c r="HG158" s="324"/>
      <c r="HH158" s="324"/>
      <c r="HI158" s="324"/>
      <c r="HJ158" s="324"/>
      <c r="HK158" s="324"/>
      <c r="HL158" s="324"/>
      <c r="HM158" s="324"/>
      <c r="HN158" s="324"/>
      <c r="HO158" s="324"/>
      <c r="HP158" s="324"/>
      <c r="HQ158" s="324"/>
      <c r="HR158" s="324"/>
      <c r="HS158" s="324"/>
      <c r="HT158" s="324"/>
      <c r="HU158" s="324"/>
      <c r="HV158" s="324"/>
      <c r="HW158" s="324"/>
      <c r="HX158" s="324"/>
      <c r="HY158" s="324"/>
      <c r="HZ158" s="324"/>
      <c r="IA158" s="324"/>
      <c r="IB158" s="324"/>
      <c r="IC158" s="324"/>
      <c r="ID158" s="324"/>
      <c r="IE158" s="324"/>
      <c r="IF158" s="324"/>
      <c r="IG158" s="324"/>
      <c r="IH158" s="324"/>
      <c r="II158" s="324"/>
      <c r="IJ158" s="324"/>
      <c r="IK158" s="324"/>
      <c r="IL158" s="324"/>
      <c r="IM158" s="324"/>
    </row>
    <row r="159" spans="1:247" x14ac:dyDescent="0.35">
      <c r="A159" s="356">
        <v>7347</v>
      </c>
      <c r="B159" s="357" t="s">
        <v>165</v>
      </c>
      <c r="C159" s="172" t="s">
        <v>8</v>
      </c>
      <c r="D159" s="358" t="s">
        <v>2053</v>
      </c>
      <c r="E159" s="336">
        <f>+$E$3</f>
        <v>1.0740000000000001</v>
      </c>
      <c r="F159" s="331">
        <f t="shared" si="29"/>
        <v>1.0209999999999999</v>
      </c>
      <c r="G159" s="337">
        <f>+$G$3</f>
        <v>1.0269999999999999</v>
      </c>
      <c r="H159" s="336">
        <f>+$H$3</f>
        <v>1.0029999999999999</v>
      </c>
      <c r="I159" s="338">
        <f>+$I$3</f>
        <v>1.0289999999999999</v>
      </c>
      <c r="J159" s="338">
        <f>+$J$3</f>
        <v>1.0049999999999999</v>
      </c>
      <c r="K159" s="338">
        <f>+$K$3</f>
        <v>1.026</v>
      </c>
      <c r="L159" s="338"/>
      <c r="M159" s="338">
        <f>+$M$3</f>
        <v>1.0029999999999999</v>
      </c>
      <c r="N159" s="337">
        <f t="shared" si="43"/>
        <v>1.0029999999999999</v>
      </c>
      <c r="O159" s="339">
        <f>+$O$3</f>
        <v>1.0209999999999999</v>
      </c>
      <c r="P159" s="336">
        <f t="shared" si="44"/>
        <v>1.032</v>
      </c>
      <c r="Q159" s="337">
        <f t="shared" si="45"/>
        <v>1.0349999999999999</v>
      </c>
      <c r="R159" s="340">
        <f t="shared" si="30"/>
        <v>1.3148549708569053</v>
      </c>
      <c r="S159" s="324"/>
      <c r="T159" s="324"/>
      <c r="U159" s="324"/>
      <c r="V159" s="324"/>
      <c r="W159" s="324"/>
      <c r="X159" s="324"/>
      <c r="Y159" s="324"/>
      <c r="Z159" s="324"/>
      <c r="AA159" s="324"/>
      <c r="AB159" s="324"/>
      <c r="AC159" s="324"/>
      <c r="AD159" s="324"/>
      <c r="AE159" s="324"/>
      <c r="AF159" s="324"/>
      <c r="AG159" s="324"/>
      <c r="AH159" s="324"/>
      <c r="AI159" s="324"/>
      <c r="AJ159" s="324"/>
      <c r="AK159" s="324"/>
      <c r="AL159" s="324"/>
      <c r="AM159" s="324"/>
      <c r="AN159" s="324"/>
      <c r="AO159" s="324"/>
      <c r="AP159" s="324"/>
      <c r="AQ159" s="324"/>
      <c r="AR159" s="324"/>
      <c r="AS159" s="324"/>
      <c r="AT159" s="324"/>
      <c r="AU159" s="324"/>
      <c r="AV159" s="324"/>
      <c r="AW159" s="324"/>
      <c r="AX159" s="324"/>
      <c r="AY159" s="324"/>
      <c r="AZ159" s="324"/>
      <c r="BA159" s="324"/>
      <c r="BB159" s="324"/>
      <c r="BC159" s="324"/>
      <c r="BD159" s="324"/>
      <c r="BE159" s="324"/>
      <c r="BF159" s="324"/>
      <c r="BG159" s="324"/>
      <c r="BH159" s="324"/>
      <c r="BI159" s="324"/>
      <c r="BJ159" s="324"/>
      <c r="BK159" s="324"/>
      <c r="BL159" s="324"/>
      <c r="BM159" s="324"/>
      <c r="BN159" s="324"/>
      <c r="BO159" s="324"/>
      <c r="BP159" s="324"/>
      <c r="BQ159" s="324"/>
      <c r="BR159" s="324"/>
      <c r="BS159" s="324"/>
      <c r="BT159" s="324"/>
      <c r="BU159" s="324"/>
      <c r="BV159" s="324"/>
      <c r="BW159" s="324"/>
      <c r="BX159" s="324"/>
      <c r="BY159" s="324"/>
      <c r="BZ159" s="324"/>
      <c r="CA159" s="324"/>
      <c r="CB159" s="324"/>
      <c r="CC159" s="324"/>
      <c r="CD159" s="324"/>
      <c r="CE159" s="324"/>
      <c r="CF159" s="324"/>
      <c r="CG159" s="324"/>
      <c r="CH159" s="324"/>
      <c r="CI159" s="324"/>
      <c r="CJ159" s="324"/>
      <c r="CK159" s="324"/>
      <c r="CL159" s="324"/>
      <c r="CM159" s="324"/>
      <c r="CN159" s="324"/>
      <c r="CO159" s="324"/>
      <c r="CP159" s="324"/>
      <c r="CQ159" s="324"/>
      <c r="CR159" s="324"/>
      <c r="CS159" s="324"/>
      <c r="CT159" s="324"/>
      <c r="CU159" s="324"/>
      <c r="CV159" s="324"/>
      <c r="CW159" s="324"/>
      <c r="CX159" s="324"/>
      <c r="CY159" s="324"/>
      <c r="CZ159" s="324"/>
      <c r="DA159" s="324"/>
      <c r="DB159" s="324"/>
      <c r="DC159" s="324"/>
      <c r="DD159" s="324"/>
      <c r="DE159" s="324"/>
      <c r="DF159" s="324"/>
      <c r="DG159" s="324"/>
      <c r="DH159" s="324"/>
      <c r="DI159" s="324"/>
      <c r="DJ159" s="324"/>
      <c r="DK159" s="324"/>
      <c r="DL159" s="324"/>
      <c r="DM159" s="324"/>
      <c r="DN159" s="324"/>
      <c r="DO159" s="324"/>
      <c r="DP159" s="324"/>
      <c r="DQ159" s="324"/>
      <c r="DR159" s="324"/>
      <c r="DS159" s="324"/>
      <c r="DT159" s="324"/>
      <c r="DU159" s="324"/>
      <c r="DV159" s="324"/>
      <c r="DW159" s="324"/>
      <c r="DX159" s="324"/>
      <c r="DY159" s="324"/>
      <c r="DZ159" s="324"/>
      <c r="EA159" s="324"/>
      <c r="EB159" s="324"/>
      <c r="EC159" s="324"/>
      <c r="ED159" s="324"/>
      <c r="EE159" s="324"/>
      <c r="EF159" s="324"/>
      <c r="EG159" s="324"/>
      <c r="EH159" s="324"/>
      <c r="EI159" s="324"/>
      <c r="EJ159" s="324"/>
      <c r="EK159" s="324"/>
      <c r="EL159" s="324"/>
      <c r="EM159" s="324"/>
      <c r="EN159" s="324"/>
      <c r="EO159" s="324"/>
      <c r="EP159" s="324"/>
      <c r="EQ159" s="324"/>
      <c r="ER159" s="324"/>
      <c r="ES159" s="324"/>
      <c r="ET159" s="324"/>
      <c r="EU159" s="324"/>
      <c r="EV159" s="324"/>
      <c r="EW159" s="324"/>
      <c r="EX159" s="324"/>
      <c r="EY159" s="324"/>
      <c r="EZ159" s="324"/>
      <c r="FA159" s="324"/>
      <c r="FB159" s="324"/>
      <c r="FC159" s="324"/>
      <c r="FD159" s="324"/>
      <c r="FE159" s="324"/>
      <c r="FF159" s="324"/>
      <c r="FG159" s="324"/>
      <c r="FH159" s="324"/>
      <c r="FI159" s="324"/>
      <c r="FJ159" s="324"/>
      <c r="FK159" s="324"/>
      <c r="FL159" s="324"/>
      <c r="FM159" s="324"/>
      <c r="FN159" s="324"/>
      <c r="FO159" s="324"/>
      <c r="FP159" s="324"/>
      <c r="FQ159" s="324"/>
      <c r="FR159" s="324"/>
      <c r="FS159" s="324"/>
      <c r="FT159" s="324"/>
      <c r="FU159" s="324"/>
      <c r="FV159" s="324"/>
      <c r="FW159" s="324"/>
      <c r="FX159" s="324"/>
      <c r="FY159" s="324"/>
      <c r="FZ159" s="324"/>
      <c r="GA159" s="324"/>
      <c r="GB159" s="324"/>
      <c r="GC159" s="324"/>
      <c r="GD159" s="324"/>
      <c r="GE159" s="324"/>
      <c r="GF159" s="324"/>
      <c r="GG159" s="324"/>
      <c r="GH159" s="324"/>
      <c r="GI159" s="324"/>
      <c r="GJ159" s="324"/>
      <c r="GK159" s="324"/>
      <c r="GL159" s="324"/>
      <c r="GM159" s="324"/>
      <c r="GN159" s="324"/>
      <c r="GO159" s="324"/>
      <c r="GP159" s="324"/>
      <c r="GQ159" s="324"/>
      <c r="GR159" s="324"/>
      <c r="GS159" s="324"/>
      <c r="GT159" s="324"/>
      <c r="GU159" s="324"/>
      <c r="GV159" s="324"/>
      <c r="GW159" s="324"/>
      <c r="GX159" s="324"/>
      <c r="GY159" s="324"/>
      <c r="GZ159" s="324"/>
      <c r="HA159" s="324"/>
      <c r="HB159" s="324"/>
      <c r="HC159" s="324"/>
      <c r="HD159" s="324"/>
      <c r="HE159" s="324"/>
      <c r="HF159" s="324"/>
      <c r="HG159" s="324"/>
      <c r="HH159" s="324"/>
      <c r="HI159" s="324"/>
      <c r="HJ159" s="324"/>
      <c r="HK159" s="324"/>
      <c r="HL159" s="324"/>
      <c r="HM159" s="324"/>
      <c r="HN159" s="324"/>
      <c r="HO159" s="324"/>
      <c r="HP159" s="324"/>
      <c r="HQ159" s="324"/>
      <c r="HR159" s="324"/>
      <c r="HS159" s="324"/>
      <c r="HT159" s="324"/>
      <c r="HU159" s="324"/>
      <c r="HV159" s="324"/>
      <c r="HW159" s="324"/>
      <c r="HX159" s="324"/>
      <c r="HY159" s="324"/>
      <c r="HZ159" s="324"/>
      <c r="IA159" s="324"/>
      <c r="IB159" s="324"/>
      <c r="IC159" s="324"/>
      <c r="ID159" s="324"/>
      <c r="IE159" s="324"/>
      <c r="IF159" s="324"/>
      <c r="IG159" s="324"/>
      <c r="IH159" s="324"/>
      <c r="II159" s="324"/>
      <c r="IJ159" s="324"/>
      <c r="IK159" s="324"/>
      <c r="IL159" s="324"/>
      <c r="IM159" s="324"/>
    </row>
    <row r="160" spans="1:247" x14ac:dyDescent="0.35">
      <c r="A160" s="356">
        <v>7348</v>
      </c>
      <c r="B160" s="357" t="s">
        <v>166</v>
      </c>
      <c r="C160" s="172" t="s">
        <v>8</v>
      </c>
      <c r="D160" s="358" t="s">
        <v>2053</v>
      </c>
      <c r="E160" s="336"/>
      <c r="F160" s="331">
        <f t="shared" si="29"/>
        <v>1.0209999999999999</v>
      </c>
      <c r="G160" s="337"/>
      <c r="H160" s="336"/>
      <c r="I160" s="338"/>
      <c r="J160" s="338"/>
      <c r="K160" s="338"/>
      <c r="L160" s="338">
        <f>+$L$3</f>
        <v>1.0129999999999999</v>
      </c>
      <c r="M160" s="338"/>
      <c r="N160" s="337">
        <f t="shared" si="43"/>
        <v>1.0029999999999999</v>
      </c>
      <c r="O160" s="339"/>
      <c r="P160" s="336">
        <f t="shared" si="44"/>
        <v>1.032</v>
      </c>
      <c r="Q160" s="337">
        <f t="shared" si="45"/>
        <v>1.0349999999999999</v>
      </c>
      <c r="R160" s="340">
        <f t="shared" si="30"/>
        <v>1.1080418597902797</v>
      </c>
      <c r="S160" s="324"/>
      <c r="T160" s="324"/>
      <c r="U160" s="324"/>
      <c r="V160" s="324"/>
      <c r="W160" s="324"/>
      <c r="X160" s="324"/>
      <c r="Y160" s="324"/>
      <c r="Z160" s="324"/>
      <c r="AA160" s="324"/>
      <c r="AB160" s="324"/>
      <c r="AC160" s="324"/>
      <c r="AD160" s="324"/>
      <c r="AE160" s="324"/>
      <c r="AF160" s="324"/>
      <c r="AG160" s="324"/>
      <c r="AH160" s="324"/>
      <c r="AI160" s="324"/>
      <c r="AJ160" s="324"/>
      <c r="AK160" s="324"/>
      <c r="AL160" s="324"/>
      <c r="AM160" s="324"/>
      <c r="AN160" s="324"/>
      <c r="AO160" s="324"/>
      <c r="AP160" s="324"/>
      <c r="AQ160" s="324"/>
      <c r="AR160" s="324"/>
      <c r="AS160" s="324"/>
      <c r="AT160" s="324"/>
      <c r="AU160" s="324"/>
      <c r="AV160" s="324"/>
      <c r="AW160" s="324"/>
      <c r="AX160" s="324"/>
      <c r="AY160" s="324"/>
      <c r="AZ160" s="324"/>
      <c r="BA160" s="324"/>
      <c r="BB160" s="324"/>
      <c r="BC160" s="324"/>
      <c r="BD160" s="324"/>
      <c r="BE160" s="324"/>
      <c r="BF160" s="324"/>
      <c r="BG160" s="324"/>
      <c r="BH160" s="324"/>
      <c r="BI160" s="324"/>
      <c r="BJ160" s="324"/>
      <c r="BK160" s="324"/>
      <c r="BL160" s="324"/>
      <c r="BM160" s="324"/>
      <c r="BN160" s="324"/>
      <c r="BO160" s="324"/>
      <c r="BP160" s="324"/>
      <c r="BQ160" s="324"/>
      <c r="BR160" s="324"/>
      <c r="BS160" s="324"/>
      <c r="BT160" s="324"/>
      <c r="BU160" s="324"/>
      <c r="BV160" s="324"/>
      <c r="BW160" s="324"/>
      <c r="BX160" s="324"/>
      <c r="BY160" s="324"/>
      <c r="BZ160" s="324"/>
      <c r="CA160" s="324"/>
      <c r="CB160" s="324"/>
      <c r="CC160" s="324"/>
      <c r="CD160" s="324"/>
      <c r="CE160" s="324"/>
      <c r="CF160" s="324"/>
      <c r="CG160" s="324"/>
      <c r="CH160" s="324"/>
      <c r="CI160" s="324"/>
      <c r="CJ160" s="324"/>
      <c r="CK160" s="324"/>
      <c r="CL160" s="324"/>
      <c r="CM160" s="324"/>
      <c r="CN160" s="324"/>
      <c r="CO160" s="324"/>
      <c r="CP160" s="324"/>
      <c r="CQ160" s="324"/>
      <c r="CR160" s="324"/>
      <c r="CS160" s="324"/>
      <c r="CT160" s="324"/>
      <c r="CU160" s="324"/>
      <c r="CV160" s="324"/>
      <c r="CW160" s="324"/>
      <c r="CX160" s="324"/>
      <c r="CY160" s="324"/>
      <c r="CZ160" s="324"/>
      <c r="DA160" s="324"/>
      <c r="DB160" s="324"/>
      <c r="DC160" s="324"/>
      <c r="DD160" s="324"/>
      <c r="DE160" s="324"/>
      <c r="DF160" s="324"/>
      <c r="DG160" s="324"/>
      <c r="DH160" s="324"/>
      <c r="DI160" s="324"/>
      <c r="DJ160" s="324"/>
      <c r="DK160" s="324"/>
      <c r="DL160" s="324"/>
      <c r="DM160" s="324"/>
      <c r="DN160" s="324"/>
      <c r="DO160" s="324"/>
      <c r="DP160" s="324"/>
      <c r="DQ160" s="324"/>
      <c r="DR160" s="324"/>
      <c r="DS160" s="324"/>
      <c r="DT160" s="324"/>
      <c r="DU160" s="324"/>
      <c r="DV160" s="324"/>
      <c r="DW160" s="324"/>
      <c r="DX160" s="324"/>
      <c r="DY160" s="324"/>
      <c r="DZ160" s="324"/>
      <c r="EA160" s="324"/>
      <c r="EB160" s="324"/>
      <c r="EC160" s="324"/>
      <c r="ED160" s="324"/>
      <c r="EE160" s="324"/>
      <c r="EF160" s="324"/>
      <c r="EG160" s="324"/>
      <c r="EH160" s="324"/>
      <c r="EI160" s="324"/>
      <c r="EJ160" s="324"/>
      <c r="EK160" s="324"/>
      <c r="EL160" s="324"/>
      <c r="EM160" s="324"/>
      <c r="EN160" s="324"/>
      <c r="EO160" s="324"/>
      <c r="EP160" s="324"/>
      <c r="EQ160" s="324"/>
      <c r="ER160" s="324"/>
      <c r="ES160" s="324"/>
      <c r="ET160" s="324"/>
      <c r="EU160" s="324"/>
      <c r="EV160" s="324"/>
      <c r="EW160" s="324"/>
      <c r="EX160" s="324"/>
      <c r="EY160" s="324"/>
      <c r="EZ160" s="324"/>
      <c r="FA160" s="324"/>
      <c r="FB160" s="324"/>
      <c r="FC160" s="324"/>
      <c r="FD160" s="324"/>
      <c r="FE160" s="324"/>
      <c r="FF160" s="324"/>
      <c r="FG160" s="324"/>
      <c r="FH160" s="324"/>
      <c r="FI160" s="324"/>
      <c r="FJ160" s="324"/>
      <c r="FK160" s="324"/>
      <c r="FL160" s="324"/>
      <c r="FM160" s="324"/>
      <c r="FN160" s="324"/>
      <c r="FO160" s="324"/>
      <c r="FP160" s="324"/>
      <c r="FQ160" s="324"/>
      <c r="FR160" s="324"/>
      <c r="FS160" s="324"/>
      <c r="FT160" s="324"/>
      <c r="FU160" s="324"/>
      <c r="FV160" s="324"/>
      <c r="FW160" s="324"/>
      <c r="FX160" s="324"/>
      <c r="FY160" s="324"/>
      <c r="FZ160" s="324"/>
      <c r="GA160" s="324"/>
      <c r="GB160" s="324"/>
      <c r="GC160" s="324"/>
      <c r="GD160" s="324"/>
      <c r="GE160" s="324"/>
      <c r="GF160" s="324"/>
      <c r="GG160" s="324"/>
      <c r="GH160" s="324"/>
      <c r="GI160" s="324"/>
      <c r="GJ160" s="324"/>
      <c r="GK160" s="324"/>
      <c r="GL160" s="324"/>
      <c r="GM160" s="324"/>
      <c r="GN160" s="324"/>
      <c r="GO160" s="324"/>
      <c r="GP160" s="324"/>
      <c r="GQ160" s="324"/>
      <c r="GR160" s="324"/>
      <c r="GS160" s="324"/>
      <c r="GT160" s="324"/>
      <c r="GU160" s="324"/>
      <c r="GV160" s="324"/>
      <c r="GW160" s="324"/>
      <c r="GX160" s="324"/>
      <c r="GY160" s="324"/>
      <c r="GZ160" s="324"/>
      <c r="HA160" s="324"/>
      <c r="HB160" s="324"/>
      <c r="HC160" s="324"/>
      <c r="HD160" s="324"/>
      <c r="HE160" s="324"/>
      <c r="HF160" s="324"/>
      <c r="HG160" s="324"/>
      <c r="HH160" s="324"/>
      <c r="HI160" s="324"/>
      <c r="HJ160" s="324"/>
      <c r="HK160" s="324"/>
      <c r="HL160" s="324"/>
      <c r="HM160" s="324"/>
      <c r="HN160" s="324"/>
      <c r="HO160" s="324"/>
      <c r="HP160" s="324"/>
      <c r="HQ160" s="324"/>
      <c r="HR160" s="324"/>
      <c r="HS160" s="324"/>
      <c r="HT160" s="324"/>
      <c r="HU160" s="324"/>
      <c r="HV160" s="324"/>
      <c r="HW160" s="324"/>
      <c r="HX160" s="324"/>
      <c r="HY160" s="324"/>
      <c r="HZ160" s="324"/>
      <c r="IA160" s="324"/>
      <c r="IB160" s="324"/>
      <c r="IC160" s="324"/>
      <c r="ID160" s="324"/>
      <c r="IE160" s="324"/>
      <c r="IF160" s="324"/>
      <c r="IG160" s="324"/>
      <c r="IH160" s="324"/>
      <c r="II160" s="324"/>
      <c r="IJ160" s="324"/>
      <c r="IK160" s="324"/>
      <c r="IL160" s="324"/>
      <c r="IM160" s="324"/>
    </row>
    <row r="161" spans="1:247" x14ac:dyDescent="0.35">
      <c r="A161" s="356">
        <v>7349</v>
      </c>
      <c r="B161" s="357" t="s">
        <v>167</v>
      </c>
      <c r="C161" s="172" t="s">
        <v>8</v>
      </c>
      <c r="D161" s="358" t="s">
        <v>2053</v>
      </c>
      <c r="E161" s="336">
        <f>+$E$3</f>
        <v>1.0740000000000001</v>
      </c>
      <c r="F161" s="331">
        <f t="shared" si="29"/>
        <v>1.0209999999999999</v>
      </c>
      <c r="G161" s="337">
        <f>+$G$3</f>
        <v>1.0269999999999999</v>
      </c>
      <c r="H161" s="336">
        <f>+$H$3</f>
        <v>1.0029999999999999</v>
      </c>
      <c r="I161" s="338">
        <f>+$I$3</f>
        <v>1.0289999999999999</v>
      </c>
      <c r="J161" s="338">
        <f>+$J$3</f>
        <v>1.0049999999999999</v>
      </c>
      <c r="K161" s="338"/>
      <c r="L161" s="338">
        <f>+$L$3</f>
        <v>1.0129999999999999</v>
      </c>
      <c r="M161" s="338">
        <f>+$M$3</f>
        <v>1.0029999999999999</v>
      </c>
      <c r="N161" s="337">
        <f t="shared" si="43"/>
        <v>1.0029999999999999</v>
      </c>
      <c r="O161" s="339">
        <f>+$O$3</f>
        <v>1.0209999999999999</v>
      </c>
      <c r="P161" s="336">
        <f t="shared" si="44"/>
        <v>1.032</v>
      </c>
      <c r="Q161" s="337">
        <f t="shared" si="45"/>
        <v>1.0349999999999999</v>
      </c>
      <c r="R161" s="340">
        <f t="shared" si="30"/>
        <v>1.2981950150858137</v>
      </c>
      <c r="S161" s="324"/>
      <c r="T161" s="324"/>
      <c r="U161" s="324"/>
      <c r="V161" s="324"/>
      <c r="W161" s="324"/>
      <c r="X161" s="324"/>
      <c r="Y161" s="324"/>
      <c r="Z161" s="324"/>
      <c r="AA161" s="324"/>
      <c r="AB161" s="324"/>
      <c r="AC161" s="324"/>
      <c r="AD161" s="324"/>
      <c r="AE161" s="324"/>
      <c r="AF161" s="324"/>
      <c r="AG161" s="324"/>
      <c r="AH161" s="324"/>
      <c r="AI161" s="324"/>
      <c r="AJ161" s="324"/>
      <c r="AK161" s="324"/>
      <c r="AL161" s="324"/>
      <c r="AM161" s="324"/>
      <c r="AN161" s="324"/>
      <c r="AO161" s="324"/>
      <c r="AP161" s="324"/>
      <c r="AQ161" s="324"/>
      <c r="AR161" s="324"/>
      <c r="AS161" s="324"/>
      <c r="AT161" s="324"/>
      <c r="AU161" s="324"/>
      <c r="AV161" s="324"/>
      <c r="AW161" s="324"/>
      <c r="AX161" s="324"/>
      <c r="AY161" s="324"/>
      <c r="AZ161" s="324"/>
      <c r="BA161" s="324"/>
      <c r="BB161" s="324"/>
      <c r="BC161" s="324"/>
      <c r="BD161" s="324"/>
      <c r="BE161" s="324"/>
      <c r="BF161" s="324"/>
      <c r="BG161" s="324"/>
      <c r="BH161" s="324"/>
      <c r="BI161" s="324"/>
      <c r="BJ161" s="324"/>
      <c r="BK161" s="324"/>
      <c r="BL161" s="324"/>
      <c r="BM161" s="324"/>
      <c r="BN161" s="324"/>
      <c r="BO161" s="324"/>
      <c r="BP161" s="324"/>
      <c r="BQ161" s="324"/>
      <c r="BR161" s="324"/>
      <c r="BS161" s="324"/>
      <c r="BT161" s="324"/>
      <c r="BU161" s="324"/>
      <c r="BV161" s="324"/>
      <c r="BW161" s="324"/>
      <c r="BX161" s="324"/>
      <c r="BY161" s="324"/>
      <c r="BZ161" s="324"/>
      <c r="CA161" s="324"/>
      <c r="CB161" s="324"/>
      <c r="CC161" s="324"/>
      <c r="CD161" s="324"/>
      <c r="CE161" s="324"/>
      <c r="CF161" s="324"/>
      <c r="CG161" s="324"/>
      <c r="CH161" s="324"/>
      <c r="CI161" s="324"/>
      <c r="CJ161" s="324"/>
      <c r="CK161" s="324"/>
      <c r="CL161" s="324"/>
      <c r="CM161" s="324"/>
      <c r="CN161" s="324"/>
      <c r="CO161" s="324"/>
      <c r="CP161" s="324"/>
      <c r="CQ161" s="324"/>
      <c r="CR161" s="324"/>
      <c r="CS161" s="324"/>
      <c r="CT161" s="324"/>
      <c r="CU161" s="324"/>
      <c r="CV161" s="324"/>
      <c r="CW161" s="324"/>
      <c r="CX161" s="324"/>
      <c r="CY161" s="324"/>
      <c r="CZ161" s="324"/>
      <c r="DA161" s="324"/>
      <c r="DB161" s="324"/>
      <c r="DC161" s="324"/>
      <c r="DD161" s="324"/>
      <c r="DE161" s="324"/>
      <c r="DF161" s="324"/>
      <c r="DG161" s="324"/>
      <c r="DH161" s="324"/>
      <c r="DI161" s="324"/>
      <c r="DJ161" s="324"/>
      <c r="DK161" s="324"/>
      <c r="DL161" s="324"/>
      <c r="DM161" s="324"/>
      <c r="DN161" s="324"/>
      <c r="DO161" s="324"/>
      <c r="DP161" s="324"/>
      <c r="DQ161" s="324"/>
      <c r="DR161" s="324"/>
      <c r="DS161" s="324"/>
      <c r="DT161" s="324"/>
      <c r="DU161" s="324"/>
      <c r="DV161" s="324"/>
      <c r="DW161" s="324"/>
      <c r="DX161" s="324"/>
      <c r="DY161" s="324"/>
      <c r="DZ161" s="324"/>
      <c r="EA161" s="324"/>
      <c r="EB161" s="324"/>
      <c r="EC161" s="324"/>
      <c r="ED161" s="324"/>
      <c r="EE161" s="324"/>
      <c r="EF161" s="324"/>
      <c r="EG161" s="324"/>
      <c r="EH161" s="324"/>
      <c r="EI161" s="324"/>
      <c r="EJ161" s="324"/>
      <c r="EK161" s="324"/>
      <c r="EL161" s="324"/>
      <c r="EM161" s="324"/>
      <c r="EN161" s="324"/>
      <c r="EO161" s="324"/>
      <c r="EP161" s="324"/>
      <c r="EQ161" s="324"/>
      <c r="ER161" s="324"/>
      <c r="ES161" s="324"/>
      <c r="ET161" s="324"/>
      <c r="EU161" s="324"/>
      <c r="EV161" s="324"/>
      <c r="EW161" s="324"/>
      <c r="EX161" s="324"/>
      <c r="EY161" s="324"/>
      <c r="EZ161" s="324"/>
      <c r="FA161" s="324"/>
      <c r="FB161" s="324"/>
      <c r="FC161" s="324"/>
      <c r="FD161" s="324"/>
      <c r="FE161" s="324"/>
      <c r="FF161" s="324"/>
      <c r="FG161" s="324"/>
      <c r="FH161" s="324"/>
      <c r="FI161" s="324"/>
      <c r="FJ161" s="324"/>
      <c r="FK161" s="324"/>
      <c r="FL161" s="324"/>
      <c r="FM161" s="324"/>
      <c r="FN161" s="324"/>
      <c r="FO161" s="324"/>
      <c r="FP161" s="324"/>
      <c r="FQ161" s="324"/>
      <c r="FR161" s="324"/>
      <c r="FS161" s="324"/>
      <c r="FT161" s="324"/>
      <c r="FU161" s="324"/>
      <c r="FV161" s="324"/>
      <c r="FW161" s="324"/>
      <c r="FX161" s="324"/>
      <c r="FY161" s="324"/>
      <c r="FZ161" s="324"/>
      <c r="GA161" s="324"/>
      <c r="GB161" s="324"/>
      <c r="GC161" s="324"/>
      <c r="GD161" s="324"/>
      <c r="GE161" s="324"/>
      <c r="GF161" s="324"/>
      <c r="GG161" s="324"/>
      <c r="GH161" s="324"/>
      <c r="GI161" s="324"/>
      <c r="GJ161" s="324"/>
      <c r="GK161" s="324"/>
      <c r="GL161" s="324"/>
      <c r="GM161" s="324"/>
      <c r="GN161" s="324"/>
      <c r="GO161" s="324"/>
      <c r="GP161" s="324"/>
      <c r="GQ161" s="324"/>
      <c r="GR161" s="324"/>
      <c r="GS161" s="324"/>
      <c r="GT161" s="324"/>
      <c r="GU161" s="324"/>
      <c r="GV161" s="324"/>
      <c r="GW161" s="324"/>
      <c r="GX161" s="324"/>
      <c r="GY161" s="324"/>
      <c r="GZ161" s="324"/>
      <c r="HA161" s="324"/>
      <c r="HB161" s="324"/>
      <c r="HC161" s="324"/>
      <c r="HD161" s="324"/>
      <c r="HE161" s="324"/>
      <c r="HF161" s="324"/>
      <c r="HG161" s="324"/>
      <c r="HH161" s="324"/>
      <c r="HI161" s="324"/>
      <c r="HJ161" s="324"/>
      <c r="HK161" s="324"/>
      <c r="HL161" s="324"/>
      <c r="HM161" s="324"/>
      <c r="HN161" s="324"/>
      <c r="HO161" s="324"/>
      <c r="HP161" s="324"/>
      <c r="HQ161" s="324"/>
      <c r="HR161" s="324"/>
      <c r="HS161" s="324"/>
      <c r="HT161" s="324"/>
      <c r="HU161" s="324"/>
      <c r="HV161" s="324"/>
      <c r="HW161" s="324"/>
      <c r="HX161" s="324"/>
      <c r="HY161" s="324"/>
      <c r="HZ161" s="324"/>
      <c r="IA161" s="324"/>
      <c r="IB161" s="324"/>
      <c r="IC161" s="324"/>
      <c r="ID161" s="324"/>
      <c r="IE161" s="324"/>
      <c r="IF161" s="324"/>
      <c r="IG161" s="324"/>
      <c r="IH161" s="324"/>
      <c r="II161" s="324"/>
      <c r="IJ161" s="324"/>
      <c r="IK161" s="324"/>
      <c r="IL161" s="324"/>
      <c r="IM161" s="324"/>
    </row>
    <row r="162" spans="1:247" x14ac:dyDescent="0.35">
      <c r="A162" s="356">
        <v>7350</v>
      </c>
      <c r="B162" s="357" t="s">
        <v>2629</v>
      </c>
      <c r="C162" s="172" t="s">
        <v>8</v>
      </c>
      <c r="D162" s="358" t="s">
        <v>2051</v>
      </c>
      <c r="E162" s="336"/>
      <c r="F162" s="331">
        <f t="shared" si="29"/>
        <v>1.0209999999999999</v>
      </c>
      <c r="G162" s="337"/>
      <c r="H162" s="336"/>
      <c r="I162" s="338"/>
      <c r="J162" s="338"/>
      <c r="K162" s="338"/>
      <c r="L162" s="338">
        <f>+$L$3</f>
        <v>1.0129999999999999</v>
      </c>
      <c r="M162" s="338"/>
      <c r="N162" s="337">
        <f t="shared" si="43"/>
        <v>1.0029999999999999</v>
      </c>
      <c r="O162" s="339"/>
      <c r="P162" s="336">
        <f t="shared" si="44"/>
        <v>1.032</v>
      </c>
      <c r="Q162" s="337">
        <f t="shared" si="45"/>
        <v>1.0349999999999999</v>
      </c>
      <c r="R162" s="340">
        <f t="shared" ref="R162" si="46">PRODUCT(E162:Q162)</f>
        <v>1.1080418597902797</v>
      </c>
      <c r="S162" s="324"/>
      <c r="T162" s="324"/>
      <c r="U162" s="324"/>
      <c r="V162" s="324"/>
      <c r="W162" s="324"/>
      <c r="X162" s="324"/>
      <c r="Y162" s="324"/>
      <c r="Z162" s="324"/>
      <c r="AA162" s="324"/>
      <c r="AB162" s="324"/>
      <c r="AC162" s="324"/>
      <c r="AD162" s="324"/>
      <c r="AE162" s="324"/>
      <c r="AF162" s="324"/>
      <c r="AG162" s="324"/>
      <c r="AH162" s="324"/>
      <c r="AI162" s="324"/>
      <c r="AJ162" s="324"/>
      <c r="AK162" s="324"/>
      <c r="AL162" s="324"/>
      <c r="AM162" s="324"/>
      <c r="AN162" s="324"/>
      <c r="AO162" s="324"/>
      <c r="AP162" s="324"/>
      <c r="AQ162" s="324"/>
      <c r="AR162" s="324"/>
      <c r="AS162" s="324"/>
      <c r="AT162" s="324"/>
      <c r="AU162" s="324"/>
      <c r="AV162" s="324"/>
      <c r="AW162" s="324"/>
      <c r="AX162" s="324"/>
      <c r="AY162" s="324"/>
      <c r="AZ162" s="324"/>
      <c r="BA162" s="324"/>
      <c r="BB162" s="324"/>
      <c r="BC162" s="324"/>
      <c r="BD162" s="324"/>
      <c r="BE162" s="324"/>
      <c r="BF162" s="324"/>
      <c r="BG162" s="324"/>
      <c r="BH162" s="324"/>
      <c r="BI162" s="324"/>
      <c r="BJ162" s="324"/>
      <c r="BK162" s="324"/>
      <c r="BL162" s="324"/>
      <c r="BM162" s="324"/>
      <c r="BN162" s="324"/>
      <c r="BO162" s="324"/>
      <c r="BP162" s="324"/>
      <c r="BQ162" s="324"/>
      <c r="BR162" s="324"/>
      <c r="BS162" s="324"/>
      <c r="BT162" s="324"/>
      <c r="BU162" s="324"/>
      <c r="BV162" s="324"/>
      <c r="BW162" s="324"/>
      <c r="BX162" s="324"/>
      <c r="BY162" s="324"/>
      <c r="BZ162" s="324"/>
      <c r="CA162" s="324"/>
      <c r="CB162" s="324"/>
      <c r="CC162" s="324"/>
      <c r="CD162" s="324"/>
      <c r="CE162" s="324"/>
      <c r="CF162" s="324"/>
      <c r="CG162" s="324"/>
      <c r="CH162" s="324"/>
      <c r="CI162" s="324"/>
      <c r="CJ162" s="324"/>
      <c r="CK162" s="324"/>
      <c r="CL162" s="324"/>
      <c r="CM162" s="324"/>
      <c r="CN162" s="324"/>
      <c r="CO162" s="324"/>
      <c r="CP162" s="324"/>
      <c r="CQ162" s="324"/>
      <c r="CR162" s="324"/>
      <c r="CS162" s="324"/>
      <c r="CT162" s="324"/>
      <c r="CU162" s="324"/>
      <c r="CV162" s="324"/>
      <c r="CW162" s="324"/>
      <c r="CX162" s="324"/>
      <c r="CY162" s="324"/>
      <c r="CZ162" s="324"/>
      <c r="DA162" s="324"/>
      <c r="DB162" s="324"/>
      <c r="DC162" s="324"/>
      <c r="DD162" s="324"/>
      <c r="DE162" s="324"/>
      <c r="DF162" s="324"/>
      <c r="DG162" s="324"/>
      <c r="DH162" s="324"/>
      <c r="DI162" s="324"/>
      <c r="DJ162" s="324"/>
      <c r="DK162" s="324"/>
      <c r="DL162" s="324"/>
      <c r="DM162" s="324"/>
      <c r="DN162" s="324"/>
      <c r="DO162" s="324"/>
      <c r="DP162" s="324"/>
      <c r="DQ162" s="324"/>
      <c r="DR162" s="324"/>
      <c r="DS162" s="324"/>
      <c r="DT162" s="324"/>
      <c r="DU162" s="324"/>
      <c r="DV162" s="324"/>
      <c r="DW162" s="324"/>
      <c r="DX162" s="324"/>
      <c r="DY162" s="324"/>
      <c r="DZ162" s="324"/>
      <c r="EA162" s="324"/>
      <c r="EB162" s="324"/>
      <c r="EC162" s="324"/>
      <c r="ED162" s="324"/>
      <c r="EE162" s="324"/>
      <c r="EF162" s="324"/>
      <c r="EG162" s="324"/>
      <c r="EH162" s="324"/>
      <c r="EI162" s="324"/>
      <c r="EJ162" s="324"/>
      <c r="EK162" s="324"/>
      <c r="EL162" s="324"/>
      <c r="EM162" s="324"/>
      <c r="EN162" s="324"/>
      <c r="EO162" s="324"/>
      <c r="EP162" s="324"/>
      <c r="EQ162" s="324"/>
      <c r="ER162" s="324"/>
      <c r="ES162" s="324"/>
      <c r="ET162" s="324"/>
      <c r="EU162" s="324"/>
      <c r="EV162" s="324"/>
      <c r="EW162" s="324"/>
      <c r="EX162" s="324"/>
      <c r="EY162" s="324"/>
      <c r="EZ162" s="324"/>
      <c r="FA162" s="324"/>
      <c r="FB162" s="324"/>
      <c r="FC162" s="324"/>
      <c r="FD162" s="324"/>
      <c r="FE162" s="324"/>
      <c r="FF162" s="324"/>
      <c r="FG162" s="324"/>
      <c r="FH162" s="324"/>
      <c r="FI162" s="324"/>
      <c r="FJ162" s="324"/>
      <c r="FK162" s="324"/>
      <c r="FL162" s="324"/>
      <c r="FM162" s="324"/>
      <c r="FN162" s="324"/>
      <c r="FO162" s="324"/>
      <c r="FP162" s="324"/>
      <c r="FQ162" s="324"/>
      <c r="FR162" s="324"/>
      <c r="FS162" s="324"/>
      <c r="FT162" s="324"/>
      <c r="FU162" s="324"/>
      <c r="FV162" s="324"/>
      <c r="FW162" s="324"/>
      <c r="FX162" s="324"/>
      <c r="FY162" s="324"/>
      <c r="FZ162" s="324"/>
      <c r="GA162" s="324"/>
      <c r="GB162" s="324"/>
      <c r="GC162" s="324"/>
      <c r="GD162" s="324"/>
      <c r="GE162" s="324"/>
      <c r="GF162" s="324"/>
      <c r="GG162" s="324"/>
      <c r="GH162" s="324"/>
      <c r="GI162" s="324"/>
      <c r="GJ162" s="324"/>
      <c r="GK162" s="324"/>
      <c r="GL162" s="324"/>
      <c r="GM162" s="324"/>
      <c r="GN162" s="324"/>
      <c r="GO162" s="324"/>
      <c r="GP162" s="324"/>
      <c r="GQ162" s="324"/>
      <c r="GR162" s="324"/>
      <c r="GS162" s="324"/>
      <c r="GT162" s="324"/>
      <c r="GU162" s="324"/>
      <c r="GV162" s="324"/>
      <c r="GW162" s="324"/>
      <c r="GX162" s="324"/>
      <c r="GY162" s="324"/>
      <c r="GZ162" s="324"/>
      <c r="HA162" s="324"/>
      <c r="HB162" s="324"/>
      <c r="HC162" s="324"/>
      <c r="HD162" s="324"/>
      <c r="HE162" s="324"/>
      <c r="HF162" s="324"/>
      <c r="HG162" s="324"/>
      <c r="HH162" s="324"/>
      <c r="HI162" s="324"/>
      <c r="HJ162" s="324"/>
      <c r="HK162" s="324"/>
      <c r="HL162" s="324"/>
      <c r="HM162" s="324"/>
      <c r="HN162" s="324"/>
      <c r="HO162" s="324"/>
      <c r="HP162" s="324"/>
      <c r="HQ162" s="324"/>
      <c r="HR162" s="324"/>
      <c r="HS162" s="324"/>
      <c r="HT162" s="324"/>
      <c r="HU162" s="324"/>
      <c r="HV162" s="324"/>
      <c r="HW162" s="324"/>
      <c r="HX162" s="324"/>
      <c r="HY162" s="324"/>
      <c r="HZ162" s="324"/>
      <c r="IA162" s="324"/>
      <c r="IB162" s="324"/>
      <c r="IC162" s="324"/>
      <c r="ID162" s="324"/>
      <c r="IE162" s="324"/>
      <c r="IF162" s="324"/>
      <c r="IG162" s="324"/>
      <c r="IH162" s="324"/>
      <c r="II162" s="324"/>
      <c r="IJ162" s="324"/>
      <c r="IK162" s="324"/>
      <c r="IL162" s="324"/>
      <c r="IM162" s="324"/>
    </row>
    <row r="163" spans="1:247" x14ac:dyDescent="0.35">
      <c r="A163" s="356">
        <v>7351</v>
      </c>
      <c r="B163" s="357" t="s">
        <v>168</v>
      </c>
      <c r="C163" s="172" t="s">
        <v>8</v>
      </c>
      <c r="D163" s="358" t="s">
        <v>2053</v>
      </c>
      <c r="E163" s="336">
        <f>+$E$3</f>
        <v>1.0740000000000001</v>
      </c>
      <c r="F163" s="331">
        <f t="shared" si="29"/>
        <v>1.0209999999999999</v>
      </c>
      <c r="G163" s="337">
        <f>+$G$3</f>
        <v>1.0269999999999999</v>
      </c>
      <c r="H163" s="336">
        <f>+$H$3</f>
        <v>1.0029999999999999</v>
      </c>
      <c r="I163" s="338">
        <f>+$I$3</f>
        <v>1.0289999999999999</v>
      </c>
      <c r="J163" s="338">
        <f>+$J$3</f>
        <v>1.0049999999999999</v>
      </c>
      <c r="K163" s="338">
        <f>+$K$3</f>
        <v>1.026</v>
      </c>
      <c r="L163" s="338">
        <f>+$L$3</f>
        <v>1.0129999999999999</v>
      </c>
      <c r="M163" s="338">
        <f>+$M$3</f>
        <v>1.0029999999999999</v>
      </c>
      <c r="N163" s="337">
        <f t="shared" si="43"/>
        <v>1.0029999999999999</v>
      </c>
      <c r="O163" s="339">
        <f>+$O$3</f>
        <v>1.0209999999999999</v>
      </c>
      <c r="P163" s="336">
        <f t="shared" si="44"/>
        <v>1.032</v>
      </c>
      <c r="Q163" s="337">
        <f t="shared" si="45"/>
        <v>1.0349999999999999</v>
      </c>
      <c r="R163" s="340">
        <f t="shared" si="30"/>
        <v>1.3319480854780448</v>
      </c>
      <c r="S163" s="324"/>
      <c r="T163" s="324"/>
      <c r="U163" s="324"/>
      <c r="V163" s="324"/>
      <c r="W163" s="324"/>
      <c r="X163" s="324"/>
      <c r="Y163" s="324"/>
      <c r="Z163" s="324"/>
      <c r="AA163" s="324"/>
      <c r="AB163" s="324"/>
      <c r="AC163" s="324"/>
      <c r="AD163" s="324"/>
      <c r="AE163" s="324"/>
      <c r="AF163" s="324"/>
      <c r="AG163" s="324"/>
      <c r="AH163" s="324"/>
      <c r="AI163" s="324"/>
      <c r="AJ163" s="324"/>
      <c r="AK163" s="324"/>
      <c r="AL163" s="324"/>
      <c r="AM163" s="324"/>
      <c r="AN163" s="324"/>
      <c r="AO163" s="324"/>
      <c r="AP163" s="324"/>
      <c r="AQ163" s="324"/>
      <c r="AR163" s="324"/>
      <c r="AS163" s="324"/>
      <c r="AT163" s="324"/>
      <c r="AU163" s="324"/>
      <c r="AV163" s="324"/>
      <c r="AW163" s="324"/>
      <c r="AX163" s="324"/>
      <c r="AY163" s="324"/>
      <c r="AZ163" s="324"/>
      <c r="BA163" s="324"/>
      <c r="BB163" s="324"/>
      <c r="BC163" s="324"/>
      <c r="BD163" s="324"/>
      <c r="BE163" s="324"/>
      <c r="BF163" s="324"/>
      <c r="BG163" s="324"/>
      <c r="BH163" s="324"/>
      <c r="BI163" s="324"/>
      <c r="BJ163" s="324"/>
      <c r="BK163" s="324"/>
      <c r="BL163" s="324"/>
      <c r="BM163" s="324"/>
      <c r="BN163" s="324"/>
      <c r="BO163" s="324"/>
      <c r="BP163" s="324"/>
      <c r="BQ163" s="324"/>
      <c r="BR163" s="324"/>
      <c r="BS163" s="324"/>
      <c r="BT163" s="324"/>
      <c r="BU163" s="324"/>
      <c r="BV163" s="324"/>
      <c r="BW163" s="324"/>
      <c r="BX163" s="324"/>
      <c r="BY163" s="324"/>
      <c r="BZ163" s="324"/>
      <c r="CA163" s="324"/>
      <c r="CB163" s="324"/>
      <c r="CC163" s="324"/>
      <c r="CD163" s="324"/>
      <c r="CE163" s="324"/>
      <c r="CF163" s="324"/>
      <c r="CG163" s="324"/>
      <c r="CH163" s="324"/>
      <c r="CI163" s="324"/>
      <c r="CJ163" s="324"/>
      <c r="CK163" s="324"/>
      <c r="CL163" s="324"/>
      <c r="CM163" s="324"/>
      <c r="CN163" s="324"/>
      <c r="CO163" s="324"/>
      <c r="CP163" s="324"/>
      <c r="CQ163" s="324"/>
      <c r="CR163" s="324"/>
      <c r="CS163" s="324"/>
      <c r="CT163" s="324"/>
      <c r="CU163" s="324"/>
      <c r="CV163" s="324"/>
      <c r="CW163" s="324"/>
      <c r="CX163" s="324"/>
      <c r="CY163" s="324"/>
      <c r="CZ163" s="324"/>
      <c r="DA163" s="324"/>
      <c r="DB163" s="324"/>
      <c r="DC163" s="324"/>
      <c r="DD163" s="324"/>
      <c r="DE163" s="324"/>
      <c r="DF163" s="324"/>
      <c r="DG163" s="324"/>
      <c r="DH163" s="324"/>
      <c r="DI163" s="324"/>
      <c r="DJ163" s="324"/>
      <c r="DK163" s="324"/>
      <c r="DL163" s="324"/>
      <c r="DM163" s="324"/>
      <c r="DN163" s="324"/>
      <c r="DO163" s="324"/>
      <c r="DP163" s="324"/>
      <c r="DQ163" s="324"/>
      <c r="DR163" s="324"/>
      <c r="DS163" s="324"/>
      <c r="DT163" s="324"/>
      <c r="DU163" s="324"/>
      <c r="DV163" s="324"/>
      <c r="DW163" s="324"/>
      <c r="DX163" s="324"/>
      <c r="DY163" s="324"/>
      <c r="DZ163" s="324"/>
      <c r="EA163" s="324"/>
      <c r="EB163" s="324"/>
      <c r="EC163" s="324"/>
      <c r="ED163" s="324"/>
      <c r="EE163" s="324"/>
      <c r="EF163" s="324"/>
      <c r="EG163" s="324"/>
      <c r="EH163" s="324"/>
      <c r="EI163" s="324"/>
      <c r="EJ163" s="324"/>
      <c r="EK163" s="324"/>
      <c r="EL163" s="324"/>
      <c r="EM163" s="324"/>
      <c r="EN163" s="324"/>
      <c r="EO163" s="324"/>
      <c r="EP163" s="324"/>
      <c r="EQ163" s="324"/>
      <c r="ER163" s="324"/>
      <c r="ES163" s="324"/>
      <c r="ET163" s="324"/>
      <c r="EU163" s="324"/>
      <c r="EV163" s="324"/>
      <c r="EW163" s="324"/>
      <c r="EX163" s="324"/>
      <c r="EY163" s="324"/>
      <c r="EZ163" s="324"/>
      <c r="FA163" s="324"/>
      <c r="FB163" s="324"/>
      <c r="FC163" s="324"/>
      <c r="FD163" s="324"/>
      <c r="FE163" s="324"/>
      <c r="FF163" s="324"/>
      <c r="FG163" s="324"/>
      <c r="FH163" s="324"/>
      <c r="FI163" s="324"/>
      <c r="FJ163" s="324"/>
      <c r="FK163" s="324"/>
      <c r="FL163" s="324"/>
      <c r="FM163" s="324"/>
      <c r="FN163" s="324"/>
      <c r="FO163" s="324"/>
      <c r="FP163" s="324"/>
      <c r="FQ163" s="324"/>
      <c r="FR163" s="324"/>
      <c r="FS163" s="324"/>
      <c r="FT163" s="324"/>
      <c r="FU163" s="324"/>
      <c r="FV163" s="324"/>
      <c r="FW163" s="324"/>
      <c r="FX163" s="324"/>
      <c r="FY163" s="324"/>
      <c r="FZ163" s="324"/>
      <c r="GA163" s="324"/>
      <c r="GB163" s="324"/>
      <c r="GC163" s="324"/>
      <c r="GD163" s="324"/>
      <c r="GE163" s="324"/>
      <c r="GF163" s="324"/>
      <c r="GG163" s="324"/>
      <c r="GH163" s="324"/>
      <c r="GI163" s="324"/>
      <c r="GJ163" s="324"/>
      <c r="GK163" s="324"/>
      <c r="GL163" s="324"/>
      <c r="GM163" s="324"/>
      <c r="GN163" s="324"/>
      <c r="GO163" s="324"/>
      <c r="GP163" s="324"/>
      <c r="GQ163" s="324"/>
      <c r="GR163" s="324"/>
      <c r="GS163" s="324"/>
      <c r="GT163" s="324"/>
      <c r="GU163" s="324"/>
      <c r="GV163" s="324"/>
      <c r="GW163" s="324"/>
      <c r="GX163" s="324"/>
      <c r="GY163" s="324"/>
      <c r="GZ163" s="324"/>
      <c r="HA163" s="324"/>
      <c r="HB163" s="324"/>
      <c r="HC163" s="324"/>
      <c r="HD163" s="324"/>
      <c r="HE163" s="324"/>
      <c r="HF163" s="324"/>
      <c r="HG163" s="324"/>
      <c r="HH163" s="324"/>
      <c r="HI163" s="324"/>
      <c r="HJ163" s="324"/>
      <c r="HK163" s="324"/>
      <c r="HL163" s="324"/>
      <c r="HM163" s="324"/>
      <c r="HN163" s="324"/>
      <c r="HO163" s="324"/>
      <c r="HP163" s="324"/>
      <c r="HQ163" s="324"/>
      <c r="HR163" s="324"/>
      <c r="HS163" s="324"/>
      <c r="HT163" s="324"/>
      <c r="HU163" s="324"/>
      <c r="HV163" s="324"/>
      <c r="HW163" s="324"/>
      <c r="HX163" s="324"/>
      <c r="HY163" s="324"/>
      <c r="HZ163" s="324"/>
      <c r="IA163" s="324"/>
      <c r="IB163" s="324"/>
      <c r="IC163" s="324"/>
      <c r="ID163" s="324"/>
      <c r="IE163" s="324"/>
      <c r="IF163" s="324"/>
      <c r="IG163" s="324"/>
      <c r="IH163" s="324"/>
      <c r="II163" s="324"/>
      <c r="IJ163" s="324"/>
      <c r="IK163" s="324"/>
      <c r="IL163" s="324"/>
      <c r="IM163" s="324"/>
    </row>
    <row r="164" spans="1:247" x14ac:dyDescent="0.35">
      <c r="A164" s="356">
        <v>7354</v>
      </c>
      <c r="B164" s="357" t="s">
        <v>169</v>
      </c>
      <c r="C164" s="172" t="s">
        <v>10</v>
      </c>
      <c r="D164" s="358" t="s">
        <v>2051</v>
      </c>
      <c r="E164" s="336"/>
      <c r="F164" s="331">
        <f t="shared" si="29"/>
        <v>1.0209999999999999</v>
      </c>
      <c r="G164" s="337"/>
      <c r="H164" s="336"/>
      <c r="I164" s="338"/>
      <c r="J164" s="338"/>
      <c r="K164" s="338"/>
      <c r="L164" s="338"/>
      <c r="M164" s="338"/>
      <c r="N164" s="337"/>
      <c r="O164" s="339"/>
      <c r="P164" s="336"/>
      <c r="Q164" s="337"/>
      <c r="R164" s="340">
        <f t="shared" si="30"/>
        <v>1.0209999999999999</v>
      </c>
      <c r="S164" s="324"/>
      <c r="T164" s="324"/>
      <c r="U164" s="324"/>
      <c r="V164" s="324"/>
      <c r="W164" s="324"/>
      <c r="X164" s="324"/>
      <c r="Y164" s="324"/>
      <c r="Z164" s="324"/>
      <c r="AA164" s="324"/>
      <c r="AB164" s="324"/>
      <c r="AC164" s="324"/>
      <c r="AD164" s="324"/>
      <c r="AE164" s="324"/>
      <c r="AF164" s="324"/>
      <c r="AG164" s="324"/>
      <c r="AH164" s="324"/>
      <c r="AI164" s="324"/>
      <c r="AJ164" s="324"/>
      <c r="AK164" s="324"/>
      <c r="AL164" s="324"/>
      <c r="AM164" s="324"/>
      <c r="AN164" s="324"/>
      <c r="AO164" s="324"/>
      <c r="AP164" s="324"/>
      <c r="AQ164" s="324"/>
      <c r="AR164" s="324"/>
      <c r="AS164" s="324"/>
      <c r="AT164" s="324"/>
      <c r="AU164" s="324"/>
      <c r="AV164" s="324"/>
      <c r="AW164" s="324"/>
      <c r="AX164" s="324"/>
      <c r="AY164" s="324"/>
      <c r="AZ164" s="324"/>
      <c r="BA164" s="324"/>
      <c r="BB164" s="324"/>
      <c r="BC164" s="324"/>
      <c r="BD164" s="324"/>
      <c r="BE164" s="324"/>
      <c r="BF164" s="324"/>
      <c r="BG164" s="324"/>
      <c r="BH164" s="324"/>
      <c r="BI164" s="324"/>
      <c r="BJ164" s="324"/>
      <c r="BK164" s="324"/>
      <c r="BL164" s="324"/>
      <c r="BM164" s="324"/>
      <c r="BN164" s="324"/>
      <c r="BO164" s="324"/>
      <c r="BP164" s="324"/>
      <c r="BQ164" s="324"/>
      <c r="BR164" s="324"/>
      <c r="BS164" s="324"/>
      <c r="BT164" s="324"/>
      <c r="BU164" s="324"/>
      <c r="BV164" s="324"/>
      <c r="BW164" s="324"/>
      <c r="BX164" s="324"/>
      <c r="BY164" s="324"/>
      <c r="BZ164" s="324"/>
      <c r="CA164" s="324"/>
      <c r="CB164" s="324"/>
      <c r="CC164" s="324"/>
      <c r="CD164" s="324"/>
      <c r="CE164" s="324"/>
      <c r="CF164" s="324"/>
      <c r="CG164" s="324"/>
      <c r="CH164" s="324"/>
      <c r="CI164" s="324"/>
      <c r="CJ164" s="324"/>
      <c r="CK164" s="324"/>
      <c r="CL164" s="324"/>
      <c r="CM164" s="324"/>
      <c r="CN164" s="324"/>
      <c r="CO164" s="324"/>
      <c r="CP164" s="324"/>
      <c r="CQ164" s="324"/>
      <c r="CR164" s="324"/>
      <c r="CS164" s="324"/>
      <c r="CT164" s="324"/>
      <c r="CU164" s="324"/>
      <c r="CV164" s="324"/>
      <c r="CW164" s="324"/>
      <c r="CX164" s="324"/>
      <c r="CY164" s="324"/>
      <c r="CZ164" s="324"/>
      <c r="DA164" s="324"/>
      <c r="DB164" s="324"/>
      <c r="DC164" s="324"/>
      <c r="DD164" s="324"/>
      <c r="DE164" s="324"/>
      <c r="DF164" s="324"/>
      <c r="DG164" s="324"/>
      <c r="DH164" s="324"/>
      <c r="DI164" s="324"/>
      <c r="DJ164" s="324"/>
      <c r="DK164" s="324"/>
      <c r="DL164" s="324"/>
      <c r="DM164" s="324"/>
      <c r="DN164" s="324"/>
      <c r="DO164" s="324"/>
      <c r="DP164" s="324"/>
      <c r="DQ164" s="324"/>
      <c r="DR164" s="324"/>
      <c r="DS164" s="324"/>
      <c r="DT164" s="324"/>
      <c r="DU164" s="324"/>
      <c r="DV164" s="324"/>
      <c r="DW164" s="324"/>
      <c r="DX164" s="324"/>
      <c r="DY164" s="324"/>
      <c r="DZ164" s="324"/>
      <c r="EA164" s="324"/>
      <c r="EB164" s="324"/>
      <c r="EC164" s="324"/>
      <c r="ED164" s="324"/>
      <c r="EE164" s="324"/>
      <c r="EF164" s="324"/>
      <c r="EG164" s="324"/>
      <c r="EH164" s="324"/>
      <c r="EI164" s="324"/>
      <c r="EJ164" s="324"/>
      <c r="EK164" s="324"/>
      <c r="EL164" s="324"/>
      <c r="EM164" s="324"/>
      <c r="EN164" s="324"/>
      <c r="EO164" s="324"/>
      <c r="EP164" s="324"/>
      <c r="EQ164" s="324"/>
      <c r="ER164" s="324"/>
      <c r="ES164" s="324"/>
      <c r="ET164" s="324"/>
      <c r="EU164" s="324"/>
      <c r="EV164" s="324"/>
      <c r="EW164" s="324"/>
      <c r="EX164" s="324"/>
      <c r="EY164" s="324"/>
      <c r="EZ164" s="324"/>
      <c r="FA164" s="324"/>
      <c r="FB164" s="324"/>
      <c r="FC164" s="324"/>
      <c r="FD164" s="324"/>
      <c r="FE164" s="324"/>
      <c r="FF164" s="324"/>
      <c r="FG164" s="324"/>
      <c r="FH164" s="324"/>
      <c r="FI164" s="324"/>
      <c r="FJ164" s="324"/>
      <c r="FK164" s="324"/>
      <c r="FL164" s="324"/>
      <c r="FM164" s="324"/>
      <c r="FN164" s="324"/>
      <c r="FO164" s="324"/>
      <c r="FP164" s="324"/>
      <c r="FQ164" s="324"/>
      <c r="FR164" s="324"/>
      <c r="FS164" s="324"/>
      <c r="FT164" s="324"/>
      <c r="FU164" s="324"/>
      <c r="FV164" s="324"/>
      <c r="FW164" s="324"/>
      <c r="FX164" s="324"/>
      <c r="FY164" s="324"/>
      <c r="FZ164" s="324"/>
      <c r="GA164" s="324"/>
      <c r="GB164" s="324"/>
      <c r="GC164" s="324"/>
      <c r="GD164" s="324"/>
      <c r="GE164" s="324"/>
      <c r="GF164" s="324"/>
      <c r="GG164" s="324"/>
      <c r="GH164" s="324"/>
      <c r="GI164" s="324"/>
      <c r="GJ164" s="324"/>
      <c r="GK164" s="324"/>
      <c r="GL164" s="324"/>
      <c r="GM164" s="324"/>
      <c r="GN164" s="324"/>
      <c r="GO164" s="324"/>
      <c r="GP164" s="324"/>
      <c r="GQ164" s="324"/>
      <c r="GR164" s="324"/>
      <c r="GS164" s="324"/>
      <c r="GT164" s="324"/>
      <c r="GU164" s="324"/>
      <c r="GV164" s="324"/>
      <c r="GW164" s="324"/>
      <c r="GX164" s="324"/>
      <c r="GY164" s="324"/>
      <c r="GZ164" s="324"/>
      <c r="HA164" s="324"/>
      <c r="HB164" s="324"/>
      <c r="HC164" s="324"/>
      <c r="HD164" s="324"/>
      <c r="HE164" s="324"/>
      <c r="HF164" s="324"/>
      <c r="HG164" s="324"/>
      <c r="HH164" s="324"/>
      <c r="HI164" s="324"/>
      <c r="HJ164" s="324"/>
      <c r="HK164" s="324"/>
      <c r="HL164" s="324"/>
      <c r="HM164" s="324"/>
      <c r="HN164" s="324"/>
      <c r="HO164" s="324"/>
      <c r="HP164" s="324"/>
      <c r="HQ164" s="324"/>
      <c r="HR164" s="324"/>
      <c r="HS164" s="324"/>
      <c r="HT164" s="324"/>
      <c r="HU164" s="324"/>
      <c r="HV164" s="324"/>
      <c r="HW164" s="324"/>
      <c r="HX164" s="324"/>
      <c r="HY164" s="324"/>
      <c r="HZ164" s="324"/>
      <c r="IA164" s="324"/>
      <c r="IB164" s="324"/>
      <c r="IC164" s="324"/>
      <c r="ID164" s="324"/>
      <c r="IE164" s="324"/>
      <c r="IF164" s="324"/>
      <c r="IG164" s="324"/>
      <c r="IH164" s="324"/>
      <c r="II164" s="324"/>
      <c r="IJ164" s="324"/>
      <c r="IK164" s="324"/>
      <c r="IL164" s="324"/>
      <c r="IM164" s="324"/>
    </row>
    <row r="165" spans="1:247" x14ac:dyDescent="0.35">
      <c r="A165" s="356">
        <v>7362</v>
      </c>
      <c r="B165" s="357" t="s">
        <v>170</v>
      </c>
      <c r="C165" s="172" t="s">
        <v>8</v>
      </c>
      <c r="D165" s="358" t="s">
        <v>2053</v>
      </c>
      <c r="E165" s="336">
        <f>+$E$3</f>
        <v>1.0740000000000001</v>
      </c>
      <c r="F165" s="331">
        <f t="shared" si="29"/>
        <v>1.0209999999999999</v>
      </c>
      <c r="G165" s="337">
        <f>+$G$3</f>
        <v>1.0269999999999999</v>
      </c>
      <c r="H165" s="336">
        <f>+$H$3</f>
        <v>1.0029999999999999</v>
      </c>
      <c r="I165" s="338">
        <f>+$I$3</f>
        <v>1.0289999999999999</v>
      </c>
      <c r="J165" s="338">
        <f>+$J$3</f>
        <v>1.0049999999999999</v>
      </c>
      <c r="K165" s="338">
        <f>+$K$3</f>
        <v>1.026</v>
      </c>
      <c r="L165" s="338">
        <f>+$L$3</f>
        <v>1.0129999999999999</v>
      </c>
      <c r="M165" s="338">
        <f>+$M$3</f>
        <v>1.0029999999999999</v>
      </c>
      <c r="N165" s="337">
        <f>+$N$3</f>
        <v>1.0029999999999999</v>
      </c>
      <c r="O165" s="339"/>
      <c r="P165" s="336">
        <f>+$P$3</f>
        <v>1.032</v>
      </c>
      <c r="Q165" s="337">
        <f>+$Q$3</f>
        <v>1.0349999999999999</v>
      </c>
      <c r="R165" s="340">
        <f t="shared" si="30"/>
        <v>1.3045524833281539</v>
      </c>
      <c r="S165" s="324"/>
      <c r="T165" s="324"/>
      <c r="U165" s="324"/>
      <c r="V165" s="324"/>
      <c r="W165" s="324"/>
      <c r="X165" s="324"/>
      <c r="Y165" s="324"/>
      <c r="Z165" s="324"/>
      <c r="AA165" s="324"/>
      <c r="AB165" s="324"/>
      <c r="AC165" s="324"/>
      <c r="AD165" s="324"/>
      <c r="AE165" s="324"/>
      <c r="AF165" s="324"/>
      <c r="AG165" s="324"/>
      <c r="AH165" s="324"/>
      <c r="AI165" s="324"/>
      <c r="AJ165" s="324"/>
      <c r="AK165" s="324"/>
      <c r="AL165" s="324"/>
      <c r="AM165" s="324"/>
      <c r="AN165" s="324"/>
      <c r="AO165" s="324"/>
      <c r="AP165" s="324"/>
      <c r="AQ165" s="324"/>
      <c r="AR165" s="324"/>
      <c r="AS165" s="324"/>
      <c r="AT165" s="324"/>
      <c r="AU165" s="324"/>
      <c r="AV165" s="324"/>
      <c r="AW165" s="324"/>
      <c r="AX165" s="324"/>
      <c r="AY165" s="324"/>
      <c r="AZ165" s="324"/>
      <c r="BA165" s="324"/>
      <c r="BB165" s="324"/>
      <c r="BC165" s="324"/>
      <c r="BD165" s="324"/>
      <c r="BE165" s="324"/>
      <c r="BF165" s="324"/>
      <c r="BG165" s="324"/>
      <c r="BH165" s="324"/>
      <c r="BI165" s="324"/>
      <c r="BJ165" s="324"/>
      <c r="BK165" s="324"/>
      <c r="BL165" s="324"/>
      <c r="BM165" s="324"/>
      <c r="BN165" s="324"/>
      <c r="BO165" s="324"/>
      <c r="BP165" s="324"/>
      <c r="BQ165" s="324"/>
      <c r="BR165" s="324"/>
      <c r="BS165" s="324"/>
      <c r="BT165" s="324"/>
      <c r="BU165" s="324"/>
      <c r="BV165" s="324"/>
      <c r="BW165" s="324"/>
      <c r="BX165" s="324"/>
      <c r="BY165" s="324"/>
      <c r="BZ165" s="324"/>
      <c r="CA165" s="324"/>
      <c r="CB165" s="324"/>
      <c r="CC165" s="324"/>
      <c r="CD165" s="324"/>
      <c r="CE165" s="324"/>
      <c r="CF165" s="324"/>
      <c r="CG165" s="324"/>
      <c r="CH165" s="324"/>
      <c r="CI165" s="324"/>
      <c r="CJ165" s="324"/>
      <c r="CK165" s="324"/>
      <c r="CL165" s="324"/>
      <c r="CM165" s="324"/>
      <c r="CN165" s="324"/>
      <c r="CO165" s="324"/>
      <c r="CP165" s="324"/>
      <c r="CQ165" s="324"/>
      <c r="CR165" s="324"/>
      <c r="CS165" s="324"/>
      <c r="CT165" s="324"/>
      <c r="CU165" s="324"/>
      <c r="CV165" s="324"/>
      <c r="CW165" s="324"/>
      <c r="CX165" s="324"/>
      <c r="CY165" s="324"/>
      <c r="CZ165" s="324"/>
      <c r="DA165" s="324"/>
      <c r="DB165" s="324"/>
      <c r="DC165" s="324"/>
      <c r="DD165" s="324"/>
      <c r="DE165" s="324"/>
      <c r="DF165" s="324"/>
      <c r="DG165" s="324"/>
      <c r="DH165" s="324"/>
      <c r="DI165" s="324"/>
      <c r="DJ165" s="324"/>
      <c r="DK165" s="324"/>
      <c r="DL165" s="324"/>
      <c r="DM165" s="324"/>
      <c r="DN165" s="324"/>
      <c r="DO165" s="324"/>
      <c r="DP165" s="324"/>
      <c r="DQ165" s="324"/>
      <c r="DR165" s="324"/>
      <c r="DS165" s="324"/>
      <c r="DT165" s="324"/>
      <c r="DU165" s="324"/>
      <c r="DV165" s="324"/>
      <c r="DW165" s="324"/>
      <c r="DX165" s="324"/>
      <c r="DY165" s="324"/>
      <c r="DZ165" s="324"/>
      <c r="EA165" s="324"/>
      <c r="EB165" s="324"/>
      <c r="EC165" s="324"/>
      <c r="ED165" s="324"/>
      <c r="EE165" s="324"/>
      <c r="EF165" s="324"/>
      <c r="EG165" s="324"/>
      <c r="EH165" s="324"/>
      <c r="EI165" s="324"/>
      <c r="EJ165" s="324"/>
      <c r="EK165" s="324"/>
      <c r="EL165" s="324"/>
      <c r="EM165" s="324"/>
      <c r="EN165" s="324"/>
      <c r="EO165" s="324"/>
      <c r="EP165" s="324"/>
      <c r="EQ165" s="324"/>
      <c r="ER165" s="324"/>
      <c r="ES165" s="324"/>
      <c r="ET165" s="324"/>
      <c r="EU165" s="324"/>
      <c r="EV165" s="324"/>
      <c r="EW165" s="324"/>
      <c r="EX165" s="324"/>
      <c r="EY165" s="324"/>
      <c r="EZ165" s="324"/>
      <c r="FA165" s="324"/>
      <c r="FB165" s="324"/>
      <c r="FC165" s="324"/>
      <c r="FD165" s="324"/>
      <c r="FE165" s="324"/>
      <c r="FF165" s="324"/>
      <c r="FG165" s="324"/>
      <c r="FH165" s="324"/>
      <c r="FI165" s="324"/>
      <c r="FJ165" s="324"/>
      <c r="FK165" s="324"/>
      <c r="FL165" s="324"/>
      <c r="FM165" s="324"/>
      <c r="FN165" s="324"/>
      <c r="FO165" s="324"/>
      <c r="FP165" s="324"/>
      <c r="FQ165" s="324"/>
      <c r="FR165" s="324"/>
      <c r="FS165" s="324"/>
      <c r="FT165" s="324"/>
      <c r="FU165" s="324"/>
      <c r="FV165" s="324"/>
      <c r="FW165" s="324"/>
      <c r="FX165" s="324"/>
      <c r="FY165" s="324"/>
      <c r="FZ165" s="324"/>
      <c r="GA165" s="324"/>
      <c r="GB165" s="324"/>
      <c r="GC165" s="324"/>
      <c r="GD165" s="324"/>
      <c r="GE165" s="324"/>
      <c r="GF165" s="324"/>
      <c r="GG165" s="324"/>
      <c r="GH165" s="324"/>
      <c r="GI165" s="324"/>
      <c r="GJ165" s="324"/>
      <c r="GK165" s="324"/>
      <c r="GL165" s="324"/>
      <c r="GM165" s="324"/>
      <c r="GN165" s="324"/>
      <c r="GO165" s="324"/>
      <c r="GP165" s="324"/>
      <c r="GQ165" s="324"/>
      <c r="GR165" s="324"/>
      <c r="GS165" s="324"/>
      <c r="GT165" s="324"/>
      <c r="GU165" s="324"/>
      <c r="GV165" s="324"/>
      <c r="GW165" s="324"/>
      <c r="GX165" s="324"/>
      <c r="GY165" s="324"/>
      <c r="GZ165" s="324"/>
      <c r="HA165" s="324"/>
      <c r="HB165" s="324"/>
      <c r="HC165" s="324"/>
      <c r="HD165" s="324"/>
      <c r="HE165" s="324"/>
      <c r="HF165" s="324"/>
      <c r="HG165" s="324"/>
      <c r="HH165" s="324"/>
      <c r="HI165" s="324"/>
      <c r="HJ165" s="324"/>
      <c r="HK165" s="324"/>
      <c r="HL165" s="324"/>
      <c r="HM165" s="324"/>
      <c r="HN165" s="324"/>
      <c r="HO165" s="324"/>
      <c r="HP165" s="324"/>
      <c r="HQ165" s="324"/>
      <c r="HR165" s="324"/>
      <c r="HS165" s="324"/>
      <c r="HT165" s="324"/>
      <c r="HU165" s="324"/>
      <c r="HV165" s="324"/>
      <c r="HW165" s="324"/>
      <c r="HX165" s="324"/>
      <c r="HY165" s="324"/>
      <c r="HZ165" s="324"/>
      <c r="IA165" s="324"/>
      <c r="IB165" s="324"/>
      <c r="IC165" s="324"/>
      <c r="ID165" s="324"/>
      <c r="IE165" s="324"/>
      <c r="IF165" s="324"/>
      <c r="IG165" s="324"/>
      <c r="IH165" s="324"/>
      <c r="II165" s="324"/>
      <c r="IJ165" s="324"/>
      <c r="IK165" s="324"/>
      <c r="IL165" s="324"/>
      <c r="IM165" s="324"/>
    </row>
    <row r="166" spans="1:247" x14ac:dyDescent="0.35">
      <c r="A166" s="356">
        <v>7372</v>
      </c>
      <c r="B166" s="357" t="s">
        <v>171</v>
      </c>
      <c r="C166" s="172" t="s">
        <v>8</v>
      </c>
      <c r="D166" s="358" t="s">
        <v>2053</v>
      </c>
      <c r="E166" s="336">
        <f>+$E$3</f>
        <v>1.0740000000000001</v>
      </c>
      <c r="F166" s="331">
        <f t="shared" si="29"/>
        <v>1.0209999999999999</v>
      </c>
      <c r="G166" s="337">
        <f>+$G$3</f>
        <v>1.0269999999999999</v>
      </c>
      <c r="H166" s="336">
        <f>+$H$3</f>
        <v>1.0029999999999999</v>
      </c>
      <c r="I166" s="338">
        <f>+$I$3</f>
        <v>1.0289999999999999</v>
      </c>
      <c r="J166" s="338">
        <f>+$J$3</f>
        <v>1.0049999999999999</v>
      </c>
      <c r="K166" s="338">
        <f>+$K$3</f>
        <v>1.026</v>
      </c>
      <c r="L166" s="338">
        <f>+$L$3</f>
        <v>1.0129999999999999</v>
      </c>
      <c r="M166" s="338">
        <f>+$M$3</f>
        <v>1.0029999999999999</v>
      </c>
      <c r="N166" s="337">
        <f>+$N$3</f>
        <v>1.0029999999999999</v>
      </c>
      <c r="O166" s="339">
        <f>+$O$3</f>
        <v>1.0209999999999999</v>
      </c>
      <c r="P166" s="336">
        <f>+$P$3</f>
        <v>1.032</v>
      </c>
      <c r="Q166" s="337">
        <f>+$Q$3</f>
        <v>1.0349999999999999</v>
      </c>
      <c r="R166" s="340">
        <f t="shared" si="30"/>
        <v>1.3319480854780448</v>
      </c>
      <c r="S166" s="324"/>
      <c r="T166" s="324"/>
      <c r="U166" s="324"/>
      <c r="V166" s="324"/>
      <c r="W166" s="324"/>
      <c r="X166" s="324"/>
      <c r="Y166" s="324"/>
      <c r="Z166" s="324"/>
      <c r="AA166" s="324"/>
      <c r="AB166" s="324"/>
      <c r="AC166" s="324"/>
      <c r="AD166" s="324"/>
      <c r="AE166" s="324"/>
      <c r="AF166" s="324"/>
      <c r="AG166" s="324"/>
      <c r="AH166" s="324"/>
      <c r="AI166" s="324"/>
      <c r="AJ166" s="324"/>
      <c r="AK166" s="324"/>
      <c r="AL166" s="324"/>
      <c r="AM166" s="324"/>
      <c r="AN166" s="324"/>
      <c r="AO166" s="324"/>
      <c r="AP166" s="324"/>
      <c r="AQ166" s="324"/>
      <c r="AR166" s="324"/>
      <c r="AS166" s="324"/>
      <c r="AT166" s="324"/>
      <c r="AU166" s="324"/>
      <c r="AV166" s="324"/>
      <c r="AW166" s="324"/>
      <c r="AX166" s="324"/>
      <c r="AY166" s="324"/>
      <c r="AZ166" s="324"/>
      <c r="BA166" s="324"/>
      <c r="BB166" s="324"/>
      <c r="BC166" s="324"/>
      <c r="BD166" s="324"/>
      <c r="BE166" s="324"/>
      <c r="BF166" s="324"/>
      <c r="BG166" s="324"/>
      <c r="BH166" s="324"/>
      <c r="BI166" s="324"/>
      <c r="BJ166" s="324"/>
      <c r="BK166" s="324"/>
      <c r="BL166" s="324"/>
      <c r="BM166" s="324"/>
      <c r="BN166" s="324"/>
      <c r="BO166" s="324"/>
      <c r="BP166" s="324"/>
      <c r="BQ166" s="324"/>
      <c r="BR166" s="324"/>
      <c r="BS166" s="324"/>
      <c r="BT166" s="324"/>
      <c r="BU166" s="324"/>
      <c r="BV166" s="324"/>
      <c r="BW166" s="324"/>
      <c r="BX166" s="324"/>
      <c r="BY166" s="324"/>
      <c r="BZ166" s="324"/>
      <c r="CA166" s="324"/>
      <c r="CB166" s="324"/>
      <c r="CC166" s="324"/>
      <c r="CD166" s="324"/>
      <c r="CE166" s="324"/>
      <c r="CF166" s="324"/>
      <c r="CG166" s="324"/>
      <c r="CH166" s="324"/>
      <c r="CI166" s="324"/>
      <c r="CJ166" s="324"/>
      <c r="CK166" s="324"/>
      <c r="CL166" s="324"/>
      <c r="CM166" s="324"/>
      <c r="CN166" s="324"/>
      <c r="CO166" s="324"/>
      <c r="CP166" s="324"/>
      <c r="CQ166" s="324"/>
      <c r="CR166" s="324"/>
      <c r="CS166" s="324"/>
      <c r="CT166" s="324"/>
      <c r="CU166" s="324"/>
      <c r="CV166" s="324"/>
      <c r="CW166" s="324"/>
      <c r="CX166" s="324"/>
      <c r="CY166" s="324"/>
      <c r="CZ166" s="324"/>
      <c r="DA166" s="324"/>
      <c r="DB166" s="324"/>
      <c r="DC166" s="324"/>
      <c r="DD166" s="324"/>
      <c r="DE166" s="324"/>
      <c r="DF166" s="324"/>
      <c r="DG166" s="324"/>
      <c r="DH166" s="324"/>
      <c r="DI166" s="324"/>
      <c r="DJ166" s="324"/>
      <c r="DK166" s="324"/>
      <c r="DL166" s="324"/>
      <c r="DM166" s="324"/>
      <c r="DN166" s="324"/>
      <c r="DO166" s="324"/>
      <c r="DP166" s="324"/>
      <c r="DQ166" s="324"/>
      <c r="DR166" s="324"/>
      <c r="DS166" s="324"/>
      <c r="DT166" s="324"/>
      <c r="DU166" s="324"/>
      <c r="DV166" s="324"/>
      <c r="DW166" s="324"/>
      <c r="DX166" s="324"/>
      <c r="DY166" s="324"/>
      <c r="DZ166" s="324"/>
      <c r="EA166" s="324"/>
      <c r="EB166" s="324"/>
      <c r="EC166" s="324"/>
      <c r="ED166" s="324"/>
      <c r="EE166" s="324"/>
      <c r="EF166" s="324"/>
      <c r="EG166" s="324"/>
      <c r="EH166" s="324"/>
      <c r="EI166" s="324"/>
      <c r="EJ166" s="324"/>
      <c r="EK166" s="324"/>
      <c r="EL166" s="324"/>
      <c r="EM166" s="324"/>
      <c r="EN166" s="324"/>
      <c r="EO166" s="324"/>
      <c r="EP166" s="324"/>
      <c r="EQ166" s="324"/>
      <c r="ER166" s="324"/>
      <c r="ES166" s="324"/>
      <c r="ET166" s="324"/>
      <c r="EU166" s="324"/>
      <c r="EV166" s="324"/>
      <c r="EW166" s="324"/>
      <c r="EX166" s="324"/>
      <c r="EY166" s="324"/>
      <c r="EZ166" s="324"/>
      <c r="FA166" s="324"/>
      <c r="FB166" s="324"/>
      <c r="FC166" s="324"/>
      <c r="FD166" s="324"/>
      <c r="FE166" s="324"/>
      <c r="FF166" s="324"/>
      <c r="FG166" s="324"/>
      <c r="FH166" s="324"/>
      <c r="FI166" s="324"/>
      <c r="FJ166" s="324"/>
      <c r="FK166" s="324"/>
      <c r="FL166" s="324"/>
      <c r="FM166" s="324"/>
      <c r="FN166" s="324"/>
      <c r="FO166" s="324"/>
      <c r="FP166" s="324"/>
      <c r="FQ166" s="324"/>
      <c r="FR166" s="324"/>
      <c r="FS166" s="324"/>
      <c r="FT166" s="324"/>
      <c r="FU166" s="324"/>
      <c r="FV166" s="324"/>
      <c r="FW166" s="324"/>
      <c r="FX166" s="324"/>
      <c r="FY166" s="324"/>
      <c r="FZ166" s="324"/>
      <c r="GA166" s="324"/>
      <c r="GB166" s="324"/>
      <c r="GC166" s="324"/>
      <c r="GD166" s="324"/>
      <c r="GE166" s="324"/>
      <c r="GF166" s="324"/>
      <c r="GG166" s="324"/>
      <c r="GH166" s="324"/>
      <c r="GI166" s="324"/>
      <c r="GJ166" s="324"/>
      <c r="GK166" s="324"/>
      <c r="GL166" s="324"/>
      <c r="GM166" s="324"/>
      <c r="GN166" s="324"/>
      <c r="GO166" s="324"/>
      <c r="GP166" s="324"/>
      <c r="GQ166" s="324"/>
      <c r="GR166" s="324"/>
      <c r="GS166" s="324"/>
      <c r="GT166" s="324"/>
      <c r="GU166" s="324"/>
      <c r="GV166" s="324"/>
      <c r="GW166" s="324"/>
      <c r="GX166" s="324"/>
      <c r="GY166" s="324"/>
      <c r="GZ166" s="324"/>
      <c r="HA166" s="324"/>
      <c r="HB166" s="324"/>
      <c r="HC166" s="324"/>
      <c r="HD166" s="324"/>
      <c r="HE166" s="324"/>
      <c r="HF166" s="324"/>
      <c r="HG166" s="324"/>
      <c r="HH166" s="324"/>
      <c r="HI166" s="324"/>
      <c r="HJ166" s="324"/>
      <c r="HK166" s="324"/>
      <c r="HL166" s="324"/>
      <c r="HM166" s="324"/>
      <c r="HN166" s="324"/>
      <c r="HO166" s="324"/>
      <c r="HP166" s="324"/>
      <c r="HQ166" s="324"/>
      <c r="HR166" s="324"/>
      <c r="HS166" s="324"/>
      <c r="HT166" s="324"/>
      <c r="HU166" s="324"/>
      <c r="HV166" s="324"/>
      <c r="HW166" s="324"/>
      <c r="HX166" s="324"/>
      <c r="HY166" s="324"/>
      <c r="HZ166" s="324"/>
      <c r="IA166" s="324"/>
      <c r="IB166" s="324"/>
      <c r="IC166" s="324"/>
      <c r="ID166" s="324"/>
      <c r="IE166" s="324"/>
      <c r="IF166" s="324"/>
      <c r="IG166" s="324"/>
      <c r="IH166" s="324"/>
      <c r="II166" s="324"/>
      <c r="IJ166" s="324"/>
      <c r="IK166" s="324"/>
      <c r="IL166" s="324"/>
      <c r="IM166" s="324"/>
    </row>
    <row r="167" spans="1:247" x14ac:dyDescent="0.35">
      <c r="A167" s="356">
        <v>7381</v>
      </c>
      <c r="B167" s="357" t="s">
        <v>172</v>
      </c>
      <c r="C167" s="172" t="s">
        <v>8</v>
      </c>
      <c r="D167" s="358" t="s">
        <v>2053</v>
      </c>
      <c r="E167" s="336"/>
      <c r="F167" s="331">
        <f t="shared" si="29"/>
        <v>1.0209999999999999</v>
      </c>
      <c r="G167" s="337"/>
      <c r="H167" s="336"/>
      <c r="I167" s="338"/>
      <c r="J167" s="338"/>
      <c r="K167" s="338"/>
      <c r="L167" s="338"/>
      <c r="M167" s="338"/>
      <c r="N167" s="337"/>
      <c r="O167" s="339"/>
      <c r="P167" s="336"/>
      <c r="Q167" s="337"/>
      <c r="R167" s="340">
        <f t="shared" si="30"/>
        <v>1.0209999999999999</v>
      </c>
      <c r="S167" s="324"/>
      <c r="T167" s="324"/>
      <c r="U167" s="324"/>
      <c r="V167" s="324"/>
      <c r="W167" s="324"/>
      <c r="X167" s="324"/>
      <c r="Y167" s="324"/>
      <c r="Z167" s="324"/>
      <c r="AA167" s="324"/>
      <c r="AB167" s="324"/>
      <c r="AC167" s="324"/>
      <c r="AD167" s="324"/>
      <c r="AE167" s="324"/>
      <c r="AF167" s="324"/>
      <c r="AG167" s="324"/>
      <c r="AH167" s="324"/>
      <c r="AI167" s="324"/>
      <c r="AJ167" s="324"/>
      <c r="AK167" s="324"/>
      <c r="AL167" s="324"/>
      <c r="AM167" s="324"/>
      <c r="AN167" s="324"/>
      <c r="AO167" s="324"/>
      <c r="AP167" s="324"/>
      <c r="AQ167" s="324"/>
      <c r="AR167" s="324"/>
      <c r="AS167" s="324"/>
      <c r="AT167" s="324"/>
      <c r="AU167" s="324"/>
      <c r="AV167" s="324"/>
      <c r="AW167" s="324"/>
      <c r="AX167" s="324"/>
      <c r="AY167" s="324"/>
      <c r="AZ167" s="324"/>
      <c r="BA167" s="324"/>
      <c r="BB167" s="324"/>
      <c r="BC167" s="324"/>
      <c r="BD167" s="324"/>
      <c r="BE167" s="324"/>
      <c r="BF167" s="324"/>
      <c r="BG167" s="324"/>
      <c r="BH167" s="324"/>
      <c r="BI167" s="324"/>
      <c r="BJ167" s="324"/>
      <c r="BK167" s="324"/>
      <c r="BL167" s="324"/>
      <c r="BM167" s="324"/>
      <c r="BN167" s="324"/>
      <c r="BO167" s="324"/>
      <c r="BP167" s="324"/>
      <c r="BQ167" s="324"/>
      <c r="BR167" s="324"/>
      <c r="BS167" s="324"/>
      <c r="BT167" s="324"/>
      <c r="BU167" s="324"/>
      <c r="BV167" s="324"/>
      <c r="BW167" s="324"/>
      <c r="BX167" s="324"/>
      <c r="BY167" s="324"/>
      <c r="BZ167" s="324"/>
      <c r="CA167" s="324"/>
      <c r="CB167" s="324"/>
      <c r="CC167" s="324"/>
      <c r="CD167" s="324"/>
      <c r="CE167" s="324"/>
      <c r="CF167" s="324"/>
      <c r="CG167" s="324"/>
      <c r="CH167" s="324"/>
      <c r="CI167" s="324"/>
      <c r="CJ167" s="324"/>
      <c r="CK167" s="324"/>
      <c r="CL167" s="324"/>
      <c r="CM167" s="324"/>
      <c r="CN167" s="324"/>
      <c r="CO167" s="324"/>
      <c r="CP167" s="324"/>
      <c r="CQ167" s="324"/>
      <c r="CR167" s="324"/>
      <c r="CS167" s="324"/>
      <c r="CT167" s="324"/>
      <c r="CU167" s="324"/>
      <c r="CV167" s="324"/>
      <c r="CW167" s="324"/>
      <c r="CX167" s="324"/>
      <c r="CY167" s="324"/>
      <c r="CZ167" s="324"/>
      <c r="DA167" s="324"/>
      <c r="DB167" s="324"/>
      <c r="DC167" s="324"/>
      <c r="DD167" s="324"/>
      <c r="DE167" s="324"/>
      <c r="DF167" s="324"/>
      <c r="DG167" s="324"/>
      <c r="DH167" s="324"/>
      <c r="DI167" s="324"/>
      <c r="DJ167" s="324"/>
      <c r="DK167" s="324"/>
      <c r="DL167" s="324"/>
      <c r="DM167" s="324"/>
      <c r="DN167" s="324"/>
      <c r="DO167" s="324"/>
      <c r="DP167" s="324"/>
      <c r="DQ167" s="324"/>
      <c r="DR167" s="324"/>
      <c r="DS167" s="324"/>
      <c r="DT167" s="324"/>
      <c r="DU167" s="324"/>
      <c r="DV167" s="324"/>
      <c r="DW167" s="324"/>
      <c r="DX167" s="324"/>
      <c r="DY167" s="324"/>
      <c r="DZ167" s="324"/>
      <c r="EA167" s="324"/>
      <c r="EB167" s="324"/>
      <c r="EC167" s="324"/>
      <c r="ED167" s="324"/>
      <c r="EE167" s="324"/>
      <c r="EF167" s="324"/>
      <c r="EG167" s="324"/>
      <c r="EH167" s="324"/>
      <c r="EI167" s="324"/>
      <c r="EJ167" s="324"/>
      <c r="EK167" s="324"/>
      <c r="EL167" s="324"/>
      <c r="EM167" s="324"/>
      <c r="EN167" s="324"/>
      <c r="EO167" s="324"/>
      <c r="EP167" s="324"/>
      <c r="EQ167" s="324"/>
      <c r="ER167" s="324"/>
      <c r="ES167" s="324"/>
      <c r="ET167" s="324"/>
      <c r="EU167" s="324"/>
      <c r="EV167" s="324"/>
      <c r="EW167" s="324"/>
      <c r="EX167" s="324"/>
      <c r="EY167" s="324"/>
      <c r="EZ167" s="324"/>
      <c r="FA167" s="324"/>
      <c r="FB167" s="324"/>
      <c r="FC167" s="324"/>
      <c r="FD167" s="324"/>
      <c r="FE167" s="324"/>
      <c r="FF167" s="324"/>
      <c r="FG167" s="324"/>
      <c r="FH167" s="324"/>
      <c r="FI167" s="324"/>
      <c r="FJ167" s="324"/>
      <c r="FK167" s="324"/>
      <c r="FL167" s="324"/>
      <c r="FM167" s="324"/>
      <c r="FN167" s="324"/>
      <c r="FO167" s="324"/>
      <c r="FP167" s="324"/>
      <c r="FQ167" s="324"/>
      <c r="FR167" s="324"/>
      <c r="FS167" s="324"/>
      <c r="FT167" s="324"/>
      <c r="FU167" s="324"/>
      <c r="FV167" s="324"/>
      <c r="FW167" s="324"/>
      <c r="FX167" s="324"/>
      <c r="FY167" s="324"/>
      <c r="FZ167" s="324"/>
      <c r="GA167" s="324"/>
      <c r="GB167" s="324"/>
      <c r="GC167" s="324"/>
      <c r="GD167" s="324"/>
      <c r="GE167" s="324"/>
      <c r="GF167" s="324"/>
      <c r="GG167" s="324"/>
      <c r="GH167" s="324"/>
      <c r="GI167" s="324"/>
      <c r="GJ167" s="324"/>
      <c r="GK167" s="324"/>
      <c r="GL167" s="324"/>
      <c r="GM167" s="324"/>
      <c r="GN167" s="324"/>
      <c r="GO167" s="324"/>
      <c r="GP167" s="324"/>
      <c r="GQ167" s="324"/>
      <c r="GR167" s="324"/>
      <c r="GS167" s="324"/>
      <c r="GT167" s="324"/>
      <c r="GU167" s="324"/>
      <c r="GV167" s="324"/>
      <c r="GW167" s="324"/>
      <c r="GX167" s="324"/>
      <c r="GY167" s="324"/>
      <c r="GZ167" s="324"/>
      <c r="HA167" s="324"/>
      <c r="HB167" s="324"/>
      <c r="HC167" s="324"/>
      <c r="HD167" s="324"/>
      <c r="HE167" s="324"/>
      <c r="HF167" s="324"/>
      <c r="HG167" s="324"/>
      <c r="HH167" s="324"/>
      <c r="HI167" s="324"/>
      <c r="HJ167" s="324"/>
      <c r="HK167" s="324"/>
      <c r="HL167" s="324"/>
      <c r="HM167" s="324"/>
      <c r="HN167" s="324"/>
      <c r="HO167" s="324"/>
      <c r="HP167" s="324"/>
      <c r="HQ167" s="324"/>
      <c r="HR167" s="324"/>
      <c r="HS167" s="324"/>
      <c r="HT167" s="324"/>
      <c r="HU167" s="324"/>
      <c r="HV167" s="324"/>
      <c r="HW167" s="324"/>
      <c r="HX167" s="324"/>
      <c r="HY167" s="324"/>
      <c r="HZ167" s="324"/>
      <c r="IA167" s="324"/>
      <c r="IB167" s="324"/>
      <c r="IC167" s="324"/>
      <c r="ID167" s="324"/>
      <c r="IE167" s="324"/>
      <c r="IF167" s="324"/>
      <c r="IG167" s="324"/>
      <c r="IH167" s="324"/>
      <c r="II167" s="324"/>
      <c r="IJ167" s="324"/>
      <c r="IK167" s="324"/>
      <c r="IL167" s="324"/>
      <c r="IM167" s="324"/>
    </row>
    <row r="168" spans="1:247" x14ac:dyDescent="0.35">
      <c r="A168" s="356">
        <v>7382</v>
      </c>
      <c r="B168" s="357" t="s">
        <v>173</v>
      </c>
      <c r="C168" s="172" t="s">
        <v>8</v>
      </c>
      <c r="D168" s="358" t="s">
        <v>2053</v>
      </c>
      <c r="E168" s="336"/>
      <c r="F168" s="331">
        <f t="shared" si="29"/>
        <v>1.0209999999999999</v>
      </c>
      <c r="G168" s="337"/>
      <c r="H168" s="336"/>
      <c r="I168" s="338"/>
      <c r="J168" s="338"/>
      <c r="K168" s="338"/>
      <c r="L168" s="338"/>
      <c r="M168" s="338"/>
      <c r="N168" s="337"/>
      <c r="O168" s="339"/>
      <c r="P168" s="336"/>
      <c r="Q168" s="337"/>
      <c r="R168" s="340">
        <f t="shared" si="30"/>
        <v>1.0209999999999999</v>
      </c>
      <c r="S168" s="324"/>
      <c r="T168" s="324"/>
      <c r="U168" s="324"/>
      <c r="V168" s="324"/>
      <c r="W168" s="324"/>
      <c r="X168" s="324"/>
      <c r="Y168" s="324"/>
      <c r="Z168" s="324"/>
      <c r="AA168" s="324"/>
      <c r="AB168" s="324"/>
      <c r="AC168" s="324"/>
      <c r="AD168" s="324"/>
      <c r="AE168" s="324"/>
      <c r="AF168" s="324"/>
      <c r="AG168" s="324"/>
      <c r="AH168" s="324"/>
      <c r="AI168" s="324"/>
      <c r="AJ168" s="324"/>
      <c r="AK168" s="324"/>
      <c r="AL168" s="324"/>
      <c r="AM168" s="324"/>
      <c r="AN168" s="324"/>
      <c r="AO168" s="324"/>
      <c r="AP168" s="324"/>
      <c r="AQ168" s="324"/>
      <c r="AR168" s="324"/>
      <c r="AS168" s="324"/>
      <c r="AT168" s="324"/>
      <c r="AU168" s="324"/>
      <c r="AV168" s="324"/>
      <c r="AW168" s="324"/>
      <c r="AX168" s="324"/>
      <c r="AY168" s="324"/>
      <c r="AZ168" s="324"/>
      <c r="BA168" s="324"/>
      <c r="BB168" s="324"/>
      <c r="BC168" s="324"/>
      <c r="BD168" s="324"/>
      <c r="BE168" s="324"/>
      <c r="BF168" s="324"/>
      <c r="BG168" s="324"/>
      <c r="BH168" s="324"/>
      <c r="BI168" s="324"/>
      <c r="BJ168" s="324"/>
      <c r="BK168" s="324"/>
      <c r="BL168" s="324"/>
      <c r="BM168" s="324"/>
      <c r="BN168" s="324"/>
      <c r="BO168" s="324"/>
      <c r="BP168" s="324"/>
      <c r="BQ168" s="324"/>
      <c r="BR168" s="324"/>
      <c r="BS168" s="324"/>
      <c r="BT168" s="324"/>
      <c r="BU168" s="324"/>
      <c r="BV168" s="324"/>
      <c r="BW168" s="324"/>
      <c r="BX168" s="324"/>
      <c r="BY168" s="324"/>
      <c r="BZ168" s="324"/>
      <c r="CA168" s="324"/>
      <c r="CB168" s="324"/>
      <c r="CC168" s="324"/>
      <c r="CD168" s="324"/>
      <c r="CE168" s="324"/>
      <c r="CF168" s="324"/>
      <c r="CG168" s="324"/>
      <c r="CH168" s="324"/>
      <c r="CI168" s="324"/>
      <c r="CJ168" s="324"/>
      <c r="CK168" s="324"/>
      <c r="CL168" s="324"/>
      <c r="CM168" s="324"/>
      <c r="CN168" s="324"/>
      <c r="CO168" s="324"/>
      <c r="CP168" s="324"/>
      <c r="CQ168" s="324"/>
      <c r="CR168" s="324"/>
      <c r="CS168" s="324"/>
      <c r="CT168" s="324"/>
      <c r="CU168" s="324"/>
      <c r="CV168" s="324"/>
      <c r="CW168" s="324"/>
      <c r="CX168" s="324"/>
      <c r="CY168" s="324"/>
      <c r="CZ168" s="324"/>
      <c r="DA168" s="324"/>
      <c r="DB168" s="324"/>
      <c r="DC168" s="324"/>
      <c r="DD168" s="324"/>
      <c r="DE168" s="324"/>
      <c r="DF168" s="324"/>
      <c r="DG168" s="324"/>
      <c r="DH168" s="324"/>
      <c r="DI168" s="324"/>
      <c r="DJ168" s="324"/>
      <c r="DK168" s="324"/>
      <c r="DL168" s="324"/>
      <c r="DM168" s="324"/>
      <c r="DN168" s="324"/>
      <c r="DO168" s="324"/>
      <c r="DP168" s="324"/>
      <c r="DQ168" s="324"/>
      <c r="DR168" s="324"/>
      <c r="DS168" s="324"/>
      <c r="DT168" s="324"/>
      <c r="DU168" s="324"/>
      <c r="DV168" s="324"/>
      <c r="DW168" s="324"/>
      <c r="DX168" s="324"/>
      <c r="DY168" s="324"/>
      <c r="DZ168" s="324"/>
      <c r="EA168" s="324"/>
      <c r="EB168" s="324"/>
      <c r="EC168" s="324"/>
      <c r="ED168" s="324"/>
      <c r="EE168" s="324"/>
      <c r="EF168" s="324"/>
      <c r="EG168" s="324"/>
      <c r="EH168" s="324"/>
      <c r="EI168" s="324"/>
      <c r="EJ168" s="324"/>
      <c r="EK168" s="324"/>
      <c r="EL168" s="324"/>
      <c r="EM168" s="324"/>
      <c r="EN168" s="324"/>
      <c r="EO168" s="324"/>
      <c r="EP168" s="324"/>
      <c r="EQ168" s="324"/>
      <c r="ER168" s="324"/>
      <c r="ES168" s="324"/>
      <c r="ET168" s="324"/>
      <c r="EU168" s="324"/>
      <c r="EV168" s="324"/>
      <c r="EW168" s="324"/>
      <c r="EX168" s="324"/>
      <c r="EY168" s="324"/>
      <c r="EZ168" s="324"/>
      <c r="FA168" s="324"/>
      <c r="FB168" s="324"/>
      <c r="FC168" s="324"/>
      <c r="FD168" s="324"/>
      <c r="FE168" s="324"/>
      <c r="FF168" s="324"/>
      <c r="FG168" s="324"/>
      <c r="FH168" s="324"/>
      <c r="FI168" s="324"/>
      <c r="FJ168" s="324"/>
      <c r="FK168" s="324"/>
      <c r="FL168" s="324"/>
      <c r="FM168" s="324"/>
      <c r="FN168" s="324"/>
      <c r="FO168" s="324"/>
      <c r="FP168" s="324"/>
      <c r="FQ168" s="324"/>
      <c r="FR168" s="324"/>
      <c r="FS168" s="324"/>
      <c r="FT168" s="324"/>
      <c r="FU168" s="324"/>
      <c r="FV168" s="324"/>
      <c r="FW168" s="324"/>
      <c r="FX168" s="324"/>
      <c r="FY168" s="324"/>
      <c r="FZ168" s="324"/>
      <c r="GA168" s="324"/>
      <c r="GB168" s="324"/>
      <c r="GC168" s="324"/>
      <c r="GD168" s="324"/>
      <c r="GE168" s="324"/>
      <c r="GF168" s="324"/>
      <c r="GG168" s="324"/>
      <c r="GH168" s="324"/>
      <c r="GI168" s="324"/>
      <c r="GJ168" s="324"/>
      <c r="GK168" s="324"/>
      <c r="GL168" s="324"/>
      <c r="GM168" s="324"/>
      <c r="GN168" s="324"/>
      <c r="GO168" s="324"/>
      <c r="GP168" s="324"/>
      <c r="GQ168" s="324"/>
      <c r="GR168" s="324"/>
      <c r="GS168" s="324"/>
      <c r="GT168" s="324"/>
      <c r="GU168" s="324"/>
      <c r="GV168" s="324"/>
      <c r="GW168" s="324"/>
      <c r="GX168" s="324"/>
      <c r="GY168" s="324"/>
      <c r="GZ168" s="324"/>
      <c r="HA168" s="324"/>
      <c r="HB168" s="324"/>
      <c r="HC168" s="324"/>
      <c r="HD168" s="324"/>
      <c r="HE168" s="324"/>
      <c r="HF168" s="324"/>
      <c r="HG168" s="324"/>
      <c r="HH168" s="324"/>
      <c r="HI168" s="324"/>
      <c r="HJ168" s="324"/>
      <c r="HK168" s="324"/>
      <c r="HL168" s="324"/>
      <c r="HM168" s="324"/>
      <c r="HN168" s="324"/>
      <c r="HO168" s="324"/>
      <c r="HP168" s="324"/>
      <c r="HQ168" s="324"/>
      <c r="HR168" s="324"/>
      <c r="HS168" s="324"/>
      <c r="HT168" s="324"/>
      <c r="HU168" s="324"/>
      <c r="HV168" s="324"/>
      <c r="HW168" s="324"/>
      <c r="HX168" s="324"/>
      <c r="HY168" s="324"/>
      <c r="HZ168" s="324"/>
      <c r="IA168" s="324"/>
      <c r="IB168" s="324"/>
      <c r="IC168" s="324"/>
      <c r="ID168" s="324"/>
      <c r="IE168" s="324"/>
      <c r="IF168" s="324"/>
      <c r="IG168" s="324"/>
      <c r="IH168" s="324"/>
      <c r="II168" s="324"/>
      <c r="IJ168" s="324"/>
      <c r="IK168" s="324"/>
      <c r="IL168" s="324"/>
      <c r="IM168" s="324"/>
    </row>
    <row r="169" spans="1:247" x14ac:dyDescent="0.35">
      <c r="A169" s="356">
        <v>7384</v>
      </c>
      <c r="B169" s="357" t="s">
        <v>2056</v>
      </c>
      <c r="C169" s="172" t="s">
        <v>8</v>
      </c>
      <c r="D169" s="358" t="s">
        <v>2051</v>
      </c>
      <c r="E169" s="336"/>
      <c r="F169" s="331">
        <f t="shared" si="29"/>
        <v>1.0209999999999999</v>
      </c>
      <c r="G169" s="337"/>
      <c r="H169" s="336"/>
      <c r="I169" s="338"/>
      <c r="J169" s="338"/>
      <c r="K169" s="338"/>
      <c r="L169" s="338"/>
      <c r="M169" s="338"/>
      <c r="N169" s="337"/>
      <c r="O169" s="339"/>
      <c r="P169" s="336"/>
      <c r="Q169" s="337"/>
      <c r="R169" s="340">
        <f t="shared" si="30"/>
        <v>1.0209999999999999</v>
      </c>
      <c r="S169" s="324"/>
      <c r="T169" s="324"/>
      <c r="U169" s="324"/>
      <c r="V169" s="324"/>
      <c r="W169" s="324"/>
      <c r="X169" s="324"/>
      <c r="Y169" s="324"/>
      <c r="Z169" s="324"/>
      <c r="AA169" s="324"/>
      <c r="AB169" s="324"/>
      <c r="AC169" s="324"/>
      <c r="AD169" s="324"/>
      <c r="AE169" s="324"/>
      <c r="AF169" s="324"/>
      <c r="AG169" s="324"/>
      <c r="AH169" s="324"/>
      <c r="AI169" s="324"/>
      <c r="AJ169" s="324"/>
      <c r="AK169" s="324"/>
      <c r="AL169" s="324"/>
      <c r="AM169" s="324"/>
      <c r="AN169" s="324"/>
      <c r="AO169" s="324"/>
      <c r="AP169" s="324"/>
      <c r="AQ169" s="324"/>
      <c r="AR169" s="324"/>
      <c r="AS169" s="324"/>
      <c r="AT169" s="324"/>
      <c r="AU169" s="324"/>
      <c r="AV169" s="324"/>
      <c r="AW169" s="324"/>
      <c r="AX169" s="324"/>
      <c r="AY169" s="324"/>
      <c r="AZ169" s="324"/>
      <c r="BA169" s="324"/>
      <c r="BB169" s="324"/>
      <c r="BC169" s="324"/>
      <c r="BD169" s="324"/>
      <c r="BE169" s="324"/>
      <c r="BF169" s="324"/>
      <c r="BG169" s="324"/>
      <c r="BH169" s="324"/>
      <c r="BI169" s="324"/>
      <c r="BJ169" s="324"/>
      <c r="BK169" s="324"/>
      <c r="BL169" s="324"/>
      <c r="BM169" s="324"/>
      <c r="BN169" s="324"/>
      <c r="BO169" s="324"/>
      <c r="BP169" s="324"/>
      <c r="BQ169" s="324"/>
      <c r="BR169" s="324"/>
      <c r="BS169" s="324"/>
      <c r="BT169" s="324"/>
      <c r="BU169" s="324"/>
      <c r="BV169" s="324"/>
      <c r="BW169" s="324"/>
      <c r="BX169" s="324"/>
      <c r="BY169" s="324"/>
      <c r="BZ169" s="324"/>
      <c r="CA169" s="324"/>
      <c r="CB169" s="324"/>
      <c r="CC169" s="324"/>
      <c r="CD169" s="324"/>
      <c r="CE169" s="324"/>
      <c r="CF169" s="324"/>
      <c r="CG169" s="324"/>
      <c r="CH169" s="324"/>
      <c r="CI169" s="324"/>
      <c r="CJ169" s="324"/>
      <c r="CK169" s="324"/>
      <c r="CL169" s="324"/>
      <c r="CM169" s="324"/>
      <c r="CN169" s="324"/>
      <c r="CO169" s="324"/>
      <c r="CP169" s="324"/>
      <c r="CQ169" s="324"/>
      <c r="CR169" s="324"/>
      <c r="CS169" s="324"/>
      <c r="CT169" s="324"/>
      <c r="CU169" s="324"/>
      <c r="CV169" s="324"/>
      <c r="CW169" s="324"/>
      <c r="CX169" s="324"/>
      <c r="CY169" s="324"/>
      <c r="CZ169" s="324"/>
      <c r="DA169" s="324"/>
      <c r="DB169" s="324"/>
      <c r="DC169" s="324"/>
      <c r="DD169" s="324"/>
      <c r="DE169" s="324"/>
      <c r="DF169" s="324"/>
      <c r="DG169" s="324"/>
      <c r="DH169" s="324"/>
      <c r="DI169" s="324"/>
      <c r="DJ169" s="324"/>
      <c r="DK169" s="324"/>
      <c r="DL169" s="324"/>
      <c r="DM169" s="324"/>
      <c r="DN169" s="324"/>
      <c r="DO169" s="324"/>
      <c r="DP169" s="324"/>
      <c r="DQ169" s="324"/>
      <c r="DR169" s="324"/>
      <c r="DS169" s="324"/>
      <c r="DT169" s="324"/>
      <c r="DU169" s="324"/>
      <c r="DV169" s="324"/>
      <c r="DW169" s="324"/>
      <c r="DX169" s="324"/>
      <c r="DY169" s="324"/>
      <c r="DZ169" s="324"/>
      <c r="EA169" s="324"/>
      <c r="EB169" s="324"/>
      <c r="EC169" s="324"/>
      <c r="ED169" s="324"/>
      <c r="EE169" s="324"/>
      <c r="EF169" s="324"/>
      <c r="EG169" s="324"/>
      <c r="EH169" s="324"/>
      <c r="EI169" s="324"/>
      <c r="EJ169" s="324"/>
      <c r="EK169" s="324"/>
      <c r="EL169" s="324"/>
      <c r="EM169" s="324"/>
      <c r="EN169" s="324"/>
      <c r="EO169" s="324"/>
      <c r="EP169" s="324"/>
      <c r="EQ169" s="324"/>
      <c r="ER169" s="324"/>
      <c r="ES169" s="324"/>
      <c r="ET169" s="324"/>
      <c r="EU169" s="324"/>
      <c r="EV169" s="324"/>
      <c r="EW169" s="324"/>
      <c r="EX169" s="324"/>
      <c r="EY169" s="324"/>
      <c r="EZ169" s="324"/>
      <c r="FA169" s="324"/>
      <c r="FB169" s="324"/>
      <c r="FC169" s="324"/>
      <c r="FD169" s="324"/>
      <c r="FE169" s="324"/>
      <c r="FF169" s="324"/>
      <c r="FG169" s="324"/>
      <c r="FH169" s="324"/>
      <c r="FI169" s="324"/>
      <c r="FJ169" s="324"/>
      <c r="FK169" s="324"/>
      <c r="FL169" s="324"/>
      <c r="FM169" s="324"/>
      <c r="FN169" s="324"/>
      <c r="FO169" s="324"/>
      <c r="FP169" s="324"/>
      <c r="FQ169" s="324"/>
      <c r="FR169" s="324"/>
      <c r="FS169" s="324"/>
      <c r="FT169" s="324"/>
      <c r="FU169" s="324"/>
      <c r="FV169" s="324"/>
      <c r="FW169" s="324"/>
      <c r="FX169" s="324"/>
      <c r="FY169" s="324"/>
      <c r="FZ169" s="324"/>
      <c r="GA169" s="324"/>
      <c r="GB169" s="324"/>
      <c r="GC169" s="324"/>
      <c r="GD169" s="324"/>
      <c r="GE169" s="324"/>
      <c r="GF169" s="324"/>
      <c r="GG169" s="324"/>
      <c r="GH169" s="324"/>
      <c r="GI169" s="324"/>
      <c r="GJ169" s="324"/>
      <c r="GK169" s="324"/>
      <c r="GL169" s="324"/>
      <c r="GM169" s="324"/>
      <c r="GN169" s="324"/>
      <c r="GO169" s="324"/>
      <c r="GP169" s="324"/>
      <c r="GQ169" s="324"/>
      <c r="GR169" s="324"/>
      <c r="GS169" s="324"/>
      <c r="GT169" s="324"/>
      <c r="GU169" s="324"/>
      <c r="GV169" s="324"/>
      <c r="GW169" s="324"/>
      <c r="GX169" s="324"/>
      <c r="GY169" s="324"/>
      <c r="GZ169" s="324"/>
      <c r="HA169" s="324"/>
      <c r="HB169" s="324"/>
      <c r="HC169" s="324"/>
      <c r="HD169" s="324"/>
      <c r="HE169" s="324"/>
      <c r="HF169" s="324"/>
      <c r="HG169" s="324"/>
      <c r="HH169" s="324"/>
      <c r="HI169" s="324"/>
      <c r="HJ169" s="324"/>
      <c r="HK169" s="324"/>
      <c r="HL169" s="324"/>
      <c r="HM169" s="324"/>
      <c r="HN169" s="324"/>
      <c r="HO169" s="324"/>
      <c r="HP169" s="324"/>
      <c r="HQ169" s="324"/>
      <c r="HR169" s="324"/>
      <c r="HS169" s="324"/>
      <c r="HT169" s="324"/>
      <c r="HU169" s="324"/>
      <c r="HV169" s="324"/>
      <c r="HW169" s="324"/>
      <c r="HX169" s="324"/>
      <c r="HY169" s="324"/>
      <c r="HZ169" s="324"/>
      <c r="IA169" s="324"/>
      <c r="IB169" s="324"/>
      <c r="IC169" s="324"/>
      <c r="ID169" s="324"/>
      <c r="IE169" s="324"/>
      <c r="IF169" s="324"/>
      <c r="IG169" s="324"/>
      <c r="IH169" s="324"/>
      <c r="II169" s="324"/>
      <c r="IJ169" s="324"/>
      <c r="IK169" s="324"/>
      <c r="IL169" s="324"/>
      <c r="IM169" s="324"/>
    </row>
    <row r="170" spans="1:247" x14ac:dyDescent="0.35">
      <c r="A170" s="356">
        <v>7385</v>
      </c>
      <c r="B170" s="357" t="s">
        <v>174</v>
      </c>
      <c r="C170" s="172" t="s">
        <v>8</v>
      </c>
      <c r="D170" s="358" t="s">
        <v>2053</v>
      </c>
      <c r="E170" s="336">
        <f>+$E$3</f>
        <v>1.0740000000000001</v>
      </c>
      <c r="F170" s="331">
        <f t="shared" si="29"/>
        <v>1.0209999999999999</v>
      </c>
      <c r="G170" s="337"/>
      <c r="H170" s="336"/>
      <c r="I170" s="338"/>
      <c r="J170" s="338"/>
      <c r="K170" s="338"/>
      <c r="L170" s="338">
        <f>+$L$3</f>
        <v>1.0129999999999999</v>
      </c>
      <c r="M170" s="338"/>
      <c r="N170" s="337">
        <f>+$N$3</f>
        <v>1.0029999999999999</v>
      </c>
      <c r="O170" s="339"/>
      <c r="P170" s="336"/>
      <c r="Q170" s="337"/>
      <c r="R170" s="340">
        <f t="shared" si="30"/>
        <v>1.1141416296059998</v>
      </c>
      <c r="S170" s="324"/>
      <c r="T170" s="324"/>
      <c r="U170" s="324"/>
      <c r="V170" s="324"/>
      <c r="W170" s="324"/>
      <c r="X170" s="324"/>
      <c r="Y170" s="324"/>
      <c r="Z170" s="324"/>
      <c r="AA170" s="324"/>
      <c r="AB170" s="324"/>
      <c r="AC170" s="324"/>
      <c r="AD170" s="324"/>
      <c r="AE170" s="324"/>
      <c r="AF170" s="324"/>
      <c r="AG170" s="324"/>
      <c r="AH170" s="324"/>
      <c r="AI170" s="324"/>
      <c r="AJ170" s="324"/>
      <c r="AK170" s="324"/>
      <c r="AL170" s="324"/>
      <c r="AM170" s="324"/>
      <c r="AN170" s="324"/>
      <c r="AO170" s="324"/>
      <c r="AP170" s="324"/>
      <c r="AQ170" s="324"/>
      <c r="AR170" s="324"/>
      <c r="AS170" s="324"/>
      <c r="AT170" s="324"/>
      <c r="AU170" s="324"/>
      <c r="AV170" s="324"/>
      <c r="AW170" s="324"/>
      <c r="AX170" s="324"/>
      <c r="AY170" s="324"/>
      <c r="AZ170" s="324"/>
      <c r="BA170" s="324"/>
      <c r="BB170" s="324"/>
      <c r="BC170" s="324"/>
      <c r="BD170" s="324"/>
      <c r="BE170" s="324"/>
      <c r="BF170" s="324"/>
      <c r="BG170" s="324"/>
      <c r="BH170" s="324"/>
      <c r="BI170" s="324"/>
      <c r="BJ170" s="324"/>
      <c r="BK170" s="324"/>
      <c r="BL170" s="324"/>
      <c r="BM170" s="324"/>
      <c r="BN170" s="324"/>
      <c r="BO170" s="324"/>
      <c r="BP170" s="324"/>
      <c r="BQ170" s="324"/>
      <c r="BR170" s="324"/>
      <c r="BS170" s="324"/>
      <c r="BT170" s="324"/>
      <c r="BU170" s="324"/>
      <c r="BV170" s="324"/>
      <c r="BW170" s="324"/>
      <c r="BX170" s="324"/>
      <c r="BY170" s="324"/>
      <c r="BZ170" s="324"/>
      <c r="CA170" s="324"/>
      <c r="CB170" s="324"/>
      <c r="CC170" s="324"/>
      <c r="CD170" s="324"/>
      <c r="CE170" s="324"/>
      <c r="CF170" s="324"/>
      <c r="CG170" s="324"/>
      <c r="CH170" s="324"/>
      <c r="CI170" s="324"/>
      <c r="CJ170" s="324"/>
      <c r="CK170" s="324"/>
      <c r="CL170" s="324"/>
      <c r="CM170" s="324"/>
      <c r="CN170" s="324"/>
      <c r="CO170" s="324"/>
      <c r="CP170" s="324"/>
      <c r="CQ170" s="324"/>
      <c r="CR170" s="324"/>
      <c r="CS170" s="324"/>
      <c r="CT170" s="324"/>
      <c r="CU170" s="324"/>
      <c r="CV170" s="324"/>
      <c r="CW170" s="324"/>
      <c r="CX170" s="324"/>
      <c r="CY170" s="324"/>
      <c r="CZ170" s="324"/>
      <c r="DA170" s="324"/>
      <c r="DB170" s="324"/>
      <c r="DC170" s="324"/>
      <c r="DD170" s="324"/>
      <c r="DE170" s="324"/>
      <c r="DF170" s="324"/>
      <c r="DG170" s="324"/>
      <c r="DH170" s="324"/>
      <c r="DI170" s="324"/>
      <c r="DJ170" s="324"/>
      <c r="DK170" s="324"/>
      <c r="DL170" s="324"/>
      <c r="DM170" s="324"/>
      <c r="DN170" s="324"/>
      <c r="DO170" s="324"/>
      <c r="DP170" s="324"/>
      <c r="DQ170" s="324"/>
      <c r="DR170" s="324"/>
      <c r="DS170" s="324"/>
      <c r="DT170" s="324"/>
      <c r="DU170" s="324"/>
      <c r="DV170" s="324"/>
      <c r="DW170" s="324"/>
      <c r="DX170" s="324"/>
      <c r="DY170" s="324"/>
      <c r="DZ170" s="324"/>
      <c r="EA170" s="324"/>
      <c r="EB170" s="324"/>
      <c r="EC170" s="324"/>
      <c r="ED170" s="324"/>
      <c r="EE170" s="324"/>
      <c r="EF170" s="324"/>
      <c r="EG170" s="324"/>
      <c r="EH170" s="324"/>
      <c r="EI170" s="324"/>
      <c r="EJ170" s="324"/>
      <c r="EK170" s="324"/>
      <c r="EL170" s="324"/>
      <c r="EM170" s="324"/>
      <c r="EN170" s="324"/>
      <c r="EO170" s="324"/>
      <c r="EP170" s="324"/>
      <c r="EQ170" s="324"/>
      <c r="ER170" s="324"/>
      <c r="ES170" s="324"/>
      <c r="ET170" s="324"/>
      <c r="EU170" s="324"/>
      <c r="EV170" s="324"/>
      <c r="EW170" s="324"/>
      <c r="EX170" s="324"/>
      <c r="EY170" s="324"/>
      <c r="EZ170" s="324"/>
      <c r="FA170" s="324"/>
      <c r="FB170" s="324"/>
      <c r="FC170" s="324"/>
      <c r="FD170" s="324"/>
      <c r="FE170" s="324"/>
      <c r="FF170" s="324"/>
      <c r="FG170" s="324"/>
      <c r="FH170" s="324"/>
      <c r="FI170" s="324"/>
      <c r="FJ170" s="324"/>
      <c r="FK170" s="324"/>
      <c r="FL170" s="324"/>
      <c r="FM170" s="324"/>
      <c r="FN170" s="324"/>
      <c r="FO170" s="324"/>
      <c r="FP170" s="324"/>
      <c r="FQ170" s="324"/>
      <c r="FR170" s="324"/>
      <c r="FS170" s="324"/>
      <c r="FT170" s="324"/>
      <c r="FU170" s="324"/>
      <c r="FV170" s="324"/>
      <c r="FW170" s="324"/>
      <c r="FX170" s="324"/>
      <c r="FY170" s="324"/>
      <c r="FZ170" s="324"/>
      <c r="GA170" s="324"/>
      <c r="GB170" s="324"/>
      <c r="GC170" s="324"/>
      <c r="GD170" s="324"/>
      <c r="GE170" s="324"/>
      <c r="GF170" s="324"/>
      <c r="GG170" s="324"/>
      <c r="GH170" s="324"/>
      <c r="GI170" s="324"/>
      <c r="GJ170" s="324"/>
      <c r="GK170" s="324"/>
      <c r="GL170" s="324"/>
      <c r="GM170" s="324"/>
      <c r="GN170" s="324"/>
      <c r="GO170" s="324"/>
      <c r="GP170" s="324"/>
      <c r="GQ170" s="324"/>
      <c r="GR170" s="324"/>
      <c r="GS170" s="324"/>
      <c r="GT170" s="324"/>
      <c r="GU170" s="324"/>
      <c r="GV170" s="324"/>
      <c r="GW170" s="324"/>
      <c r="GX170" s="324"/>
      <c r="GY170" s="324"/>
      <c r="GZ170" s="324"/>
      <c r="HA170" s="324"/>
      <c r="HB170" s="324"/>
      <c r="HC170" s="324"/>
      <c r="HD170" s="324"/>
      <c r="HE170" s="324"/>
      <c r="HF170" s="324"/>
      <c r="HG170" s="324"/>
      <c r="HH170" s="324"/>
      <c r="HI170" s="324"/>
      <c r="HJ170" s="324"/>
      <c r="HK170" s="324"/>
      <c r="HL170" s="324"/>
      <c r="HM170" s="324"/>
      <c r="HN170" s="324"/>
      <c r="HO170" s="324"/>
      <c r="HP170" s="324"/>
      <c r="HQ170" s="324"/>
      <c r="HR170" s="324"/>
      <c r="HS170" s="324"/>
      <c r="HT170" s="324"/>
      <c r="HU170" s="324"/>
      <c r="HV170" s="324"/>
      <c r="HW170" s="324"/>
      <c r="HX170" s="324"/>
      <c r="HY170" s="324"/>
      <c r="HZ170" s="324"/>
      <c r="IA170" s="324"/>
      <c r="IB170" s="324"/>
      <c r="IC170" s="324"/>
      <c r="ID170" s="324"/>
      <c r="IE170" s="324"/>
      <c r="IF170" s="324"/>
      <c r="IG170" s="324"/>
      <c r="IH170" s="324"/>
      <c r="II170" s="324"/>
      <c r="IJ170" s="324"/>
      <c r="IK170" s="324"/>
      <c r="IL170" s="324"/>
      <c r="IM170" s="324"/>
    </row>
    <row r="171" spans="1:247" x14ac:dyDescent="0.35">
      <c r="A171" s="356">
        <v>7386</v>
      </c>
      <c r="B171" s="357" t="s">
        <v>175</v>
      </c>
      <c r="C171" s="172" t="s">
        <v>8</v>
      </c>
      <c r="D171" s="358" t="s">
        <v>2053</v>
      </c>
      <c r="E171" s="336">
        <f>+$E$3</f>
        <v>1.0740000000000001</v>
      </c>
      <c r="F171" s="331">
        <f t="shared" si="29"/>
        <v>1.0209999999999999</v>
      </c>
      <c r="G171" s="337">
        <f>+$G$3</f>
        <v>1.0269999999999999</v>
      </c>
      <c r="H171" s="336">
        <f>+$H$3</f>
        <v>1.0029999999999999</v>
      </c>
      <c r="I171" s="338">
        <f>+$I$3</f>
        <v>1.0289999999999999</v>
      </c>
      <c r="J171" s="338">
        <f>+$J$3</f>
        <v>1.0049999999999999</v>
      </c>
      <c r="K171" s="338">
        <f>+$K$3</f>
        <v>1.026</v>
      </c>
      <c r="L171" s="338">
        <f>+$L$3</f>
        <v>1.0129999999999999</v>
      </c>
      <c r="M171" s="338">
        <f>+$M$3</f>
        <v>1.0029999999999999</v>
      </c>
      <c r="N171" s="337">
        <f>+$N$3</f>
        <v>1.0029999999999999</v>
      </c>
      <c r="O171" s="339">
        <f>+$O$3</f>
        <v>1.0209999999999999</v>
      </c>
      <c r="P171" s="336">
        <f>+$P$3</f>
        <v>1.032</v>
      </c>
      <c r="Q171" s="337">
        <f>+$Q$3</f>
        <v>1.0349999999999999</v>
      </c>
      <c r="R171" s="340">
        <f t="shared" si="30"/>
        <v>1.3319480854780448</v>
      </c>
      <c r="S171" s="324"/>
      <c r="T171" s="324"/>
      <c r="U171" s="324"/>
      <c r="V171" s="324"/>
      <c r="W171" s="324"/>
      <c r="X171" s="324"/>
      <c r="Y171" s="324"/>
      <c r="Z171" s="324"/>
      <c r="AA171" s="324"/>
      <c r="AB171" s="324"/>
      <c r="AC171" s="324"/>
      <c r="AD171" s="324"/>
      <c r="AE171" s="324"/>
      <c r="AF171" s="324"/>
      <c r="AG171" s="324"/>
      <c r="AH171" s="324"/>
      <c r="AI171" s="324"/>
      <c r="AJ171" s="324"/>
      <c r="AK171" s="324"/>
      <c r="AL171" s="324"/>
      <c r="AM171" s="324"/>
      <c r="AN171" s="324"/>
      <c r="AO171" s="324"/>
      <c r="AP171" s="324"/>
      <c r="AQ171" s="324"/>
      <c r="AR171" s="324"/>
      <c r="AS171" s="324"/>
      <c r="AT171" s="324"/>
      <c r="AU171" s="324"/>
      <c r="AV171" s="324"/>
      <c r="AW171" s="324"/>
      <c r="AX171" s="324"/>
      <c r="AY171" s="324"/>
      <c r="AZ171" s="324"/>
      <c r="BA171" s="324"/>
      <c r="BB171" s="324"/>
      <c r="BC171" s="324"/>
      <c r="BD171" s="324"/>
      <c r="BE171" s="324"/>
      <c r="BF171" s="324"/>
      <c r="BG171" s="324"/>
      <c r="BH171" s="324"/>
      <c r="BI171" s="324"/>
      <c r="BJ171" s="324"/>
      <c r="BK171" s="324"/>
      <c r="BL171" s="324"/>
      <c r="BM171" s="324"/>
      <c r="BN171" s="324"/>
      <c r="BO171" s="324"/>
      <c r="BP171" s="324"/>
      <c r="BQ171" s="324"/>
      <c r="BR171" s="324"/>
      <c r="BS171" s="324"/>
      <c r="BT171" s="324"/>
      <c r="BU171" s="324"/>
      <c r="BV171" s="324"/>
      <c r="BW171" s="324"/>
      <c r="BX171" s="324"/>
      <c r="BY171" s="324"/>
      <c r="BZ171" s="324"/>
      <c r="CA171" s="324"/>
      <c r="CB171" s="324"/>
      <c r="CC171" s="324"/>
      <c r="CD171" s="324"/>
      <c r="CE171" s="324"/>
      <c r="CF171" s="324"/>
      <c r="CG171" s="324"/>
      <c r="CH171" s="324"/>
      <c r="CI171" s="324"/>
      <c r="CJ171" s="324"/>
      <c r="CK171" s="324"/>
      <c r="CL171" s="324"/>
      <c r="CM171" s="324"/>
      <c r="CN171" s="324"/>
      <c r="CO171" s="324"/>
      <c r="CP171" s="324"/>
      <c r="CQ171" s="324"/>
      <c r="CR171" s="324"/>
      <c r="CS171" s="324"/>
      <c r="CT171" s="324"/>
      <c r="CU171" s="324"/>
      <c r="CV171" s="324"/>
      <c r="CW171" s="324"/>
      <c r="CX171" s="324"/>
      <c r="CY171" s="324"/>
      <c r="CZ171" s="324"/>
      <c r="DA171" s="324"/>
      <c r="DB171" s="324"/>
      <c r="DC171" s="324"/>
      <c r="DD171" s="324"/>
      <c r="DE171" s="324"/>
      <c r="DF171" s="324"/>
      <c r="DG171" s="324"/>
      <c r="DH171" s="324"/>
      <c r="DI171" s="324"/>
      <c r="DJ171" s="324"/>
      <c r="DK171" s="324"/>
      <c r="DL171" s="324"/>
      <c r="DM171" s="324"/>
      <c r="DN171" s="324"/>
      <c r="DO171" s="324"/>
      <c r="DP171" s="324"/>
      <c r="DQ171" s="324"/>
      <c r="DR171" s="324"/>
      <c r="DS171" s="324"/>
      <c r="DT171" s="324"/>
      <c r="DU171" s="324"/>
      <c r="DV171" s="324"/>
      <c r="DW171" s="324"/>
      <c r="DX171" s="324"/>
      <c r="DY171" s="324"/>
      <c r="DZ171" s="324"/>
      <c r="EA171" s="324"/>
      <c r="EB171" s="324"/>
      <c r="EC171" s="324"/>
      <c r="ED171" s="324"/>
      <c r="EE171" s="324"/>
      <c r="EF171" s="324"/>
      <c r="EG171" s="324"/>
      <c r="EH171" s="324"/>
      <c r="EI171" s="324"/>
      <c r="EJ171" s="324"/>
      <c r="EK171" s="324"/>
      <c r="EL171" s="324"/>
      <c r="EM171" s="324"/>
      <c r="EN171" s="324"/>
      <c r="EO171" s="324"/>
      <c r="EP171" s="324"/>
      <c r="EQ171" s="324"/>
      <c r="ER171" s="324"/>
      <c r="ES171" s="324"/>
      <c r="ET171" s="324"/>
      <c r="EU171" s="324"/>
      <c r="EV171" s="324"/>
      <c r="EW171" s="324"/>
      <c r="EX171" s="324"/>
      <c r="EY171" s="324"/>
      <c r="EZ171" s="324"/>
      <c r="FA171" s="324"/>
      <c r="FB171" s="324"/>
      <c r="FC171" s="324"/>
      <c r="FD171" s="324"/>
      <c r="FE171" s="324"/>
      <c r="FF171" s="324"/>
      <c r="FG171" s="324"/>
      <c r="FH171" s="324"/>
      <c r="FI171" s="324"/>
      <c r="FJ171" s="324"/>
      <c r="FK171" s="324"/>
      <c r="FL171" s="324"/>
      <c r="FM171" s="324"/>
      <c r="FN171" s="324"/>
      <c r="FO171" s="324"/>
      <c r="FP171" s="324"/>
      <c r="FQ171" s="324"/>
      <c r="FR171" s="324"/>
      <c r="FS171" s="324"/>
      <c r="FT171" s="324"/>
      <c r="FU171" s="324"/>
      <c r="FV171" s="324"/>
      <c r="FW171" s="324"/>
      <c r="FX171" s="324"/>
      <c r="FY171" s="324"/>
      <c r="FZ171" s="324"/>
      <c r="GA171" s="324"/>
      <c r="GB171" s="324"/>
      <c r="GC171" s="324"/>
      <c r="GD171" s="324"/>
      <c r="GE171" s="324"/>
      <c r="GF171" s="324"/>
      <c r="GG171" s="324"/>
      <c r="GH171" s="324"/>
      <c r="GI171" s="324"/>
      <c r="GJ171" s="324"/>
      <c r="GK171" s="324"/>
      <c r="GL171" s="324"/>
      <c r="GM171" s="324"/>
      <c r="GN171" s="324"/>
      <c r="GO171" s="324"/>
      <c r="GP171" s="324"/>
      <c r="GQ171" s="324"/>
      <c r="GR171" s="324"/>
      <c r="GS171" s="324"/>
      <c r="GT171" s="324"/>
      <c r="GU171" s="324"/>
      <c r="GV171" s="324"/>
      <c r="GW171" s="324"/>
      <c r="GX171" s="324"/>
      <c r="GY171" s="324"/>
      <c r="GZ171" s="324"/>
      <c r="HA171" s="324"/>
      <c r="HB171" s="324"/>
      <c r="HC171" s="324"/>
      <c r="HD171" s="324"/>
      <c r="HE171" s="324"/>
      <c r="HF171" s="324"/>
      <c r="HG171" s="324"/>
      <c r="HH171" s="324"/>
      <c r="HI171" s="324"/>
      <c r="HJ171" s="324"/>
      <c r="HK171" s="324"/>
      <c r="HL171" s="324"/>
      <c r="HM171" s="324"/>
      <c r="HN171" s="324"/>
      <c r="HO171" s="324"/>
      <c r="HP171" s="324"/>
      <c r="HQ171" s="324"/>
      <c r="HR171" s="324"/>
      <c r="HS171" s="324"/>
      <c r="HT171" s="324"/>
      <c r="HU171" s="324"/>
      <c r="HV171" s="324"/>
      <c r="HW171" s="324"/>
      <c r="HX171" s="324"/>
      <c r="HY171" s="324"/>
      <c r="HZ171" s="324"/>
      <c r="IA171" s="324"/>
      <c r="IB171" s="324"/>
      <c r="IC171" s="324"/>
      <c r="ID171" s="324"/>
      <c r="IE171" s="324"/>
      <c r="IF171" s="324"/>
      <c r="IG171" s="324"/>
      <c r="IH171" s="324"/>
      <c r="II171" s="324"/>
      <c r="IJ171" s="324"/>
      <c r="IK171" s="324"/>
      <c r="IL171" s="324"/>
      <c r="IM171" s="324"/>
    </row>
    <row r="172" spans="1:247" x14ac:dyDescent="0.35">
      <c r="A172" s="356">
        <v>7387</v>
      </c>
      <c r="B172" s="357" t="s">
        <v>176</v>
      </c>
      <c r="C172" s="172" t="s">
        <v>8</v>
      </c>
      <c r="D172" s="358" t="s">
        <v>2053</v>
      </c>
      <c r="E172" s="336"/>
      <c r="F172" s="331">
        <f t="shared" si="29"/>
        <v>1.0209999999999999</v>
      </c>
      <c r="G172" s="337"/>
      <c r="H172" s="336"/>
      <c r="I172" s="338"/>
      <c r="J172" s="338"/>
      <c r="K172" s="338"/>
      <c r="L172" s="338"/>
      <c r="M172" s="338"/>
      <c r="N172" s="337"/>
      <c r="O172" s="339"/>
      <c r="P172" s="336"/>
      <c r="Q172" s="337"/>
      <c r="R172" s="340">
        <f t="shared" si="30"/>
        <v>1.0209999999999999</v>
      </c>
      <c r="S172" s="324"/>
      <c r="T172" s="324"/>
      <c r="U172" s="324"/>
      <c r="V172" s="324"/>
      <c r="W172" s="324"/>
      <c r="X172" s="324"/>
      <c r="Y172" s="324"/>
      <c r="Z172" s="324"/>
      <c r="AA172" s="324"/>
      <c r="AB172" s="324"/>
      <c r="AC172" s="324"/>
      <c r="AD172" s="324"/>
      <c r="AE172" s="324"/>
      <c r="AF172" s="324"/>
      <c r="AG172" s="324"/>
      <c r="AH172" s="324"/>
      <c r="AI172" s="324"/>
      <c r="AJ172" s="324"/>
      <c r="AK172" s="324"/>
      <c r="AL172" s="324"/>
      <c r="AM172" s="324"/>
      <c r="AN172" s="324"/>
      <c r="AO172" s="324"/>
      <c r="AP172" s="324"/>
      <c r="AQ172" s="324"/>
      <c r="AR172" s="324"/>
      <c r="AS172" s="324"/>
      <c r="AT172" s="324"/>
      <c r="AU172" s="324"/>
      <c r="AV172" s="324"/>
      <c r="AW172" s="324"/>
      <c r="AX172" s="324"/>
      <c r="AY172" s="324"/>
      <c r="AZ172" s="324"/>
      <c r="BA172" s="324"/>
      <c r="BB172" s="324"/>
      <c r="BC172" s="324"/>
      <c r="BD172" s="324"/>
      <c r="BE172" s="324"/>
      <c r="BF172" s="324"/>
      <c r="BG172" s="324"/>
      <c r="BH172" s="324"/>
      <c r="BI172" s="324"/>
      <c r="BJ172" s="324"/>
      <c r="BK172" s="324"/>
      <c r="BL172" s="324"/>
      <c r="BM172" s="324"/>
      <c r="BN172" s="324"/>
      <c r="BO172" s="324"/>
      <c r="BP172" s="324"/>
      <c r="BQ172" s="324"/>
      <c r="BR172" s="324"/>
      <c r="BS172" s="324"/>
      <c r="BT172" s="324"/>
      <c r="BU172" s="324"/>
      <c r="BV172" s="324"/>
      <c r="BW172" s="324"/>
      <c r="BX172" s="324"/>
      <c r="BY172" s="324"/>
      <c r="BZ172" s="324"/>
      <c r="CA172" s="324"/>
      <c r="CB172" s="324"/>
      <c r="CC172" s="324"/>
      <c r="CD172" s="324"/>
      <c r="CE172" s="324"/>
      <c r="CF172" s="324"/>
      <c r="CG172" s="324"/>
      <c r="CH172" s="324"/>
      <c r="CI172" s="324"/>
      <c r="CJ172" s="324"/>
      <c r="CK172" s="324"/>
      <c r="CL172" s="324"/>
      <c r="CM172" s="324"/>
      <c r="CN172" s="324"/>
      <c r="CO172" s="324"/>
      <c r="CP172" s="324"/>
      <c r="CQ172" s="324"/>
      <c r="CR172" s="324"/>
      <c r="CS172" s="324"/>
      <c r="CT172" s="324"/>
      <c r="CU172" s="324"/>
      <c r="CV172" s="324"/>
      <c r="CW172" s="324"/>
      <c r="CX172" s="324"/>
      <c r="CY172" s="324"/>
      <c r="CZ172" s="324"/>
      <c r="DA172" s="324"/>
      <c r="DB172" s="324"/>
      <c r="DC172" s="324"/>
      <c r="DD172" s="324"/>
      <c r="DE172" s="324"/>
      <c r="DF172" s="324"/>
      <c r="DG172" s="324"/>
      <c r="DH172" s="324"/>
      <c r="DI172" s="324"/>
      <c r="DJ172" s="324"/>
      <c r="DK172" s="324"/>
      <c r="DL172" s="324"/>
      <c r="DM172" s="324"/>
      <c r="DN172" s="324"/>
      <c r="DO172" s="324"/>
      <c r="DP172" s="324"/>
      <c r="DQ172" s="324"/>
      <c r="DR172" s="324"/>
      <c r="DS172" s="324"/>
      <c r="DT172" s="324"/>
      <c r="DU172" s="324"/>
      <c r="DV172" s="324"/>
      <c r="DW172" s="324"/>
      <c r="DX172" s="324"/>
      <c r="DY172" s="324"/>
      <c r="DZ172" s="324"/>
      <c r="EA172" s="324"/>
      <c r="EB172" s="324"/>
      <c r="EC172" s="324"/>
      <c r="ED172" s="324"/>
      <c r="EE172" s="324"/>
      <c r="EF172" s="324"/>
      <c r="EG172" s="324"/>
      <c r="EH172" s="324"/>
      <c r="EI172" s="324"/>
      <c r="EJ172" s="324"/>
      <c r="EK172" s="324"/>
      <c r="EL172" s="324"/>
      <c r="EM172" s="324"/>
      <c r="EN172" s="324"/>
      <c r="EO172" s="324"/>
      <c r="EP172" s="324"/>
      <c r="EQ172" s="324"/>
      <c r="ER172" s="324"/>
      <c r="ES172" s="324"/>
      <c r="ET172" s="324"/>
      <c r="EU172" s="324"/>
      <c r="EV172" s="324"/>
      <c r="EW172" s="324"/>
      <c r="EX172" s="324"/>
      <c r="EY172" s="324"/>
      <c r="EZ172" s="324"/>
      <c r="FA172" s="324"/>
      <c r="FB172" s="324"/>
      <c r="FC172" s="324"/>
      <c r="FD172" s="324"/>
      <c r="FE172" s="324"/>
      <c r="FF172" s="324"/>
      <c r="FG172" s="324"/>
      <c r="FH172" s="324"/>
      <c r="FI172" s="324"/>
      <c r="FJ172" s="324"/>
      <c r="FK172" s="324"/>
      <c r="FL172" s="324"/>
      <c r="FM172" s="324"/>
      <c r="FN172" s="324"/>
      <c r="FO172" s="324"/>
      <c r="FP172" s="324"/>
      <c r="FQ172" s="324"/>
      <c r="FR172" s="324"/>
      <c r="FS172" s="324"/>
      <c r="FT172" s="324"/>
      <c r="FU172" s="324"/>
      <c r="FV172" s="324"/>
      <c r="FW172" s="324"/>
      <c r="FX172" s="324"/>
      <c r="FY172" s="324"/>
      <c r="FZ172" s="324"/>
      <c r="GA172" s="324"/>
      <c r="GB172" s="324"/>
      <c r="GC172" s="324"/>
      <c r="GD172" s="324"/>
      <c r="GE172" s="324"/>
      <c r="GF172" s="324"/>
      <c r="GG172" s="324"/>
      <c r="GH172" s="324"/>
      <c r="GI172" s="324"/>
      <c r="GJ172" s="324"/>
      <c r="GK172" s="324"/>
      <c r="GL172" s="324"/>
      <c r="GM172" s="324"/>
      <c r="GN172" s="324"/>
      <c r="GO172" s="324"/>
      <c r="GP172" s="324"/>
      <c r="GQ172" s="324"/>
      <c r="GR172" s="324"/>
      <c r="GS172" s="324"/>
      <c r="GT172" s="324"/>
      <c r="GU172" s="324"/>
      <c r="GV172" s="324"/>
      <c r="GW172" s="324"/>
      <c r="GX172" s="324"/>
      <c r="GY172" s="324"/>
      <c r="GZ172" s="324"/>
      <c r="HA172" s="324"/>
      <c r="HB172" s="324"/>
      <c r="HC172" s="324"/>
      <c r="HD172" s="324"/>
      <c r="HE172" s="324"/>
      <c r="HF172" s="324"/>
      <c r="HG172" s="324"/>
      <c r="HH172" s="324"/>
      <c r="HI172" s="324"/>
      <c r="HJ172" s="324"/>
      <c r="HK172" s="324"/>
      <c r="HL172" s="324"/>
      <c r="HM172" s="324"/>
      <c r="HN172" s="324"/>
      <c r="HO172" s="324"/>
      <c r="HP172" s="324"/>
      <c r="HQ172" s="324"/>
      <c r="HR172" s="324"/>
      <c r="HS172" s="324"/>
      <c r="HT172" s="324"/>
      <c r="HU172" s="324"/>
      <c r="HV172" s="324"/>
      <c r="HW172" s="324"/>
      <c r="HX172" s="324"/>
      <c r="HY172" s="324"/>
      <c r="HZ172" s="324"/>
      <c r="IA172" s="324"/>
      <c r="IB172" s="324"/>
      <c r="IC172" s="324"/>
      <c r="ID172" s="324"/>
      <c r="IE172" s="324"/>
      <c r="IF172" s="324"/>
      <c r="IG172" s="324"/>
      <c r="IH172" s="324"/>
      <c r="II172" s="324"/>
      <c r="IJ172" s="324"/>
      <c r="IK172" s="324"/>
      <c r="IL172" s="324"/>
      <c r="IM172" s="324"/>
    </row>
    <row r="173" spans="1:247" x14ac:dyDescent="0.35">
      <c r="A173" s="356">
        <v>7389</v>
      </c>
      <c r="B173" s="357" t="s">
        <v>2411</v>
      </c>
      <c r="C173" s="172" t="s">
        <v>8</v>
      </c>
      <c r="D173" s="358" t="s">
        <v>2053</v>
      </c>
      <c r="E173" s="336"/>
      <c r="F173" s="331" t="s">
        <v>2412</v>
      </c>
      <c r="G173" s="337"/>
      <c r="H173" s="336"/>
      <c r="I173" s="338"/>
      <c r="J173" s="338"/>
      <c r="K173" s="338"/>
      <c r="L173" s="338"/>
      <c r="M173" s="338"/>
      <c r="N173" s="337"/>
      <c r="O173" s="339"/>
      <c r="P173" s="336"/>
      <c r="Q173" s="337"/>
      <c r="R173" s="340">
        <v>1.0209999999999999</v>
      </c>
      <c r="S173" s="324"/>
      <c r="T173" s="324"/>
      <c r="U173" s="324"/>
      <c r="V173" s="324"/>
      <c r="W173" s="324"/>
      <c r="X173" s="324"/>
      <c r="Y173" s="324"/>
      <c r="Z173" s="324"/>
      <c r="AA173" s="324"/>
      <c r="AB173" s="324"/>
      <c r="AC173" s="324"/>
      <c r="AD173" s="324"/>
      <c r="AE173" s="324"/>
      <c r="AF173" s="324"/>
      <c r="AG173" s="324"/>
      <c r="AH173" s="324"/>
      <c r="AI173" s="324"/>
      <c r="AJ173" s="324"/>
      <c r="AK173" s="324"/>
      <c r="AL173" s="324"/>
      <c r="AM173" s="324"/>
      <c r="AN173" s="324"/>
      <c r="AO173" s="324"/>
      <c r="AP173" s="324"/>
      <c r="AQ173" s="324"/>
      <c r="AR173" s="324"/>
      <c r="AS173" s="324"/>
      <c r="AT173" s="324"/>
      <c r="AU173" s="324"/>
      <c r="AV173" s="324"/>
      <c r="AW173" s="324"/>
      <c r="AX173" s="324"/>
      <c r="AY173" s="324"/>
      <c r="AZ173" s="324"/>
      <c r="BA173" s="324"/>
      <c r="BB173" s="324"/>
      <c r="BC173" s="324"/>
      <c r="BD173" s="324"/>
      <c r="BE173" s="324"/>
      <c r="BF173" s="324"/>
      <c r="BG173" s="324"/>
      <c r="BH173" s="324"/>
      <c r="BI173" s="324"/>
      <c r="BJ173" s="324"/>
      <c r="BK173" s="324"/>
      <c r="BL173" s="324"/>
      <c r="BM173" s="324"/>
      <c r="BN173" s="324"/>
      <c r="BO173" s="324"/>
      <c r="BP173" s="324"/>
      <c r="BQ173" s="324"/>
      <c r="BR173" s="324"/>
      <c r="BS173" s="324"/>
      <c r="BT173" s="324"/>
      <c r="BU173" s="324"/>
      <c r="BV173" s="324"/>
      <c r="BW173" s="324"/>
      <c r="BX173" s="324"/>
      <c r="BY173" s="324"/>
      <c r="BZ173" s="324"/>
      <c r="CA173" s="324"/>
      <c r="CB173" s="324"/>
      <c r="CC173" s="324"/>
      <c r="CD173" s="324"/>
      <c r="CE173" s="324"/>
      <c r="CF173" s="324"/>
      <c r="CG173" s="324"/>
      <c r="CH173" s="324"/>
      <c r="CI173" s="324"/>
      <c r="CJ173" s="324"/>
      <c r="CK173" s="324"/>
      <c r="CL173" s="324"/>
      <c r="CM173" s="324"/>
      <c r="CN173" s="324"/>
      <c r="CO173" s="324"/>
      <c r="CP173" s="324"/>
      <c r="CQ173" s="324"/>
      <c r="CR173" s="324"/>
      <c r="CS173" s="324"/>
      <c r="CT173" s="324"/>
      <c r="CU173" s="324"/>
      <c r="CV173" s="324"/>
      <c r="CW173" s="324"/>
      <c r="CX173" s="324"/>
      <c r="CY173" s="324"/>
      <c r="CZ173" s="324"/>
      <c r="DA173" s="324"/>
      <c r="DB173" s="324"/>
      <c r="DC173" s="324"/>
      <c r="DD173" s="324"/>
      <c r="DE173" s="324"/>
      <c r="DF173" s="324"/>
      <c r="DG173" s="324"/>
      <c r="DH173" s="324"/>
      <c r="DI173" s="324"/>
      <c r="DJ173" s="324"/>
      <c r="DK173" s="324"/>
      <c r="DL173" s="324"/>
      <c r="DM173" s="324"/>
      <c r="DN173" s="324"/>
      <c r="DO173" s="324"/>
      <c r="DP173" s="324"/>
      <c r="DQ173" s="324"/>
      <c r="DR173" s="324"/>
      <c r="DS173" s="324"/>
      <c r="DT173" s="324"/>
      <c r="DU173" s="324"/>
      <c r="DV173" s="324"/>
      <c r="DW173" s="324"/>
      <c r="DX173" s="324"/>
      <c r="DY173" s="324"/>
      <c r="DZ173" s="324"/>
      <c r="EA173" s="324"/>
      <c r="EB173" s="324"/>
      <c r="EC173" s="324"/>
      <c r="ED173" s="324"/>
      <c r="EE173" s="324"/>
      <c r="EF173" s="324"/>
      <c r="EG173" s="324"/>
      <c r="EH173" s="324"/>
      <c r="EI173" s="324"/>
      <c r="EJ173" s="324"/>
      <c r="EK173" s="324"/>
      <c r="EL173" s="324"/>
      <c r="EM173" s="324"/>
      <c r="EN173" s="324"/>
      <c r="EO173" s="324"/>
      <c r="EP173" s="324"/>
      <c r="EQ173" s="324"/>
      <c r="ER173" s="324"/>
      <c r="ES173" s="324"/>
      <c r="ET173" s="324"/>
      <c r="EU173" s="324"/>
      <c r="EV173" s="324"/>
      <c r="EW173" s="324"/>
      <c r="EX173" s="324"/>
      <c r="EY173" s="324"/>
      <c r="EZ173" s="324"/>
      <c r="FA173" s="324"/>
      <c r="FB173" s="324"/>
      <c r="FC173" s="324"/>
      <c r="FD173" s="324"/>
      <c r="FE173" s="324"/>
      <c r="FF173" s="324"/>
      <c r="FG173" s="324"/>
      <c r="FH173" s="324"/>
      <c r="FI173" s="324"/>
      <c r="FJ173" s="324"/>
      <c r="FK173" s="324"/>
      <c r="FL173" s="324"/>
      <c r="FM173" s="324"/>
      <c r="FN173" s="324"/>
      <c r="FO173" s="324"/>
      <c r="FP173" s="324"/>
      <c r="FQ173" s="324"/>
      <c r="FR173" s="324"/>
      <c r="FS173" s="324"/>
      <c r="FT173" s="324"/>
      <c r="FU173" s="324"/>
      <c r="FV173" s="324"/>
      <c r="FW173" s="324"/>
      <c r="FX173" s="324"/>
      <c r="FY173" s="324"/>
      <c r="FZ173" s="324"/>
      <c r="GA173" s="324"/>
      <c r="GB173" s="324"/>
      <c r="GC173" s="324"/>
      <c r="GD173" s="324"/>
      <c r="GE173" s="324"/>
      <c r="GF173" s="324"/>
      <c r="GG173" s="324"/>
      <c r="GH173" s="324"/>
      <c r="GI173" s="324"/>
      <c r="GJ173" s="324"/>
      <c r="GK173" s="324"/>
      <c r="GL173" s="324"/>
      <c r="GM173" s="324"/>
      <c r="GN173" s="324"/>
      <c r="GO173" s="324"/>
      <c r="GP173" s="324"/>
      <c r="GQ173" s="324"/>
      <c r="GR173" s="324"/>
      <c r="GS173" s="324"/>
      <c r="GT173" s="324"/>
      <c r="GU173" s="324"/>
      <c r="GV173" s="324"/>
      <c r="GW173" s="324"/>
      <c r="GX173" s="324"/>
      <c r="GY173" s="324"/>
      <c r="GZ173" s="324"/>
      <c r="HA173" s="324"/>
      <c r="HB173" s="324"/>
      <c r="HC173" s="324"/>
      <c r="HD173" s="324"/>
      <c r="HE173" s="324"/>
      <c r="HF173" s="324"/>
      <c r="HG173" s="324"/>
      <c r="HH173" s="324"/>
      <c r="HI173" s="324"/>
      <c r="HJ173" s="324"/>
      <c r="HK173" s="324"/>
      <c r="HL173" s="324"/>
      <c r="HM173" s="324"/>
      <c r="HN173" s="324"/>
      <c r="HO173" s="324"/>
      <c r="HP173" s="324"/>
      <c r="HQ173" s="324"/>
      <c r="HR173" s="324"/>
      <c r="HS173" s="324"/>
      <c r="HT173" s="324"/>
      <c r="HU173" s="324"/>
      <c r="HV173" s="324"/>
      <c r="HW173" s="324"/>
      <c r="HX173" s="324"/>
      <c r="HY173" s="324"/>
      <c r="HZ173" s="324"/>
      <c r="IA173" s="324"/>
      <c r="IB173" s="324"/>
      <c r="IC173" s="324"/>
      <c r="ID173" s="324"/>
      <c r="IE173" s="324"/>
      <c r="IF173" s="324"/>
      <c r="IG173" s="324"/>
      <c r="IH173" s="324"/>
      <c r="II173" s="324"/>
      <c r="IJ173" s="324"/>
      <c r="IK173" s="324"/>
      <c r="IL173" s="324"/>
      <c r="IM173" s="324"/>
    </row>
    <row r="174" spans="1:247" x14ac:dyDescent="0.35">
      <c r="A174" s="356">
        <v>7411</v>
      </c>
      <c r="B174" s="357" t="s">
        <v>177</v>
      </c>
      <c r="C174" s="172" t="s">
        <v>8</v>
      </c>
      <c r="D174" s="358" t="s">
        <v>2053</v>
      </c>
      <c r="E174" s="336"/>
      <c r="F174" s="331">
        <f t="shared" si="29"/>
        <v>1.0209999999999999</v>
      </c>
      <c r="G174" s="337"/>
      <c r="H174" s="336"/>
      <c r="I174" s="338"/>
      <c r="J174" s="338"/>
      <c r="K174" s="338"/>
      <c r="L174" s="338"/>
      <c r="M174" s="338"/>
      <c r="N174" s="337"/>
      <c r="O174" s="339"/>
      <c r="P174" s="336"/>
      <c r="Q174" s="337"/>
      <c r="R174" s="340">
        <f t="shared" si="30"/>
        <v>1.0209999999999999</v>
      </c>
      <c r="S174" s="324"/>
      <c r="T174" s="324"/>
      <c r="U174" s="324"/>
      <c r="V174" s="324"/>
      <c r="W174" s="324"/>
      <c r="X174" s="324"/>
      <c r="Y174" s="324"/>
      <c r="Z174" s="324"/>
      <c r="AA174" s="324"/>
      <c r="AB174" s="324"/>
      <c r="AC174" s="324"/>
      <c r="AD174" s="324"/>
      <c r="AE174" s="324"/>
      <c r="AF174" s="324"/>
      <c r="AG174" s="324"/>
      <c r="AH174" s="324"/>
      <c r="AI174" s="324"/>
      <c r="AJ174" s="324"/>
      <c r="AK174" s="324"/>
      <c r="AL174" s="324"/>
      <c r="AM174" s="324"/>
      <c r="AN174" s="324"/>
      <c r="AO174" s="324"/>
      <c r="AP174" s="324"/>
      <c r="AQ174" s="324"/>
      <c r="AR174" s="324"/>
      <c r="AS174" s="324"/>
      <c r="AT174" s="324"/>
      <c r="AU174" s="324"/>
      <c r="AV174" s="324"/>
      <c r="AW174" s="324"/>
      <c r="AX174" s="324"/>
      <c r="AY174" s="324"/>
      <c r="AZ174" s="324"/>
      <c r="BA174" s="324"/>
      <c r="BB174" s="324"/>
      <c r="BC174" s="324"/>
      <c r="BD174" s="324"/>
      <c r="BE174" s="324"/>
      <c r="BF174" s="324"/>
      <c r="BG174" s="324"/>
      <c r="BH174" s="324"/>
      <c r="BI174" s="324"/>
      <c r="BJ174" s="324"/>
      <c r="BK174" s="324"/>
      <c r="BL174" s="324"/>
      <c r="BM174" s="324"/>
      <c r="BN174" s="324"/>
      <c r="BO174" s="324"/>
      <c r="BP174" s="324"/>
      <c r="BQ174" s="324"/>
      <c r="BR174" s="324"/>
      <c r="BS174" s="324"/>
      <c r="BT174" s="324"/>
      <c r="BU174" s="324"/>
      <c r="BV174" s="324"/>
      <c r="BW174" s="324"/>
      <c r="BX174" s="324"/>
      <c r="BY174" s="324"/>
      <c r="BZ174" s="324"/>
      <c r="CA174" s="324"/>
      <c r="CB174" s="324"/>
      <c r="CC174" s="324"/>
      <c r="CD174" s="324"/>
      <c r="CE174" s="324"/>
      <c r="CF174" s="324"/>
      <c r="CG174" s="324"/>
      <c r="CH174" s="324"/>
      <c r="CI174" s="324"/>
      <c r="CJ174" s="324"/>
      <c r="CK174" s="324"/>
      <c r="CL174" s="324"/>
      <c r="CM174" s="324"/>
      <c r="CN174" s="324"/>
      <c r="CO174" s="324"/>
      <c r="CP174" s="324"/>
      <c r="CQ174" s="324"/>
      <c r="CR174" s="324"/>
      <c r="CS174" s="324"/>
      <c r="CT174" s="324"/>
      <c r="CU174" s="324"/>
      <c r="CV174" s="324"/>
      <c r="CW174" s="324"/>
      <c r="CX174" s="324"/>
      <c r="CY174" s="324"/>
      <c r="CZ174" s="324"/>
      <c r="DA174" s="324"/>
      <c r="DB174" s="324"/>
      <c r="DC174" s="324"/>
      <c r="DD174" s="324"/>
      <c r="DE174" s="324"/>
      <c r="DF174" s="324"/>
      <c r="DG174" s="324"/>
      <c r="DH174" s="324"/>
      <c r="DI174" s="324"/>
      <c r="DJ174" s="324"/>
      <c r="DK174" s="324"/>
      <c r="DL174" s="324"/>
      <c r="DM174" s="324"/>
      <c r="DN174" s="324"/>
      <c r="DO174" s="324"/>
      <c r="DP174" s="324"/>
      <c r="DQ174" s="324"/>
      <c r="DR174" s="324"/>
      <c r="DS174" s="324"/>
      <c r="DT174" s="324"/>
      <c r="DU174" s="324"/>
      <c r="DV174" s="324"/>
      <c r="DW174" s="324"/>
      <c r="DX174" s="324"/>
      <c r="DY174" s="324"/>
      <c r="DZ174" s="324"/>
      <c r="EA174" s="324"/>
      <c r="EB174" s="324"/>
      <c r="EC174" s="324"/>
      <c r="ED174" s="324"/>
      <c r="EE174" s="324"/>
      <c r="EF174" s="324"/>
      <c r="EG174" s="324"/>
      <c r="EH174" s="324"/>
      <c r="EI174" s="324"/>
      <c r="EJ174" s="324"/>
      <c r="EK174" s="324"/>
      <c r="EL174" s="324"/>
      <c r="EM174" s="324"/>
      <c r="EN174" s="324"/>
      <c r="EO174" s="324"/>
      <c r="EP174" s="324"/>
      <c r="EQ174" s="324"/>
      <c r="ER174" s="324"/>
      <c r="ES174" s="324"/>
      <c r="ET174" s="324"/>
      <c r="EU174" s="324"/>
      <c r="EV174" s="324"/>
      <c r="EW174" s="324"/>
      <c r="EX174" s="324"/>
      <c r="EY174" s="324"/>
      <c r="EZ174" s="324"/>
      <c r="FA174" s="324"/>
      <c r="FB174" s="324"/>
      <c r="FC174" s="324"/>
      <c r="FD174" s="324"/>
      <c r="FE174" s="324"/>
      <c r="FF174" s="324"/>
      <c r="FG174" s="324"/>
      <c r="FH174" s="324"/>
      <c r="FI174" s="324"/>
      <c r="FJ174" s="324"/>
      <c r="FK174" s="324"/>
      <c r="FL174" s="324"/>
      <c r="FM174" s="324"/>
      <c r="FN174" s="324"/>
      <c r="FO174" s="324"/>
      <c r="FP174" s="324"/>
      <c r="FQ174" s="324"/>
      <c r="FR174" s="324"/>
      <c r="FS174" s="324"/>
      <c r="FT174" s="324"/>
      <c r="FU174" s="324"/>
      <c r="FV174" s="324"/>
      <c r="FW174" s="324"/>
      <c r="FX174" s="324"/>
      <c r="FY174" s="324"/>
      <c r="FZ174" s="324"/>
      <c r="GA174" s="324"/>
      <c r="GB174" s="324"/>
      <c r="GC174" s="324"/>
      <c r="GD174" s="324"/>
      <c r="GE174" s="324"/>
      <c r="GF174" s="324"/>
      <c r="GG174" s="324"/>
      <c r="GH174" s="324"/>
      <c r="GI174" s="324"/>
      <c r="GJ174" s="324"/>
      <c r="GK174" s="324"/>
      <c r="GL174" s="324"/>
      <c r="GM174" s="324"/>
      <c r="GN174" s="324"/>
      <c r="GO174" s="324"/>
      <c r="GP174" s="324"/>
      <c r="GQ174" s="324"/>
      <c r="GR174" s="324"/>
      <c r="GS174" s="324"/>
      <c r="GT174" s="324"/>
      <c r="GU174" s="324"/>
      <c r="GV174" s="324"/>
      <c r="GW174" s="324"/>
      <c r="GX174" s="324"/>
      <c r="GY174" s="324"/>
      <c r="GZ174" s="324"/>
      <c r="HA174" s="324"/>
      <c r="HB174" s="324"/>
      <c r="HC174" s="324"/>
      <c r="HD174" s="324"/>
      <c r="HE174" s="324"/>
      <c r="HF174" s="324"/>
      <c r="HG174" s="324"/>
      <c r="HH174" s="324"/>
      <c r="HI174" s="324"/>
      <c r="HJ174" s="324"/>
      <c r="HK174" s="324"/>
      <c r="HL174" s="324"/>
      <c r="HM174" s="324"/>
      <c r="HN174" s="324"/>
      <c r="HO174" s="324"/>
      <c r="HP174" s="324"/>
      <c r="HQ174" s="324"/>
      <c r="HR174" s="324"/>
      <c r="HS174" s="324"/>
      <c r="HT174" s="324"/>
      <c r="HU174" s="324"/>
      <c r="HV174" s="324"/>
      <c r="HW174" s="324"/>
      <c r="HX174" s="324"/>
      <c r="HY174" s="324"/>
      <c r="HZ174" s="324"/>
      <c r="IA174" s="324"/>
      <c r="IB174" s="324"/>
      <c r="IC174" s="324"/>
      <c r="ID174" s="324"/>
      <c r="IE174" s="324"/>
      <c r="IF174" s="324"/>
      <c r="IG174" s="324"/>
      <c r="IH174" s="324"/>
      <c r="II174" s="324"/>
      <c r="IJ174" s="324"/>
      <c r="IK174" s="324"/>
      <c r="IL174" s="324"/>
      <c r="IM174" s="324"/>
    </row>
    <row r="175" spans="1:247" x14ac:dyDescent="0.35">
      <c r="A175" s="356">
        <v>7412</v>
      </c>
      <c r="B175" s="357" t="s">
        <v>178</v>
      </c>
      <c r="C175" s="172" t="s">
        <v>8</v>
      </c>
      <c r="D175" s="358" t="s">
        <v>2053</v>
      </c>
      <c r="E175" s="336"/>
      <c r="F175" s="331">
        <f t="shared" si="29"/>
        <v>1.0209999999999999</v>
      </c>
      <c r="G175" s="337"/>
      <c r="H175" s="336">
        <f t="shared" ref="H175:H183" si="47">+$H$3</f>
        <v>1.0029999999999999</v>
      </c>
      <c r="I175" s="338"/>
      <c r="J175" s="338"/>
      <c r="K175" s="338"/>
      <c r="L175" s="338"/>
      <c r="M175" s="338"/>
      <c r="N175" s="337"/>
      <c r="O175" s="339"/>
      <c r="P175" s="336"/>
      <c r="Q175" s="337"/>
      <c r="R175" s="340">
        <f t="shared" si="30"/>
        <v>1.0240629999999997</v>
      </c>
      <c r="S175" s="324"/>
      <c r="T175" s="324"/>
      <c r="U175" s="324"/>
      <c r="V175" s="324"/>
      <c r="W175" s="324"/>
      <c r="X175" s="324"/>
      <c r="Y175" s="324"/>
      <c r="Z175" s="324"/>
      <c r="AA175" s="324"/>
      <c r="AB175" s="324"/>
      <c r="AC175" s="324"/>
      <c r="AD175" s="324"/>
      <c r="AE175" s="324"/>
      <c r="AF175" s="324"/>
      <c r="AG175" s="324"/>
      <c r="AH175" s="324"/>
      <c r="AI175" s="324"/>
      <c r="AJ175" s="324"/>
      <c r="AK175" s="324"/>
      <c r="AL175" s="324"/>
      <c r="AM175" s="324"/>
      <c r="AN175" s="324"/>
      <c r="AO175" s="324"/>
      <c r="AP175" s="324"/>
      <c r="AQ175" s="324"/>
      <c r="AR175" s="324"/>
      <c r="AS175" s="324"/>
      <c r="AT175" s="324"/>
      <c r="AU175" s="324"/>
      <c r="AV175" s="324"/>
      <c r="AW175" s="324"/>
      <c r="AX175" s="324"/>
      <c r="AY175" s="324"/>
      <c r="AZ175" s="324"/>
      <c r="BA175" s="324"/>
      <c r="BB175" s="324"/>
      <c r="BC175" s="324"/>
      <c r="BD175" s="324"/>
      <c r="BE175" s="324"/>
      <c r="BF175" s="324"/>
      <c r="BG175" s="324"/>
      <c r="BH175" s="324"/>
      <c r="BI175" s="324"/>
      <c r="BJ175" s="324"/>
      <c r="BK175" s="324"/>
      <c r="BL175" s="324"/>
      <c r="BM175" s="324"/>
      <c r="BN175" s="324"/>
      <c r="BO175" s="324"/>
      <c r="BP175" s="324"/>
      <c r="BQ175" s="324"/>
      <c r="BR175" s="324"/>
      <c r="BS175" s="324"/>
      <c r="BT175" s="324"/>
      <c r="BU175" s="324"/>
      <c r="BV175" s="324"/>
      <c r="BW175" s="324"/>
      <c r="BX175" s="324"/>
      <c r="BY175" s="324"/>
      <c r="BZ175" s="324"/>
      <c r="CA175" s="324"/>
      <c r="CB175" s="324"/>
      <c r="CC175" s="324"/>
      <c r="CD175" s="324"/>
      <c r="CE175" s="324"/>
      <c r="CF175" s="324"/>
      <c r="CG175" s="324"/>
      <c r="CH175" s="324"/>
      <c r="CI175" s="324"/>
      <c r="CJ175" s="324"/>
      <c r="CK175" s="324"/>
      <c r="CL175" s="324"/>
      <c r="CM175" s="324"/>
      <c r="CN175" s="324"/>
      <c r="CO175" s="324"/>
      <c r="CP175" s="324"/>
      <c r="CQ175" s="324"/>
      <c r="CR175" s="324"/>
      <c r="CS175" s="324"/>
      <c r="CT175" s="324"/>
      <c r="CU175" s="324"/>
      <c r="CV175" s="324"/>
      <c r="CW175" s="324"/>
      <c r="CX175" s="324"/>
      <c r="CY175" s="324"/>
      <c r="CZ175" s="324"/>
      <c r="DA175" s="324"/>
      <c r="DB175" s="324"/>
      <c r="DC175" s="324"/>
      <c r="DD175" s="324"/>
      <c r="DE175" s="324"/>
      <c r="DF175" s="324"/>
      <c r="DG175" s="324"/>
      <c r="DH175" s="324"/>
      <c r="DI175" s="324"/>
      <c r="DJ175" s="324"/>
      <c r="DK175" s="324"/>
      <c r="DL175" s="324"/>
      <c r="DM175" s="324"/>
      <c r="DN175" s="324"/>
      <c r="DO175" s="324"/>
      <c r="DP175" s="324"/>
      <c r="DQ175" s="324"/>
      <c r="DR175" s="324"/>
      <c r="DS175" s="324"/>
      <c r="DT175" s="324"/>
      <c r="DU175" s="324"/>
      <c r="DV175" s="324"/>
      <c r="DW175" s="324"/>
      <c r="DX175" s="324"/>
      <c r="DY175" s="324"/>
      <c r="DZ175" s="324"/>
      <c r="EA175" s="324"/>
      <c r="EB175" s="324"/>
      <c r="EC175" s="324"/>
      <c r="ED175" s="324"/>
      <c r="EE175" s="324"/>
      <c r="EF175" s="324"/>
      <c r="EG175" s="324"/>
      <c r="EH175" s="324"/>
      <c r="EI175" s="324"/>
      <c r="EJ175" s="324"/>
      <c r="EK175" s="324"/>
      <c r="EL175" s="324"/>
      <c r="EM175" s="324"/>
      <c r="EN175" s="324"/>
      <c r="EO175" s="324"/>
      <c r="EP175" s="324"/>
      <c r="EQ175" s="324"/>
      <c r="ER175" s="324"/>
      <c r="ES175" s="324"/>
      <c r="ET175" s="324"/>
      <c r="EU175" s="324"/>
      <c r="EV175" s="324"/>
      <c r="EW175" s="324"/>
      <c r="EX175" s="324"/>
      <c r="EY175" s="324"/>
      <c r="EZ175" s="324"/>
      <c r="FA175" s="324"/>
      <c r="FB175" s="324"/>
      <c r="FC175" s="324"/>
      <c r="FD175" s="324"/>
      <c r="FE175" s="324"/>
      <c r="FF175" s="324"/>
      <c r="FG175" s="324"/>
      <c r="FH175" s="324"/>
      <c r="FI175" s="324"/>
      <c r="FJ175" s="324"/>
      <c r="FK175" s="324"/>
      <c r="FL175" s="324"/>
      <c r="FM175" s="324"/>
      <c r="FN175" s="324"/>
      <c r="FO175" s="324"/>
      <c r="FP175" s="324"/>
      <c r="FQ175" s="324"/>
      <c r="FR175" s="324"/>
      <c r="FS175" s="324"/>
      <c r="FT175" s="324"/>
      <c r="FU175" s="324"/>
      <c r="FV175" s="324"/>
      <c r="FW175" s="324"/>
      <c r="FX175" s="324"/>
      <c r="FY175" s="324"/>
      <c r="FZ175" s="324"/>
      <c r="GA175" s="324"/>
      <c r="GB175" s="324"/>
      <c r="GC175" s="324"/>
      <c r="GD175" s="324"/>
      <c r="GE175" s="324"/>
      <c r="GF175" s="324"/>
      <c r="GG175" s="324"/>
      <c r="GH175" s="324"/>
      <c r="GI175" s="324"/>
      <c r="GJ175" s="324"/>
      <c r="GK175" s="324"/>
      <c r="GL175" s="324"/>
      <c r="GM175" s="324"/>
      <c r="GN175" s="324"/>
      <c r="GO175" s="324"/>
      <c r="GP175" s="324"/>
      <c r="GQ175" s="324"/>
      <c r="GR175" s="324"/>
      <c r="GS175" s="324"/>
      <c r="GT175" s="324"/>
      <c r="GU175" s="324"/>
      <c r="GV175" s="324"/>
      <c r="GW175" s="324"/>
      <c r="GX175" s="324"/>
      <c r="GY175" s="324"/>
      <c r="GZ175" s="324"/>
      <c r="HA175" s="324"/>
      <c r="HB175" s="324"/>
      <c r="HC175" s="324"/>
      <c r="HD175" s="324"/>
      <c r="HE175" s="324"/>
      <c r="HF175" s="324"/>
      <c r="HG175" s="324"/>
      <c r="HH175" s="324"/>
      <c r="HI175" s="324"/>
      <c r="HJ175" s="324"/>
      <c r="HK175" s="324"/>
      <c r="HL175" s="324"/>
      <c r="HM175" s="324"/>
      <c r="HN175" s="324"/>
      <c r="HO175" s="324"/>
      <c r="HP175" s="324"/>
      <c r="HQ175" s="324"/>
      <c r="HR175" s="324"/>
      <c r="HS175" s="324"/>
      <c r="HT175" s="324"/>
      <c r="HU175" s="324"/>
      <c r="HV175" s="324"/>
      <c r="HW175" s="324"/>
      <c r="HX175" s="324"/>
      <c r="HY175" s="324"/>
      <c r="HZ175" s="324"/>
      <c r="IA175" s="324"/>
      <c r="IB175" s="324"/>
      <c r="IC175" s="324"/>
      <c r="ID175" s="324"/>
      <c r="IE175" s="324"/>
      <c r="IF175" s="324"/>
      <c r="IG175" s="324"/>
      <c r="IH175" s="324"/>
      <c r="II175" s="324"/>
      <c r="IJ175" s="324"/>
      <c r="IK175" s="324"/>
      <c r="IL175" s="324"/>
      <c r="IM175" s="324"/>
    </row>
    <row r="176" spans="1:247" x14ac:dyDescent="0.35">
      <c r="A176" s="356">
        <v>7413</v>
      </c>
      <c r="B176" s="357" t="s">
        <v>179</v>
      </c>
      <c r="C176" s="172" t="s">
        <v>8</v>
      </c>
      <c r="D176" s="358" t="s">
        <v>2053</v>
      </c>
      <c r="E176" s="336">
        <f>+$E$3</f>
        <v>1.0740000000000001</v>
      </c>
      <c r="F176" s="331">
        <f t="shared" si="29"/>
        <v>1.0209999999999999</v>
      </c>
      <c r="G176" s="337">
        <f t="shared" ref="G176:G185" si="48">+$G$3</f>
        <v>1.0269999999999999</v>
      </c>
      <c r="H176" s="336">
        <f t="shared" si="47"/>
        <v>1.0029999999999999</v>
      </c>
      <c r="I176" s="338">
        <f t="shared" ref="I176:I183" si="49">+$I$3</f>
        <v>1.0289999999999999</v>
      </c>
      <c r="J176" s="338">
        <f t="shared" ref="J176:J186" si="50">+$J$3</f>
        <v>1.0049999999999999</v>
      </c>
      <c r="K176" s="338">
        <f>+$K$3</f>
        <v>1.026</v>
      </c>
      <c r="L176" s="338">
        <f>+$L$3</f>
        <v>1.0129999999999999</v>
      </c>
      <c r="M176" s="338">
        <f>+$M$3</f>
        <v>1.0029999999999999</v>
      </c>
      <c r="N176" s="337">
        <f t="shared" ref="N176:N185" si="51">+$N$3</f>
        <v>1.0029999999999999</v>
      </c>
      <c r="O176" s="339">
        <f t="shared" ref="O176:O183" si="52">+$O$3</f>
        <v>1.0209999999999999</v>
      </c>
      <c r="P176" s="336">
        <f>+$P$3</f>
        <v>1.032</v>
      </c>
      <c r="Q176" s="337">
        <f>+$Q$3</f>
        <v>1.0349999999999999</v>
      </c>
      <c r="R176" s="340">
        <f t="shared" si="30"/>
        <v>1.3319480854780448</v>
      </c>
      <c r="S176" s="324"/>
      <c r="T176" s="324"/>
      <c r="U176" s="324"/>
      <c r="V176" s="324"/>
      <c r="W176" s="324"/>
      <c r="X176" s="324"/>
      <c r="Y176" s="324"/>
      <c r="Z176" s="324"/>
      <c r="AA176" s="324"/>
      <c r="AB176" s="324"/>
      <c r="AC176" s="324"/>
      <c r="AD176" s="324"/>
      <c r="AE176" s="324"/>
      <c r="AF176" s="324"/>
      <c r="AG176" s="324"/>
      <c r="AH176" s="324"/>
      <c r="AI176" s="324"/>
      <c r="AJ176" s="324"/>
      <c r="AK176" s="324"/>
      <c r="AL176" s="324"/>
      <c r="AM176" s="324"/>
      <c r="AN176" s="324"/>
      <c r="AO176" s="324"/>
      <c r="AP176" s="324"/>
      <c r="AQ176" s="324"/>
      <c r="AR176" s="324"/>
      <c r="AS176" s="324"/>
      <c r="AT176" s="324"/>
      <c r="AU176" s="324"/>
      <c r="AV176" s="324"/>
      <c r="AW176" s="324"/>
      <c r="AX176" s="324"/>
      <c r="AY176" s="324"/>
      <c r="AZ176" s="324"/>
      <c r="BA176" s="324"/>
      <c r="BB176" s="324"/>
      <c r="BC176" s="324"/>
      <c r="BD176" s="324"/>
      <c r="BE176" s="324"/>
      <c r="BF176" s="324"/>
      <c r="BG176" s="324"/>
      <c r="BH176" s="324"/>
      <c r="BI176" s="324"/>
      <c r="BJ176" s="324"/>
      <c r="BK176" s="324"/>
      <c r="BL176" s="324"/>
      <c r="BM176" s="324"/>
      <c r="BN176" s="324"/>
      <c r="BO176" s="324"/>
      <c r="BP176" s="324"/>
      <c r="BQ176" s="324"/>
      <c r="BR176" s="324"/>
      <c r="BS176" s="324"/>
      <c r="BT176" s="324"/>
      <c r="BU176" s="324"/>
      <c r="BV176" s="324"/>
      <c r="BW176" s="324"/>
      <c r="BX176" s="324"/>
      <c r="BY176" s="324"/>
      <c r="BZ176" s="324"/>
      <c r="CA176" s="324"/>
      <c r="CB176" s="324"/>
      <c r="CC176" s="324"/>
      <c r="CD176" s="324"/>
      <c r="CE176" s="324"/>
      <c r="CF176" s="324"/>
      <c r="CG176" s="324"/>
      <c r="CH176" s="324"/>
      <c r="CI176" s="324"/>
      <c r="CJ176" s="324"/>
      <c r="CK176" s="324"/>
      <c r="CL176" s="324"/>
      <c r="CM176" s="324"/>
      <c r="CN176" s="324"/>
      <c r="CO176" s="324"/>
      <c r="CP176" s="324"/>
      <c r="CQ176" s="324"/>
      <c r="CR176" s="324"/>
      <c r="CS176" s="324"/>
      <c r="CT176" s="324"/>
      <c r="CU176" s="324"/>
      <c r="CV176" s="324"/>
      <c r="CW176" s="324"/>
      <c r="CX176" s="324"/>
      <c r="CY176" s="324"/>
      <c r="CZ176" s="324"/>
      <c r="DA176" s="324"/>
      <c r="DB176" s="324"/>
      <c r="DC176" s="324"/>
      <c r="DD176" s="324"/>
      <c r="DE176" s="324"/>
      <c r="DF176" s="324"/>
      <c r="DG176" s="324"/>
      <c r="DH176" s="324"/>
      <c r="DI176" s="324"/>
      <c r="DJ176" s="324"/>
      <c r="DK176" s="324"/>
      <c r="DL176" s="324"/>
      <c r="DM176" s="324"/>
      <c r="DN176" s="324"/>
      <c r="DO176" s="324"/>
      <c r="DP176" s="324"/>
      <c r="DQ176" s="324"/>
      <c r="DR176" s="324"/>
      <c r="DS176" s="324"/>
      <c r="DT176" s="324"/>
      <c r="DU176" s="324"/>
      <c r="DV176" s="324"/>
      <c r="DW176" s="324"/>
      <c r="DX176" s="324"/>
      <c r="DY176" s="324"/>
      <c r="DZ176" s="324"/>
      <c r="EA176" s="324"/>
      <c r="EB176" s="324"/>
      <c r="EC176" s="324"/>
      <c r="ED176" s="324"/>
      <c r="EE176" s="324"/>
      <c r="EF176" s="324"/>
      <c r="EG176" s="324"/>
      <c r="EH176" s="324"/>
      <c r="EI176" s="324"/>
      <c r="EJ176" s="324"/>
      <c r="EK176" s="324"/>
      <c r="EL176" s="324"/>
      <c r="EM176" s="324"/>
      <c r="EN176" s="324"/>
      <c r="EO176" s="324"/>
      <c r="EP176" s="324"/>
      <c r="EQ176" s="324"/>
      <c r="ER176" s="324"/>
      <c r="ES176" s="324"/>
      <c r="ET176" s="324"/>
      <c r="EU176" s="324"/>
      <c r="EV176" s="324"/>
      <c r="EW176" s="324"/>
      <c r="EX176" s="324"/>
      <c r="EY176" s="324"/>
      <c r="EZ176" s="324"/>
      <c r="FA176" s="324"/>
      <c r="FB176" s="324"/>
      <c r="FC176" s="324"/>
      <c r="FD176" s="324"/>
      <c r="FE176" s="324"/>
      <c r="FF176" s="324"/>
      <c r="FG176" s="324"/>
      <c r="FH176" s="324"/>
      <c r="FI176" s="324"/>
      <c r="FJ176" s="324"/>
      <c r="FK176" s="324"/>
      <c r="FL176" s="324"/>
      <c r="FM176" s="324"/>
      <c r="FN176" s="324"/>
      <c r="FO176" s="324"/>
      <c r="FP176" s="324"/>
      <c r="FQ176" s="324"/>
      <c r="FR176" s="324"/>
      <c r="FS176" s="324"/>
      <c r="FT176" s="324"/>
      <c r="FU176" s="324"/>
      <c r="FV176" s="324"/>
      <c r="FW176" s="324"/>
      <c r="FX176" s="324"/>
      <c r="FY176" s="324"/>
      <c r="FZ176" s="324"/>
      <c r="GA176" s="324"/>
      <c r="GB176" s="324"/>
      <c r="GC176" s="324"/>
      <c r="GD176" s="324"/>
      <c r="GE176" s="324"/>
      <c r="GF176" s="324"/>
      <c r="GG176" s="324"/>
      <c r="GH176" s="324"/>
      <c r="GI176" s="324"/>
      <c r="GJ176" s="324"/>
      <c r="GK176" s="324"/>
      <c r="GL176" s="324"/>
      <c r="GM176" s="324"/>
      <c r="GN176" s="324"/>
      <c r="GO176" s="324"/>
      <c r="GP176" s="324"/>
      <c r="GQ176" s="324"/>
      <c r="GR176" s="324"/>
      <c r="GS176" s="324"/>
      <c r="GT176" s="324"/>
      <c r="GU176" s="324"/>
      <c r="GV176" s="324"/>
      <c r="GW176" s="324"/>
      <c r="GX176" s="324"/>
      <c r="GY176" s="324"/>
      <c r="GZ176" s="324"/>
      <c r="HA176" s="324"/>
      <c r="HB176" s="324"/>
      <c r="HC176" s="324"/>
      <c r="HD176" s="324"/>
      <c r="HE176" s="324"/>
      <c r="HF176" s="324"/>
      <c r="HG176" s="324"/>
      <c r="HH176" s="324"/>
      <c r="HI176" s="324"/>
      <c r="HJ176" s="324"/>
      <c r="HK176" s="324"/>
      <c r="HL176" s="324"/>
      <c r="HM176" s="324"/>
      <c r="HN176" s="324"/>
      <c r="HO176" s="324"/>
      <c r="HP176" s="324"/>
      <c r="HQ176" s="324"/>
      <c r="HR176" s="324"/>
      <c r="HS176" s="324"/>
      <c r="HT176" s="324"/>
      <c r="HU176" s="324"/>
      <c r="HV176" s="324"/>
      <c r="HW176" s="324"/>
      <c r="HX176" s="324"/>
      <c r="HY176" s="324"/>
      <c r="HZ176" s="324"/>
      <c r="IA176" s="324"/>
      <c r="IB176" s="324"/>
      <c r="IC176" s="324"/>
      <c r="ID176" s="324"/>
      <c r="IE176" s="324"/>
      <c r="IF176" s="324"/>
      <c r="IG176" s="324"/>
      <c r="IH176" s="324"/>
      <c r="II176" s="324"/>
      <c r="IJ176" s="324"/>
      <c r="IK176" s="324"/>
      <c r="IL176" s="324"/>
      <c r="IM176" s="324"/>
    </row>
    <row r="177" spans="1:247" x14ac:dyDescent="0.35">
      <c r="A177" s="356">
        <v>7414</v>
      </c>
      <c r="B177" s="357" t="s">
        <v>180</v>
      </c>
      <c r="C177" s="172" t="s">
        <v>8</v>
      </c>
      <c r="D177" s="358" t="s">
        <v>2053</v>
      </c>
      <c r="E177" s="336">
        <f>+$E$3</f>
        <v>1.0740000000000001</v>
      </c>
      <c r="F177" s="331">
        <f t="shared" si="29"/>
        <v>1.0209999999999999</v>
      </c>
      <c r="G177" s="337">
        <f t="shared" si="48"/>
        <v>1.0269999999999999</v>
      </c>
      <c r="H177" s="336">
        <f t="shared" si="47"/>
        <v>1.0029999999999999</v>
      </c>
      <c r="I177" s="338">
        <f t="shared" si="49"/>
        <v>1.0289999999999999</v>
      </c>
      <c r="J177" s="338">
        <f t="shared" si="50"/>
        <v>1.0049999999999999</v>
      </c>
      <c r="K177" s="338">
        <f>+$K$3</f>
        <v>1.026</v>
      </c>
      <c r="L177" s="338">
        <f>+$L$3</f>
        <v>1.0129999999999999</v>
      </c>
      <c r="M177" s="338">
        <f>+$M$3</f>
        <v>1.0029999999999999</v>
      </c>
      <c r="N177" s="337">
        <f t="shared" si="51"/>
        <v>1.0029999999999999</v>
      </c>
      <c r="O177" s="339">
        <f t="shared" si="52"/>
        <v>1.0209999999999999</v>
      </c>
      <c r="P177" s="336"/>
      <c r="Q177" s="337"/>
      <c r="R177" s="340">
        <f t="shared" si="30"/>
        <v>1.2470022895162014</v>
      </c>
      <c r="S177" s="324"/>
      <c r="T177" s="324"/>
      <c r="U177" s="324"/>
      <c r="V177" s="324"/>
      <c r="W177" s="324"/>
      <c r="X177" s="324"/>
      <c r="Y177" s="324"/>
      <c r="Z177" s="324"/>
      <c r="AA177" s="324"/>
      <c r="AB177" s="324"/>
      <c r="AC177" s="324"/>
      <c r="AD177" s="324"/>
      <c r="AE177" s="324"/>
      <c r="AF177" s="324"/>
      <c r="AG177" s="324"/>
      <c r="AH177" s="324"/>
      <c r="AI177" s="324"/>
      <c r="AJ177" s="324"/>
      <c r="AK177" s="324"/>
      <c r="AL177" s="324"/>
      <c r="AM177" s="324"/>
      <c r="AN177" s="324"/>
      <c r="AO177" s="324"/>
      <c r="AP177" s="324"/>
      <c r="AQ177" s="324"/>
      <c r="AR177" s="324"/>
      <c r="AS177" s="324"/>
      <c r="AT177" s="324"/>
      <c r="AU177" s="324"/>
      <c r="AV177" s="324"/>
      <c r="AW177" s="324"/>
      <c r="AX177" s="324"/>
      <c r="AY177" s="324"/>
      <c r="AZ177" s="324"/>
      <c r="BA177" s="324"/>
      <c r="BB177" s="324"/>
      <c r="BC177" s="324"/>
      <c r="BD177" s="324"/>
      <c r="BE177" s="324"/>
      <c r="BF177" s="324"/>
      <c r="BG177" s="324"/>
      <c r="BH177" s="324"/>
      <c r="BI177" s="324"/>
      <c r="BJ177" s="324"/>
      <c r="BK177" s="324"/>
      <c r="BL177" s="324"/>
      <c r="BM177" s="324"/>
      <c r="BN177" s="324"/>
      <c r="BO177" s="324"/>
      <c r="BP177" s="324"/>
      <c r="BQ177" s="324"/>
      <c r="BR177" s="324"/>
      <c r="BS177" s="324"/>
      <c r="BT177" s="324"/>
      <c r="BU177" s="324"/>
      <c r="BV177" s="324"/>
      <c r="BW177" s="324"/>
      <c r="BX177" s="324"/>
      <c r="BY177" s="324"/>
      <c r="BZ177" s="324"/>
      <c r="CA177" s="324"/>
      <c r="CB177" s="324"/>
      <c r="CC177" s="324"/>
      <c r="CD177" s="324"/>
      <c r="CE177" s="324"/>
      <c r="CF177" s="324"/>
      <c r="CG177" s="324"/>
      <c r="CH177" s="324"/>
      <c r="CI177" s="324"/>
      <c r="CJ177" s="324"/>
      <c r="CK177" s="324"/>
      <c r="CL177" s="324"/>
      <c r="CM177" s="324"/>
      <c r="CN177" s="324"/>
      <c r="CO177" s="324"/>
      <c r="CP177" s="324"/>
      <c r="CQ177" s="324"/>
      <c r="CR177" s="324"/>
      <c r="CS177" s="324"/>
      <c r="CT177" s="324"/>
      <c r="CU177" s="324"/>
      <c r="CV177" s="324"/>
      <c r="CW177" s="324"/>
      <c r="CX177" s="324"/>
      <c r="CY177" s="324"/>
      <c r="CZ177" s="324"/>
      <c r="DA177" s="324"/>
      <c r="DB177" s="324"/>
      <c r="DC177" s="324"/>
      <c r="DD177" s="324"/>
      <c r="DE177" s="324"/>
      <c r="DF177" s="324"/>
      <c r="DG177" s="324"/>
      <c r="DH177" s="324"/>
      <c r="DI177" s="324"/>
      <c r="DJ177" s="324"/>
      <c r="DK177" s="324"/>
      <c r="DL177" s="324"/>
      <c r="DM177" s="324"/>
      <c r="DN177" s="324"/>
      <c r="DO177" s="324"/>
      <c r="DP177" s="324"/>
      <c r="DQ177" s="324"/>
      <c r="DR177" s="324"/>
      <c r="DS177" s="324"/>
      <c r="DT177" s="324"/>
      <c r="DU177" s="324"/>
      <c r="DV177" s="324"/>
      <c r="DW177" s="324"/>
      <c r="DX177" s="324"/>
      <c r="DY177" s="324"/>
      <c r="DZ177" s="324"/>
      <c r="EA177" s="324"/>
      <c r="EB177" s="324"/>
      <c r="EC177" s="324"/>
      <c r="ED177" s="324"/>
      <c r="EE177" s="324"/>
      <c r="EF177" s="324"/>
      <c r="EG177" s="324"/>
      <c r="EH177" s="324"/>
      <c r="EI177" s="324"/>
      <c r="EJ177" s="324"/>
      <c r="EK177" s="324"/>
      <c r="EL177" s="324"/>
      <c r="EM177" s="324"/>
      <c r="EN177" s="324"/>
      <c r="EO177" s="324"/>
      <c r="EP177" s="324"/>
      <c r="EQ177" s="324"/>
      <c r="ER177" s="324"/>
      <c r="ES177" s="324"/>
      <c r="ET177" s="324"/>
      <c r="EU177" s="324"/>
      <c r="EV177" s="324"/>
      <c r="EW177" s="324"/>
      <c r="EX177" s="324"/>
      <c r="EY177" s="324"/>
      <c r="EZ177" s="324"/>
      <c r="FA177" s="324"/>
      <c r="FB177" s="324"/>
      <c r="FC177" s="324"/>
      <c r="FD177" s="324"/>
      <c r="FE177" s="324"/>
      <c r="FF177" s="324"/>
      <c r="FG177" s="324"/>
      <c r="FH177" s="324"/>
      <c r="FI177" s="324"/>
      <c r="FJ177" s="324"/>
      <c r="FK177" s="324"/>
      <c r="FL177" s="324"/>
      <c r="FM177" s="324"/>
      <c r="FN177" s="324"/>
      <c r="FO177" s="324"/>
      <c r="FP177" s="324"/>
      <c r="FQ177" s="324"/>
      <c r="FR177" s="324"/>
      <c r="FS177" s="324"/>
      <c r="FT177" s="324"/>
      <c r="FU177" s="324"/>
      <c r="FV177" s="324"/>
      <c r="FW177" s="324"/>
      <c r="FX177" s="324"/>
      <c r="FY177" s="324"/>
      <c r="FZ177" s="324"/>
      <c r="GA177" s="324"/>
      <c r="GB177" s="324"/>
      <c r="GC177" s="324"/>
      <c r="GD177" s="324"/>
      <c r="GE177" s="324"/>
      <c r="GF177" s="324"/>
      <c r="GG177" s="324"/>
      <c r="GH177" s="324"/>
      <c r="GI177" s="324"/>
      <c r="GJ177" s="324"/>
      <c r="GK177" s="324"/>
      <c r="GL177" s="324"/>
      <c r="GM177" s="324"/>
      <c r="GN177" s="324"/>
      <c r="GO177" s="324"/>
      <c r="GP177" s="324"/>
      <c r="GQ177" s="324"/>
      <c r="GR177" s="324"/>
      <c r="GS177" s="324"/>
      <c r="GT177" s="324"/>
      <c r="GU177" s="324"/>
      <c r="GV177" s="324"/>
      <c r="GW177" s="324"/>
      <c r="GX177" s="324"/>
      <c r="GY177" s="324"/>
      <c r="GZ177" s="324"/>
      <c r="HA177" s="324"/>
      <c r="HB177" s="324"/>
      <c r="HC177" s="324"/>
      <c r="HD177" s="324"/>
      <c r="HE177" s="324"/>
      <c r="HF177" s="324"/>
      <c r="HG177" s="324"/>
      <c r="HH177" s="324"/>
      <c r="HI177" s="324"/>
      <c r="HJ177" s="324"/>
      <c r="HK177" s="324"/>
      <c r="HL177" s="324"/>
      <c r="HM177" s="324"/>
      <c r="HN177" s="324"/>
      <c r="HO177" s="324"/>
      <c r="HP177" s="324"/>
      <c r="HQ177" s="324"/>
      <c r="HR177" s="324"/>
      <c r="HS177" s="324"/>
      <c r="HT177" s="324"/>
      <c r="HU177" s="324"/>
      <c r="HV177" s="324"/>
      <c r="HW177" s="324"/>
      <c r="HX177" s="324"/>
      <c r="HY177" s="324"/>
      <c r="HZ177" s="324"/>
      <c r="IA177" s="324"/>
      <c r="IB177" s="324"/>
      <c r="IC177" s="324"/>
      <c r="ID177" s="324"/>
      <c r="IE177" s="324"/>
      <c r="IF177" s="324"/>
      <c r="IG177" s="324"/>
      <c r="IH177" s="324"/>
      <c r="II177" s="324"/>
      <c r="IJ177" s="324"/>
      <c r="IK177" s="324"/>
      <c r="IL177" s="324"/>
      <c r="IM177" s="324"/>
    </row>
    <row r="178" spans="1:247" x14ac:dyDescent="0.35">
      <c r="A178" s="356">
        <v>7415</v>
      </c>
      <c r="B178" s="357" t="s">
        <v>181</v>
      </c>
      <c r="C178" s="172" t="s">
        <v>8</v>
      </c>
      <c r="D178" s="358" t="s">
        <v>2053</v>
      </c>
      <c r="E178" s="336">
        <f>+$E$3</f>
        <v>1.0740000000000001</v>
      </c>
      <c r="F178" s="331">
        <f t="shared" si="29"/>
        <v>1.0209999999999999</v>
      </c>
      <c r="G178" s="337">
        <f t="shared" si="48"/>
        <v>1.0269999999999999</v>
      </c>
      <c r="H178" s="336">
        <f t="shared" si="47"/>
        <v>1.0029999999999999</v>
      </c>
      <c r="I178" s="338">
        <f t="shared" si="49"/>
        <v>1.0289999999999999</v>
      </c>
      <c r="J178" s="338">
        <f t="shared" si="50"/>
        <v>1.0049999999999999</v>
      </c>
      <c r="K178" s="338"/>
      <c r="L178" s="338"/>
      <c r="M178" s="338">
        <f>+$M$3</f>
        <v>1.0029999999999999</v>
      </c>
      <c r="N178" s="337">
        <f t="shared" si="51"/>
        <v>1.0029999999999999</v>
      </c>
      <c r="O178" s="339">
        <f t="shared" si="52"/>
        <v>1.0209999999999999</v>
      </c>
      <c r="P178" s="336">
        <f t="shared" ref="P178:P185" si="53">+$P$3</f>
        <v>1.032</v>
      </c>
      <c r="Q178" s="337">
        <f t="shared" ref="Q178:Q185" si="54">+$Q$3</f>
        <v>1.0349999999999999</v>
      </c>
      <c r="R178" s="340">
        <f t="shared" si="30"/>
        <v>1.2815350593147223</v>
      </c>
      <c r="S178" s="324"/>
      <c r="T178" s="324"/>
      <c r="U178" s="324"/>
      <c r="V178" s="324"/>
      <c r="W178" s="324"/>
      <c r="X178" s="324"/>
      <c r="Y178" s="324"/>
      <c r="Z178" s="324"/>
      <c r="AA178" s="324"/>
      <c r="AB178" s="324"/>
      <c r="AC178" s="324"/>
      <c r="AD178" s="324"/>
      <c r="AE178" s="324"/>
      <c r="AF178" s="324"/>
      <c r="AG178" s="324"/>
      <c r="AH178" s="324"/>
      <c r="AI178" s="324"/>
      <c r="AJ178" s="324"/>
      <c r="AK178" s="324"/>
      <c r="AL178" s="324"/>
      <c r="AM178" s="324"/>
      <c r="AN178" s="324"/>
      <c r="AO178" s="324"/>
      <c r="AP178" s="324"/>
      <c r="AQ178" s="324"/>
      <c r="AR178" s="324"/>
      <c r="AS178" s="324"/>
      <c r="AT178" s="324"/>
      <c r="AU178" s="324"/>
      <c r="AV178" s="324"/>
      <c r="AW178" s="324"/>
      <c r="AX178" s="324"/>
      <c r="AY178" s="324"/>
      <c r="AZ178" s="324"/>
      <c r="BA178" s="324"/>
      <c r="BB178" s="324"/>
      <c r="BC178" s="324"/>
      <c r="BD178" s="324"/>
      <c r="BE178" s="324"/>
      <c r="BF178" s="324"/>
      <c r="BG178" s="324"/>
      <c r="BH178" s="324"/>
      <c r="BI178" s="324"/>
      <c r="BJ178" s="324"/>
      <c r="BK178" s="324"/>
      <c r="BL178" s="324"/>
      <c r="BM178" s="324"/>
      <c r="BN178" s="324"/>
      <c r="BO178" s="324"/>
      <c r="BP178" s="324"/>
      <c r="BQ178" s="324"/>
      <c r="BR178" s="324"/>
      <c r="BS178" s="324"/>
      <c r="BT178" s="324"/>
      <c r="BU178" s="324"/>
      <c r="BV178" s="324"/>
      <c r="BW178" s="324"/>
      <c r="BX178" s="324"/>
      <c r="BY178" s="324"/>
      <c r="BZ178" s="324"/>
      <c r="CA178" s="324"/>
      <c r="CB178" s="324"/>
      <c r="CC178" s="324"/>
      <c r="CD178" s="324"/>
      <c r="CE178" s="324"/>
      <c r="CF178" s="324"/>
      <c r="CG178" s="324"/>
      <c r="CH178" s="324"/>
      <c r="CI178" s="324"/>
      <c r="CJ178" s="324"/>
      <c r="CK178" s="324"/>
      <c r="CL178" s="324"/>
      <c r="CM178" s="324"/>
      <c r="CN178" s="324"/>
      <c r="CO178" s="324"/>
      <c r="CP178" s="324"/>
      <c r="CQ178" s="324"/>
      <c r="CR178" s="324"/>
      <c r="CS178" s="324"/>
      <c r="CT178" s="324"/>
      <c r="CU178" s="324"/>
      <c r="CV178" s="324"/>
      <c r="CW178" s="324"/>
      <c r="CX178" s="324"/>
      <c r="CY178" s="324"/>
      <c r="CZ178" s="324"/>
      <c r="DA178" s="324"/>
      <c r="DB178" s="324"/>
      <c r="DC178" s="324"/>
      <c r="DD178" s="324"/>
      <c r="DE178" s="324"/>
      <c r="DF178" s="324"/>
      <c r="DG178" s="324"/>
      <c r="DH178" s="324"/>
      <c r="DI178" s="324"/>
      <c r="DJ178" s="324"/>
      <c r="DK178" s="324"/>
      <c r="DL178" s="324"/>
      <c r="DM178" s="324"/>
      <c r="DN178" s="324"/>
      <c r="DO178" s="324"/>
      <c r="DP178" s="324"/>
      <c r="DQ178" s="324"/>
      <c r="DR178" s="324"/>
      <c r="DS178" s="324"/>
      <c r="DT178" s="324"/>
      <c r="DU178" s="324"/>
      <c r="DV178" s="324"/>
      <c r="DW178" s="324"/>
      <c r="DX178" s="324"/>
      <c r="DY178" s="324"/>
      <c r="DZ178" s="324"/>
      <c r="EA178" s="324"/>
      <c r="EB178" s="324"/>
      <c r="EC178" s="324"/>
      <c r="ED178" s="324"/>
      <c r="EE178" s="324"/>
      <c r="EF178" s="324"/>
      <c r="EG178" s="324"/>
      <c r="EH178" s="324"/>
      <c r="EI178" s="324"/>
      <c r="EJ178" s="324"/>
      <c r="EK178" s="324"/>
      <c r="EL178" s="324"/>
      <c r="EM178" s="324"/>
      <c r="EN178" s="324"/>
      <c r="EO178" s="324"/>
      <c r="EP178" s="324"/>
      <c r="EQ178" s="324"/>
      <c r="ER178" s="324"/>
      <c r="ES178" s="324"/>
      <c r="ET178" s="324"/>
      <c r="EU178" s="324"/>
      <c r="EV178" s="324"/>
      <c r="EW178" s="324"/>
      <c r="EX178" s="324"/>
      <c r="EY178" s="324"/>
      <c r="EZ178" s="324"/>
      <c r="FA178" s="324"/>
      <c r="FB178" s="324"/>
      <c r="FC178" s="324"/>
      <c r="FD178" s="324"/>
      <c r="FE178" s="324"/>
      <c r="FF178" s="324"/>
      <c r="FG178" s="324"/>
      <c r="FH178" s="324"/>
      <c r="FI178" s="324"/>
      <c r="FJ178" s="324"/>
      <c r="FK178" s="324"/>
      <c r="FL178" s="324"/>
      <c r="FM178" s="324"/>
      <c r="FN178" s="324"/>
      <c r="FO178" s="324"/>
      <c r="FP178" s="324"/>
      <c r="FQ178" s="324"/>
      <c r="FR178" s="324"/>
      <c r="FS178" s="324"/>
      <c r="FT178" s="324"/>
      <c r="FU178" s="324"/>
      <c r="FV178" s="324"/>
      <c r="FW178" s="324"/>
      <c r="FX178" s="324"/>
      <c r="FY178" s="324"/>
      <c r="FZ178" s="324"/>
      <c r="GA178" s="324"/>
      <c r="GB178" s="324"/>
      <c r="GC178" s="324"/>
      <c r="GD178" s="324"/>
      <c r="GE178" s="324"/>
      <c r="GF178" s="324"/>
      <c r="GG178" s="324"/>
      <c r="GH178" s="324"/>
      <c r="GI178" s="324"/>
      <c r="GJ178" s="324"/>
      <c r="GK178" s="324"/>
      <c r="GL178" s="324"/>
      <c r="GM178" s="324"/>
      <c r="GN178" s="324"/>
      <c r="GO178" s="324"/>
      <c r="GP178" s="324"/>
      <c r="GQ178" s="324"/>
      <c r="GR178" s="324"/>
      <c r="GS178" s="324"/>
      <c r="GT178" s="324"/>
      <c r="GU178" s="324"/>
      <c r="GV178" s="324"/>
      <c r="GW178" s="324"/>
      <c r="GX178" s="324"/>
      <c r="GY178" s="324"/>
      <c r="GZ178" s="324"/>
      <c r="HA178" s="324"/>
      <c r="HB178" s="324"/>
      <c r="HC178" s="324"/>
      <c r="HD178" s="324"/>
      <c r="HE178" s="324"/>
      <c r="HF178" s="324"/>
      <c r="HG178" s="324"/>
      <c r="HH178" s="324"/>
      <c r="HI178" s="324"/>
      <c r="HJ178" s="324"/>
      <c r="HK178" s="324"/>
      <c r="HL178" s="324"/>
      <c r="HM178" s="324"/>
      <c r="HN178" s="324"/>
      <c r="HO178" s="324"/>
      <c r="HP178" s="324"/>
      <c r="HQ178" s="324"/>
      <c r="HR178" s="324"/>
      <c r="HS178" s="324"/>
      <c r="HT178" s="324"/>
      <c r="HU178" s="324"/>
      <c r="HV178" s="324"/>
      <c r="HW178" s="324"/>
      <c r="HX178" s="324"/>
      <c r="HY178" s="324"/>
      <c r="HZ178" s="324"/>
      <c r="IA178" s="324"/>
      <c r="IB178" s="324"/>
      <c r="IC178" s="324"/>
      <c r="ID178" s="324"/>
      <c r="IE178" s="324"/>
      <c r="IF178" s="324"/>
      <c r="IG178" s="324"/>
      <c r="IH178" s="324"/>
      <c r="II178" s="324"/>
      <c r="IJ178" s="324"/>
      <c r="IK178" s="324"/>
      <c r="IL178" s="324"/>
      <c r="IM178" s="324"/>
    </row>
    <row r="179" spans="1:247" x14ac:dyDescent="0.35">
      <c r="A179" s="356">
        <v>7416</v>
      </c>
      <c r="B179" s="357" t="s">
        <v>182</v>
      </c>
      <c r="C179" s="172" t="s">
        <v>8</v>
      </c>
      <c r="D179" s="358" t="s">
        <v>2053</v>
      </c>
      <c r="E179" s="336">
        <f>+$E$3</f>
        <v>1.0740000000000001</v>
      </c>
      <c r="F179" s="331">
        <f t="shared" si="29"/>
        <v>1.0209999999999999</v>
      </c>
      <c r="G179" s="337">
        <f t="shared" si="48"/>
        <v>1.0269999999999999</v>
      </c>
      <c r="H179" s="336">
        <f t="shared" si="47"/>
        <v>1.0029999999999999</v>
      </c>
      <c r="I179" s="338">
        <f t="shared" si="49"/>
        <v>1.0289999999999999</v>
      </c>
      <c r="J179" s="338">
        <f t="shared" si="50"/>
        <v>1.0049999999999999</v>
      </c>
      <c r="K179" s="338">
        <f>+$K$3</f>
        <v>1.026</v>
      </c>
      <c r="L179" s="338">
        <f>+$L$3</f>
        <v>1.0129999999999999</v>
      </c>
      <c r="M179" s="338">
        <f>+$M$3</f>
        <v>1.0029999999999999</v>
      </c>
      <c r="N179" s="337">
        <f t="shared" si="51"/>
        <v>1.0029999999999999</v>
      </c>
      <c r="O179" s="339">
        <f t="shared" si="52"/>
        <v>1.0209999999999999</v>
      </c>
      <c r="P179" s="336">
        <f t="shared" si="53"/>
        <v>1.032</v>
      </c>
      <c r="Q179" s="337">
        <f t="shared" si="54"/>
        <v>1.0349999999999999</v>
      </c>
      <c r="R179" s="340">
        <f t="shared" si="30"/>
        <v>1.3319480854780448</v>
      </c>
      <c r="S179" s="324"/>
      <c r="T179" s="324"/>
      <c r="U179" s="324"/>
      <c r="V179" s="324"/>
      <c r="W179" s="324"/>
      <c r="X179" s="324"/>
      <c r="Y179" s="324"/>
      <c r="Z179" s="324"/>
      <c r="AA179" s="324"/>
      <c r="AB179" s="324"/>
      <c r="AC179" s="324"/>
      <c r="AD179" s="324"/>
      <c r="AE179" s="324"/>
      <c r="AF179" s="324"/>
      <c r="AG179" s="324"/>
      <c r="AH179" s="324"/>
      <c r="AI179" s="324"/>
      <c r="AJ179" s="324"/>
      <c r="AK179" s="324"/>
      <c r="AL179" s="324"/>
      <c r="AM179" s="324"/>
      <c r="AN179" s="324"/>
      <c r="AO179" s="324"/>
      <c r="AP179" s="324"/>
      <c r="AQ179" s="324"/>
      <c r="AR179" s="324"/>
      <c r="AS179" s="324"/>
      <c r="AT179" s="324"/>
      <c r="AU179" s="324"/>
      <c r="AV179" s="324"/>
      <c r="AW179" s="324"/>
      <c r="AX179" s="324"/>
      <c r="AY179" s="324"/>
      <c r="AZ179" s="324"/>
      <c r="BA179" s="324"/>
      <c r="BB179" s="324"/>
      <c r="BC179" s="324"/>
      <c r="BD179" s="324"/>
      <c r="BE179" s="324"/>
      <c r="BF179" s="324"/>
      <c r="BG179" s="324"/>
      <c r="BH179" s="324"/>
      <c r="BI179" s="324"/>
      <c r="BJ179" s="324"/>
      <c r="BK179" s="324"/>
      <c r="BL179" s="324"/>
      <c r="BM179" s="324"/>
      <c r="BN179" s="324"/>
      <c r="BO179" s="324"/>
      <c r="BP179" s="324"/>
      <c r="BQ179" s="324"/>
      <c r="BR179" s="324"/>
      <c r="BS179" s="324"/>
      <c r="BT179" s="324"/>
      <c r="BU179" s="324"/>
      <c r="BV179" s="324"/>
      <c r="BW179" s="324"/>
      <c r="BX179" s="324"/>
      <c r="BY179" s="324"/>
      <c r="BZ179" s="324"/>
      <c r="CA179" s="324"/>
      <c r="CB179" s="324"/>
      <c r="CC179" s="324"/>
      <c r="CD179" s="324"/>
      <c r="CE179" s="324"/>
      <c r="CF179" s="324"/>
      <c r="CG179" s="324"/>
      <c r="CH179" s="324"/>
      <c r="CI179" s="324"/>
      <c r="CJ179" s="324"/>
      <c r="CK179" s="324"/>
      <c r="CL179" s="324"/>
      <c r="CM179" s="324"/>
      <c r="CN179" s="324"/>
      <c r="CO179" s="324"/>
      <c r="CP179" s="324"/>
      <c r="CQ179" s="324"/>
      <c r="CR179" s="324"/>
      <c r="CS179" s="324"/>
      <c r="CT179" s="324"/>
      <c r="CU179" s="324"/>
      <c r="CV179" s="324"/>
      <c r="CW179" s="324"/>
      <c r="CX179" s="324"/>
      <c r="CY179" s="324"/>
      <c r="CZ179" s="324"/>
      <c r="DA179" s="324"/>
      <c r="DB179" s="324"/>
      <c r="DC179" s="324"/>
      <c r="DD179" s="324"/>
      <c r="DE179" s="324"/>
      <c r="DF179" s="324"/>
      <c r="DG179" s="324"/>
      <c r="DH179" s="324"/>
      <c r="DI179" s="324"/>
      <c r="DJ179" s="324"/>
      <c r="DK179" s="324"/>
      <c r="DL179" s="324"/>
      <c r="DM179" s="324"/>
      <c r="DN179" s="324"/>
      <c r="DO179" s="324"/>
      <c r="DP179" s="324"/>
      <c r="DQ179" s="324"/>
      <c r="DR179" s="324"/>
      <c r="DS179" s="324"/>
      <c r="DT179" s="324"/>
      <c r="DU179" s="324"/>
      <c r="DV179" s="324"/>
      <c r="DW179" s="324"/>
      <c r="DX179" s="324"/>
      <c r="DY179" s="324"/>
      <c r="DZ179" s="324"/>
      <c r="EA179" s="324"/>
      <c r="EB179" s="324"/>
      <c r="EC179" s="324"/>
      <c r="ED179" s="324"/>
      <c r="EE179" s="324"/>
      <c r="EF179" s="324"/>
      <c r="EG179" s="324"/>
      <c r="EH179" s="324"/>
      <c r="EI179" s="324"/>
      <c r="EJ179" s="324"/>
      <c r="EK179" s="324"/>
      <c r="EL179" s="324"/>
      <c r="EM179" s="324"/>
      <c r="EN179" s="324"/>
      <c r="EO179" s="324"/>
      <c r="EP179" s="324"/>
      <c r="EQ179" s="324"/>
      <c r="ER179" s="324"/>
      <c r="ES179" s="324"/>
      <c r="ET179" s="324"/>
      <c r="EU179" s="324"/>
      <c r="EV179" s="324"/>
      <c r="EW179" s="324"/>
      <c r="EX179" s="324"/>
      <c r="EY179" s="324"/>
      <c r="EZ179" s="324"/>
      <c r="FA179" s="324"/>
      <c r="FB179" s="324"/>
      <c r="FC179" s="324"/>
      <c r="FD179" s="324"/>
      <c r="FE179" s="324"/>
      <c r="FF179" s="324"/>
      <c r="FG179" s="324"/>
      <c r="FH179" s="324"/>
      <c r="FI179" s="324"/>
      <c r="FJ179" s="324"/>
      <c r="FK179" s="324"/>
      <c r="FL179" s="324"/>
      <c r="FM179" s="324"/>
      <c r="FN179" s="324"/>
      <c r="FO179" s="324"/>
      <c r="FP179" s="324"/>
      <c r="FQ179" s="324"/>
      <c r="FR179" s="324"/>
      <c r="FS179" s="324"/>
      <c r="FT179" s="324"/>
      <c r="FU179" s="324"/>
      <c r="FV179" s="324"/>
      <c r="FW179" s="324"/>
      <c r="FX179" s="324"/>
      <c r="FY179" s="324"/>
      <c r="FZ179" s="324"/>
      <c r="GA179" s="324"/>
      <c r="GB179" s="324"/>
      <c r="GC179" s="324"/>
      <c r="GD179" s="324"/>
      <c r="GE179" s="324"/>
      <c r="GF179" s="324"/>
      <c r="GG179" s="324"/>
      <c r="GH179" s="324"/>
      <c r="GI179" s="324"/>
      <c r="GJ179" s="324"/>
      <c r="GK179" s="324"/>
      <c r="GL179" s="324"/>
      <c r="GM179" s="324"/>
      <c r="GN179" s="324"/>
      <c r="GO179" s="324"/>
      <c r="GP179" s="324"/>
      <c r="GQ179" s="324"/>
      <c r="GR179" s="324"/>
      <c r="GS179" s="324"/>
      <c r="GT179" s="324"/>
      <c r="GU179" s="324"/>
      <c r="GV179" s="324"/>
      <c r="GW179" s="324"/>
      <c r="GX179" s="324"/>
      <c r="GY179" s="324"/>
      <c r="GZ179" s="324"/>
      <c r="HA179" s="324"/>
      <c r="HB179" s="324"/>
      <c r="HC179" s="324"/>
      <c r="HD179" s="324"/>
      <c r="HE179" s="324"/>
      <c r="HF179" s="324"/>
      <c r="HG179" s="324"/>
      <c r="HH179" s="324"/>
      <c r="HI179" s="324"/>
      <c r="HJ179" s="324"/>
      <c r="HK179" s="324"/>
      <c r="HL179" s="324"/>
      <c r="HM179" s="324"/>
      <c r="HN179" s="324"/>
      <c r="HO179" s="324"/>
      <c r="HP179" s="324"/>
      <c r="HQ179" s="324"/>
      <c r="HR179" s="324"/>
      <c r="HS179" s="324"/>
      <c r="HT179" s="324"/>
      <c r="HU179" s="324"/>
      <c r="HV179" s="324"/>
      <c r="HW179" s="324"/>
      <c r="HX179" s="324"/>
      <c r="HY179" s="324"/>
      <c r="HZ179" s="324"/>
      <c r="IA179" s="324"/>
      <c r="IB179" s="324"/>
      <c r="IC179" s="324"/>
      <c r="ID179" s="324"/>
      <c r="IE179" s="324"/>
      <c r="IF179" s="324"/>
      <c r="IG179" s="324"/>
      <c r="IH179" s="324"/>
      <c r="II179" s="324"/>
      <c r="IJ179" s="324"/>
      <c r="IK179" s="324"/>
      <c r="IL179" s="324"/>
      <c r="IM179" s="324"/>
    </row>
    <row r="180" spans="1:247" x14ac:dyDescent="0.35">
      <c r="A180" s="356">
        <v>7417</v>
      </c>
      <c r="B180" s="357" t="s">
        <v>183</v>
      </c>
      <c r="C180" s="172" t="s">
        <v>8</v>
      </c>
      <c r="D180" s="358" t="s">
        <v>2053</v>
      </c>
      <c r="E180" s="336">
        <f>+$E$3</f>
        <v>1.0740000000000001</v>
      </c>
      <c r="F180" s="331">
        <f t="shared" si="29"/>
        <v>1.0209999999999999</v>
      </c>
      <c r="G180" s="337">
        <f t="shared" si="48"/>
        <v>1.0269999999999999</v>
      </c>
      <c r="H180" s="336">
        <f t="shared" si="47"/>
        <v>1.0029999999999999</v>
      </c>
      <c r="I180" s="338">
        <f t="shared" si="49"/>
        <v>1.0289999999999999</v>
      </c>
      <c r="J180" s="338">
        <f t="shared" si="50"/>
        <v>1.0049999999999999</v>
      </c>
      <c r="K180" s="338"/>
      <c r="L180" s="338">
        <f>+$L$3</f>
        <v>1.0129999999999999</v>
      </c>
      <c r="M180" s="338">
        <f>+$M$3</f>
        <v>1.0029999999999999</v>
      </c>
      <c r="N180" s="337">
        <f t="shared" si="51"/>
        <v>1.0029999999999999</v>
      </c>
      <c r="O180" s="339">
        <f t="shared" si="52"/>
        <v>1.0209999999999999</v>
      </c>
      <c r="P180" s="336">
        <f t="shared" si="53"/>
        <v>1.032</v>
      </c>
      <c r="Q180" s="337">
        <f t="shared" si="54"/>
        <v>1.0349999999999999</v>
      </c>
      <c r="R180" s="340">
        <f t="shared" si="30"/>
        <v>1.2981950150858137</v>
      </c>
      <c r="S180" s="324"/>
      <c r="T180" s="324"/>
      <c r="U180" s="324"/>
      <c r="V180" s="324"/>
      <c r="W180" s="324"/>
      <c r="X180" s="324"/>
      <c r="Y180" s="324"/>
      <c r="Z180" s="324"/>
      <c r="AA180" s="324"/>
      <c r="AB180" s="324"/>
      <c r="AC180" s="324"/>
      <c r="AD180" s="324"/>
      <c r="AE180" s="324"/>
      <c r="AF180" s="324"/>
      <c r="AG180" s="324"/>
      <c r="AH180" s="324"/>
      <c r="AI180" s="324"/>
      <c r="AJ180" s="324"/>
      <c r="AK180" s="324"/>
      <c r="AL180" s="324"/>
      <c r="AM180" s="324"/>
      <c r="AN180" s="324"/>
      <c r="AO180" s="324"/>
      <c r="AP180" s="324"/>
      <c r="AQ180" s="324"/>
      <c r="AR180" s="324"/>
      <c r="AS180" s="324"/>
      <c r="AT180" s="324"/>
      <c r="AU180" s="324"/>
      <c r="AV180" s="324"/>
      <c r="AW180" s="324"/>
      <c r="AX180" s="324"/>
      <c r="AY180" s="324"/>
      <c r="AZ180" s="324"/>
      <c r="BA180" s="324"/>
      <c r="BB180" s="324"/>
      <c r="BC180" s="324"/>
      <c r="BD180" s="324"/>
      <c r="BE180" s="324"/>
      <c r="BF180" s="324"/>
      <c r="BG180" s="324"/>
      <c r="BH180" s="324"/>
      <c r="BI180" s="324"/>
      <c r="BJ180" s="324"/>
      <c r="BK180" s="324"/>
      <c r="BL180" s="324"/>
      <c r="BM180" s="324"/>
      <c r="BN180" s="324"/>
      <c r="BO180" s="324"/>
      <c r="BP180" s="324"/>
      <c r="BQ180" s="324"/>
      <c r="BR180" s="324"/>
      <c r="BS180" s="324"/>
      <c r="BT180" s="324"/>
      <c r="BU180" s="324"/>
      <c r="BV180" s="324"/>
      <c r="BW180" s="324"/>
      <c r="BX180" s="324"/>
      <c r="BY180" s="324"/>
      <c r="BZ180" s="324"/>
      <c r="CA180" s="324"/>
      <c r="CB180" s="324"/>
      <c r="CC180" s="324"/>
      <c r="CD180" s="324"/>
      <c r="CE180" s="324"/>
      <c r="CF180" s="324"/>
      <c r="CG180" s="324"/>
      <c r="CH180" s="324"/>
      <c r="CI180" s="324"/>
      <c r="CJ180" s="324"/>
      <c r="CK180" s="324"/>
      <c r="CL180" s="324"/>
      <c r="CM180" s="324"/>
      <c r="CN180" s="324"/>
      <c r="CO180" s="324"/>
      <c r="CP180" s="324"/>
      <c r="CQ180" s="324"/>
      <c r="CR180" s="324"/>
      <c r="CS180" s="324"/>
      <c r="CT180" s="324"/>
      <c r="CU180" s="324"/>
      <c r="CV180" s="324"/>
      <c r="CW180" s="324"/>
      <c r="CX180" s="324"/>
      <c r="CY180" s="324"/>
      <c r="CZ180" s="324"/>
      <c r="DA180" s="324"/>
      <c r="DB180" s="324"/>
      <c r="DC180" s="324"/>
      <c r="DD180" s="324"/>
      <c r="DE180" s="324"/>
      <c r="DF180" s="324"/>
      <c r="DG180" s="324"/>
      <c r="DH180" s="324"/>
      <c r="DI180" s="324"/>
      <c r="DJ180" s="324"/>
      <c r="DK180" s="324"/>
      <c r="DL180" s="324"/>
      <c r="DM180" s="324"/>
      <c r="DN180" s="324"/>
      <c r="DO180" s="324"/>
      <c r="DP180" s="324"/>
      <c r="DQ180" s="324"/>
      <c r="DR180" s="324"/>
      <c r="DS180" s="324"/>
      <c r="DT180" s="324"/>
      <c r="DU180" s="324"/>
      <c r="DV180" s="324"/>
      <c r="DW180" s="324"/>
      <c r="DX180" s="324"/>
      <c r="DY180" s="324"/>
      <c r="DZ180" s="324"/>
      <c r="EA180" s="324"/>
      <c r="EB180" s="324"/>
      <c r="EC180" s="324"/>
      <c r="ED180" s="324"/>
      <c r="EE180" s="324"/>
      <c r="EF180" s="324"/>
      <c r="EG180" s="324"/>
      <c r="EH180" s="324"/>
      <c r="EI180" s="324"/>
      <c r="EJ180" s="324"/>
      <c r="EK180" s="324"/>
      <c r="EL180" s="324"/>
      <c r="EM180" s="324"/>
      <c r="EN180" s="324"/>
      <c r="EO180" s="324"/>
      <c r="EP180" s="324"/>
      <c r="EQ180" s="324"/>
      <c r="ER180" s="324"/>
      <c r="ES180" s="324"/>
      <c r="ET180" s="324"/>
      <c r="EU180" s="324"/>
      <c r="EV180" s="324"/>
      <c r="EW180" s="324"/>
      <c r="EX180" s="324"/>
      <c r="EY180" s="324"/>
      <c r="EZ180" s="324"/>
      <c r="FA180" s="324"/>
      <c r="FB180" s="324"/>
      <c r="FC180" s="324"/>
      <c r="FD180" s="324"/>
      <c r="FE180" s="324"/>
      <c r="FF180" s="324"/>
      <c r="FG180" s="324"/>
      <c r="FH180" s="324"/>
      <c r="FI180" s="324"/>
      <c r="FJ180" s="324"/>
      <c r="FK180" s="324"/>
      <c r="FL180" s="324"/>
      <c r="FM180" s="324"/>
      <c r="FN180" s="324"/>
      <c r="FO180" s="324"/>
      <c r="FP180" s="324"/>
      <c r="FQ180" s="324"/>
      <c r="FR180" s="324"/>
      <c r="FS180" s="324"/>
      <c r="FT180" s="324"/>
      <c r="FU180" s="324"/>
      <c r="FV180" s="324"/>
      <c r="FW180" s="324"/>
      <c r="FX180" s="324"/>
      <c r="FY180" s="324"/>
      <c r="FZ180" s="324"/>
      <c r="GA180" s="324"/>
      <c r="GB180" s="324"/>
      <c r="GC180" s="324"/>
      <c r="GD180" s="324"/>
      <c r="GE180" s="324"/>
      <c r="GF180" s="324"/>
      <c r="GG180" s="324"/>
      <c r="GH180" s="324"/>
      <c r="GI180" s="324"/>
      <c r="GJ180" s="324"/>
      <c r="GK180" s="324"/>
      <c r="GL180" s="324"/>
      <c r="GM180" s="324"/>
      <c r="GN180" s="324"/>
      <c r="GO180" s="324"/>
      <c r="GP180" s="324"/>
      <c r="GQ180" s="324"/>
      <c r="GR180" s="324"/>
      <c r="GS180" s="324"/>
      <c r="GT180" s="324"/>
      <c r="GU180" s="324"/>
      <c r="GV180" s="324"/>
      <c r="GW180" s="324"/>
      <c r="GX180" s="324"/>
      <c r="GY180" s="324"/>
      <c r="GZ180" s="324"/>
      <c r="HA180" s="324"/>
      <c r="HB180" s="324"/>
      <c r="HC180" s="324"/>
      <c r="HD180" s="324"/>
      <c r="HE180" s="324"/>
      <c r="HF180" s="324"/>
      <c r="HG180" s="324"/>
      <c r="HH180" s="324"/>
      <c r="HI180" s="324"/>
      <c r="HJ180" s="324"/>
      <c r="HK180" s="324"/>
      <c r="HL180" s="324"/>
      <c r="HM180" s="324"/>
      <c r="HN180" s="324"/>
      <c r="HO180" s="324"/>
      <c r="HP180" s="324"/>
      <c r="HQ180" s="324"/>
      <c r="HR180" s="324"/>
      <c r="HS180" s="324"/>
      <c r="HT180" s="324"/>
      <c r="HU180" s="324"/>
      <c r="HV180" s="324"/>
      <c r="HW180" s="324"/>
      <c r="HX180" s="324"/>
      <c r="HY180" s="324"/>
      <c r="HZ180" s="324"/>
      <c r="IA180" s="324"/>
      <c r="IB180" s="324"/>
      <c r="IC180" s="324"/>
      <c r="ID180" s="324"/>
      <c r="IE180" s="324"/>
      <c r="IF180" s="324"/>
      <c r="IG180" s="324"/>
      <c r="IH180" s="324"/>
      <c r="II180" s="324"/>
      <c r="IJ180" s="324"/>
      <c r="IK180" s="324"/>
      <c r="IL180" s="324"/>
      <c r="IM180" s="324"/>
    </row>
    <row r="181" spans="1:247" x14ac:dyDescent="0.35">
      <c r="A181" s="356">
        <v>7418</v>
      </c>
      <c r="B181" s="357" t="s">
        <v>184</v>
      </c>
      <c r="C181" s="172" t="s">
        <v>8</v>
      </c>
      <c r="D181" s="358" t="s">
        <v>2053</v>
      </c>
      <c r="E181" s="336"/>
      <c r="F181" s="331">
        <f t="shared" si="29"/>
        <v>1.0209999999999999</v>
      </c>
      <c r="G181" s="337">
        <f t="shared" si="48"/>
        <v>1.0269999999999999</v>
      </c>
      <c r="H181" s="336">
        <f t="shared" si="47"/>
        <v>1.0029999999999999</v>
      </c>
      <c r="I181" s="338">
        <f t="shared" si="49"/>
        <v>1.0289999999999999</v>
      </c>
      <c r="J181" s="338">
        <f t="shared" si="50"/>
        <v>1.0049999999999999</v>
      </c>
      <c r="K181" s="338"/>
      <c r="L181" s="338"/>
      <c r="M181" s="338"/>
      <c r="N181" s="337">
        <f t="shared" si="51"/>
        <v>1.0029999999999999</v>
      </c>
      <c r="O181" s="339">
        <f t="shared" si="52"/>
        <v>1.0209999999999999</v>
      </c>
      <c r="P181" s="336">
        <f t="shared" si="53"/>
        <v>1.032</v>
      </c>
      <c r="Q181" s="337">
        <f t="shared" si="54"/>
        <v>1.0349999999999999</v>
      </c>
      <c r="R181" s="340">
        <f t="shared" si="30"/>
        <v>1.1896666233280813</v>
      </c>
      <c r="S181" s="324"/>
      <c r="T181" s="324"/>
      <c r="U181" s="324"/>
      <c r="V181" s="324"/>
      <c r="W181" s="324"/>
      <c r="X181" s="324"/>
      <c r="Y181" s="324"/>
      <c r="Z181" s="324"/>
      <c r="AA181" s="324"/>
      <c r="AB181" s="324"/>
      <c r="AC181" s="324"/>
      <c r="AD181" s="324"/>
      <c r="AE181" s="324"/>
      <c r="AF181" s="324"/>
      <c r="AG181" s="324"/>
      <c r="AH181" s="324"/>
      <c r="AI181" s="324"/>
      <c r="AJ181" s="324"/>
      <c r="AK181" s="324"/>
      <c r="AL181" s="324"/>
      <c r="AM181" s="324"/>
      <c r="AN181" s="324"/>
      <c r="AO181" s="324"/>
      <c r="AP181" s="324"/>
      <c r="AQ181" s="324"/>
      <c r="AR181" s="324"/>
      <c r="AS181" s="324"/>
      <c r="AT181" s="324"/>
      <c r="AU181" s="324"/>
      <c r="AV181" s="324"/>
      <c r="AW181" s="324"/>
      <c r="AX181" s="324"/>
      <c r="AY181" s="324"/>
      <c r="AZ181" s="324"/>
      <c r="BA181" s="324"/>
      <c r="BB181" s="324"/>
      <c r="BC181" s="324"/>
      <c r="BD181" s="324"/>
      <c r="BE181" s="324"/>
      <c r="BF181" s="324"/>
      <c r="BG181" s="324"/>
      <c r="BH181" s="324"/>
      <c r="BI181" s="324"/>
      <c r="BJ181" s="324"/>
      <c r="BK181" s="324"/>
      <c r="BL181" s="324"/>
      <c r="BM181" s="324"/>
      <c r="BN181" s="324"/>
      <c r="BO181" s="324"/>
      <c r="BP181" s="324"/>
      <c r="BQ181" s="324"/>
      <c r="BR181" s="324"/>
      <c r="BS181" s="324"/>
      <c r="BT181" s="324"/>
      <c r="BU181" s="324"/>
      <c r="BV181" s="324"/>
      <c r="BW181" s="324"/>
      <c r="BX181" s="324"/>
      <c r="BY181" s="324"/>
      <c r="BZ181" s="324"/>
      <c r="CA181" s="324"/>
      <c r="CB181" s="324"/>
      <c r="CC181" s="324"/>
      <c r="CD181" s="324"/>
      <c r="CE181" s="324"/>
      <c r="CF181" s="324"/>
      <c r="CG181" s="324"/>
      <c r="CH181" s="324"/>
      <c r="CI181" s="324"/>
      <c r="CJ181" s="324"/>
      <c r="CK181" s="324"/>
      <c r="CL181" s="324"/>
      <c r="CM181" s="324"/>
      <c r="CN181" s="324"/>
      <c r="CO181" s="324"/>
      <c r="CP181" s="324"/>
      <c r="CQ181" s="324"/>
      <c r="CR181" s="324"/>
      <c r="CS181" s="324"/>
      <c r="CT181" s="324"/>
      <c r="CU181" s="324"/>
      <c r="CV181" s="324"/>
      <c r="CW181" s="324"/>
      <c r="CX181" s="324"/>
      <c r="CY181" s="324"/>
      <c r="CZ181" s="324"/>
      <c r="DA181" s="324"/>
      <c r="DB181" s="324"/>
      <c r="DC181" s="324"/>
      <c r="DD181" s="324"/>
      <c r="DE181" s="324"/>
      <c r="DF181" s="324"/>
      <c r="DG181" s="324"/>
      <c r="DH181" s="324"/>
      <c r="DI181" s="324"/>
      <c r="DJ181" s="324"/>
      <c r="DK181" s="324"/>
      <c r="DL181" s="324"/>
      <c r="DM181" s="324"/>
      <c r="DN181" s="324"/>
      <c r="DO181" s="324"/>
      <c r="DP181" s="324"/>
      <c r="DQ181" s="324"/>
      <c r="DR181" s="324"/>
      <c r="DS181" s="324"/>
      <c r="DT181" s="324"/>
      <c r="DU181" s="324"/>
      <c r="DV181" s="324"/>
      <c r="DW181" s="324"/>
      <c r="DX181" s="324"/>
      <c r="DY181" s="324"/>
      <c r="DZ181" s="324"/>
      <c r="EA181" s="324"/>
      <c r="EB181" s="324"/>
      <c r="EC181" s="324"/>
      <c r="ED181" s="324"/>
      <c r="EE181" s="324"/>
      <c r="EF181" s="324"/>
      <c r="EG181" s="324"/>
      <c r="EH181" s="324"/>
      <c r="EI181" s="324"/>
      <c r="EJ181" s="324"/>
      <c r="EK181" s="324"/>
      <c r="EL181" s="324"/>
      <c r="EM181" s="324"/>
      <c r="EN181" s="324"/>
      <c r="EO181" s="324"/>
      <c r="EP181" s="324"/>
      <c r="EQ181" s="324"/>
      <c r="ER181" s="324"/>
      <c r="ES181" s="324"/>
      <c r="ET181" s="324"/>
      <c r="EU181" s="324"/>
      <c r="EV181" s="324"/>
      <c r="EW181" s="324"/>
      <c r="EX181" s="324"/>
      <c r="EY181" s="324"/>
      <c r="EZ181" s="324"/>
      <c r="FA181" s="324"/>
      <c r="FB181" s="324"/>
      <c r="FC181" s="324"/>
      <c r="FD181" s="324"/>
      <c r="FE181" s="324"/>
      <c r="FF181" s="324"/>
      <c r="FG181" s="324"/>
      <c r="FH181" s="324"/>
      <c r="FI181" s="324"/>
      <c r="FJ181" s="324"/>
      <c r="FK181" s="324"/>
      <c r="FL181" s="324"/>
      <c r="FM181" s="324"/>
      <c r="FN181" s="324"/>
      <c r="FO181" s="324"/>
      <c r="FP181" s="324"/>
      <c r="FQ181" s="324"/>
      <c r="FR181" s="324"/>
      <c r="FS181" s="324"/>
      <c r="FT181" s="324"/>
      <c r="FU181" s="324"/>
      <c r="FV181" s="324"/>
      <c r="FW181" s="324"/>
      <c r="FX181" s="324"/>
      <c r="FY181" s="324"/>
      <c r="FZ181" s="324"/>
      <c r="GA181" s="324"/>
      <c r="GB181" s="324"/>
      <c r="GC181" s="324"/>
      <c r="GD181" s="324"/>
      <c r="GE181" s="324"/>
      <c r="GF181" s="324"/>
      <c r="GG181" s="324"/>
      <c r="GH181" s="324"/>
      <c r="GI181" s="324"/>
      <c r="GJ181" s="324"/>
      <c r="GK181" s="324"/>
      <c r="GL181" s="324"/>
      <c r="GM181" s="324"/>
      <c r="GN181" s="324"/>
      <c r="GO181" s="324"/>
      <c r="GP181" s="324"/>
      <c r="GQ181" s="324"/>
      <c r="GR181" s="324"/>
      <c r="GS181" s="324"/>
      <c r="GT181" s="324"/>
      <c r="GU181" s="324"/>
      <c r="GV181" s="324"/>
      <c r="GW181" s="324"/>
      <c r="GX181" s="324"/>
      <c r="GY181" s="324"/>
      <c r="GZ181" s="324"/>
      <c r="HA181" s="324"/>
      <c r="HB181" s="324"/>
      <c r="HC181" s="324"/>
      <c r="HD181" s="324"/>
      <c r="HE181" s="324"/>
      <c r="HF181" s="324"/>
      <c r="HG181" s="324"/>
      <c r="HH181" s="324"/>
      <c r="HI181" s="324"/>
      <c r="HJ181" s="324"/>
      <c r="HK181" s="324"/>
      <c r="HL181" s="324"/>
      <c r="HM181" s="324"/>
      <c r="HN181" s="324"/>
      <c r="HO181" s="324"/>
      <c r="HP181" s="324"/>
      <c r="HQ181" s="324"/>
      <c r="HR181" s="324"/>
      <c r="HS181" s="324"/>
      <c r="HT181" s="324"/>
      <c r="HU181" s="324"/>
      <c r="HV181" s="324"/>
      <c r="HW181" s="324"/>
      <c r="HX181" s="324"/>
      <c r="HY181" s="324"/>
      <c r="HZ181" s="324"/>
      <c r="IA181" s="324"/>
      <c r="IB181" s="324"/>
      <c r="IC181" s="324"/>
      <c r="ID181" s="324"/>
      <c r="IE181" s="324"/>
      <c r="IF181" s="324"/>
      <c r="IG181" s="324"/>
      <c r="IH181" s="324"/>
      <c r="II181" s="324"/>
      <c r="IJ181" s="324"/>
      <c r="IK181" s="324"/>
      <c r="IL181" s="324"/>
      <c r="IM181" s="324"/>
    </row>
    <row r="182" spans="1:247" x14ac:dyDescent="0.35">
      <c r="A182" s="356">
        <v>7422</v>
      </c>
      <c r="B182" s="357" t="s">
        <v>185</v>
      </c>
      <c r="C182" s="172" t="s">
        <v>8</v>
      </c>
      <c r="D182" s="358" t="s">
        <v>2053</v>
      </c>
      <c r="E182" s="336"/>
      <c r="F182" s="331">
        <f t="shared" si="29"/>
        <v>1.0209999999999999</v>
      </c>
      <c r="G182" s="337">
        <f t="shared" si="48"/>
        <v>1.0269999999999999</v>
      </c>
      <c r="H182" s="336">
        <f t="shared" si="47"/>
        <v>1.0029999999999999</v>
      </c>
      <c r="I182" s="338">
        <f t="shared" si="49"/>
        <v>1.0289999999999999</v>
      </c>
      <c r="J182" s="338">
        <f t="shared" si="50"/>
        <v>1.0049999999999999</v>
      </c>
      <c r="K182" s="338"/>
      <c r="L182" s="338">
        <f>+$L$3</f>
        <v>1.0129999999999999</v>
      </c>
      <c r="M182" s="338"/>
      <c r="N182" s="337">
        <f t="shared" si="51"/>
        <v>1.0029999999999999</v>
      </c>
      <c r="O182" s="339">
        <f t="shared" si="52"/>
        <v>1.0209999999999999</v>
      </c>
      <c r="P182" s="336">
        <f t="shared" si="53"/>
        <v>1.032</v>
      </c>
      <c r="Q182" s="337">
        <f t="shared" si="54"/>
        <v>1.0349999999999999</v>
      </c>
      <c r="R182" s="340">
        <f t="shared" si="30"/>
        <v>1.2051322894313463</v>
      </c>
      <c r="S182" s="324"/>
      <c r="T182" s="324"/>
      <c r="U182" s="324"/>
      <c r="V182" s="324"/>
      <c r="W182" s="324"/>
      <c r="X182" s="324"/>
      <c r="Y182" s="324"/>
      <c r="Z182" s="324"/>
      <c r="AA182" s="324"/>
      <c r="AB182" s="324"/>
      <c r="AC182" s="324"/>
      <c r="AD182" s="324"/>
      <c r="AE182" s="324"/>
      <c r="AF182" s="324"/>
      <c r="AG182" s="324"/>
      <c r="AH182" s="324"/>
      <c r="AI182" s="324"/>
      <c r="AJ182" s="324"/>
      <c r="AK182" s="324"/>
      <c r="AL182" s="324"/>
      <c r="AM182" s="324"/>
      <c r="AN182" s="324"/>
      <c r="AO182" s="324"/>
      <c r="AP182" s="324"/>
      <c r="AQ182" s="324"/>
      <c r="AR182" s="324"/>
      <c r="AS182" s="324"/>
      <c r="AT182" s="324"/>
      <c r="AU182" s="324"/>
      <c r="AV182" s="324"/>
      <c r="AW182" s="324"/>
      <c r="AX182" s="324"/>
      <c r="AY182" s="324"/>
      <c r="AZ182" s="324"/>
      <c r="BA182" s="324"/>
      <c r="BB182" s="324"/>
      <c r="BC182" s="324"/>
      <c r="BD182" s="324"/>
      <c r="BE182" s="324"/>
      <c r="BF182" s="324"/>
      <c r="BG182" s="324"/>
      <c r="BH182" s="324"/>
      <c r="BI182" s="324"/>
      <c r="BJ182" s="324"/>
      <c r="BK182" s="324"/>
      <c r="BL182" s="324"/>
      <c r="BM182" s="324"/>
      <c r="BN182" s="324"/>
      <c r="BO182" s="324"/>
      <c r="BP182" s="324"/>
      <c r="BQ182" s="324"/>
      <c r="BR182" s="324"/>
      <c r="BS182" s="324"/>
      <c r="BT182" s="324"/>
      <c r="BU182" s="324"/>
      <c r="BV182" s="324"/>
      <c r="BW182" s="324"/>
      <c r="BX182" s="324"/>
      <c r="BY182" s="324"/>
      <c r="BZ182" s="324"/>
      <c r="CA182" s="324"/>
      <c r="CB182" s="324"/>
      <c r="CC182" s="324"/>
      <c r="CD182" s="324"/>
      <c r="CE182" s="324"/>
      <c r="CF182" s="324"/>
      <c r="CG182" s="324"/>
      <c r="CH182" s="324"/>
      <c r="CI182" s="324"/>
      <c r="CJ182" s="324"/>
      <c r="CK182" s="324"/>
      <c r="CL182" s="324"/>
      <c r="CM182" s="324"/>
      <c r="CN182" s="324"/>
      <c r="CO182" s="324"/>
      <c r="CP182" s="324"/>
      <c r="CQ182" s="324"/>
      <c r="CR182" s="324"/>
      <c r="CS182" s="324"/>
      <c r="CT182" s="324"/>
      <c r="CU182" s="324"/>
      <c r="CV182" s="324"/>
      <c r="CW182" s="324"/>
      <c r="CX182" s="324"/>
      <c r="CY182" s="324"/>
      <c r="CZ182" s="324"/>
      <c r="DA182" s="324"/>
      <c r="DB182" s="324"/>
      <c r="DC182" s="324"/>
      <c r="DD182" s="324"/>
      <c r="DE182" s="324"/>
      <c r="DF182" s="324"/>
      <c r="DG182" s="324"/>
      <c r="DH182" s="324"/>
      <c r="DI182" s="324"/>
      <c r="DJ182" s="324"/>
      <c r="DK182" s="324"/>
      <c r="DL182" s="324"/>
      <c r="DM182" s="324"/>
      <c r="DN182" s="324"/>
      <c r="DO182" s="324"/>
      <c r="DP182" s="324"/>
      <c r="DQ182" s="324"/>
      <c r="DR182" s="324"/>
      <c r="DS182" s="324"/>
      <c r="DT182" s="324"/>
      <c r="DU182" s="324"/>
      <c r="DV182" s="324"/>
      <c r="DW182" s="324"/>
      <c r="DX182" s="324"/>
      <c r="DY182" s="324"/>
      <c r="DZ182" s="324"/>
      <c r="EA182" s="324"/>
      <c r="EB182" s="324"/>
      <c r="EC182" s="324"/>
      <c r="ED182" s="324"/>
      <c r="EE182" s="324"/>
      <c r="EF182" s="324"/>
      <c r="EG182" s="324"/>
      <c r="EH182" s="324"/>
      <c r="EI182" s="324"/>
      <c r="EJ182" s="324"/>
      <c r="EK182" s="324"/>
      <c r="EL182" s="324"/>
      <c r="EM182" s="324"/>
      <c r="EN182" s="324"/>
      <c r="EO182" s="324"/>
      <c r="EP182" s="324"/>
      <c r="EQ182" s="324"/>
      <c r="ER182" s="324"/>
      <c r="ES182" s="324"/>
      <c r="ET182" s="324"/>
      <c r="EU182" s="324"/>
      <c r="EV182" s="324"/>
      <c r="EW182" s="324"/>
      <c r="EX182" s="324"/>
      <c r="EY182" s="324"/>
      <c r="EZ182" s="324"/>
      <c r="FA182" s="324"/>
      <c r="FB182" s="324"/>
      <c r="FC182" s="324"/>
      <c r="FD182" s="324"/>
      <c r="FE182" s="324"/>
      <c r="FF182" s="324"/>
      <c r="FG182" s="324"/>
      <c r="FH182" s="324"/>
      <c r="FI182" s="324"/>
      <c r="FJ182" s="324"/>
      <c r="FK182" s="324"/>
      <c r="FL182" s="324"/>
      <c r="FM182" s="324"/>
      <c r="FN182" s="324"/>
      <c r="FO182" s="324"/>
      <c r="FP182" s="324"/>
      <c r="FQ182" s="324"/>
      <c r="FR182" s="324"/>
      <c r="FS182" s="324"/>
      <c r="FT182" s="324"/>
      <c r="FU182" s="324"/>
      <c r="FV182" s="324"/>
      <c r="FW182" s="324"/>
      <c r="FX182" s="324"/>
      <c r="FY182" s="324"/>
      <c r="FZ182" s="324"/>
      <c r="GA182" s="324"/>
      <c r="GB182" s="324"/>
      <c r="GC182" s="324"/>
      <c r="GD182" s="324"/>
      <c r="GE182" s="324"/>
      <c r="GF182" s="324"/>
      <c r="GG182" s="324"/>
      <c r="GH182" s="324"/>
      <c r="GI182" s="324"/>
      <c r="GJ182" s="324"/>
      <c r="GK182" s="324"/>
      <c r="GL182" s="324"/>
      <c r="GM182" s="324"/>
      <c r="GN182" s="324"/>
      <c r="GO182" s="324"/>
      <c r="GP182" s="324"/>
      <c r="GQ182" s="324"/>
      <c r="GR182" s="324"/>
      <c r="GS182" s="324"/>
      <c r="GT182" s="324"/>
      <c r="GU182" s="324"/>
      <c r="GV182" s="324"/>
      <c r="GW182" s="324"/>
      <c r="GX182" s="324"/>
      <c r="GY182" s="324"/>
      <c r="GZ182" s="324"/>
      <c r="HA182" s="324"/>
      <c r="HB182" s="324"/>
      <c r="HC182" s="324"/>
      <c r="HD182" s="324"/>
      <c r="HE182" s="324"/>
      <c r="HF182" s="324"/>
      <c r="HG182" s="324"/>
      <c r="HH182" s="324"/>
      <c r="HI182" s="324"/>
      <c r="HJ182" s="324"/>
      <c r="HK182" s="324"/>
      <c r="HL182" s="324"/>
      <c r="HM182" s="324"/>
      <c r="HN182" s="324"/>
      <c r="HO182" s="324"/>
      <c r="HP182" s="324"/>
      <c r="HQ182" s="324"/>
      <c r="HR182" s="324"/>
      <c r="HS182" s="324"/>
      <c r="HT182" s="324"/>
      <c r="HU182" s="324"/>
      <c r="HV182" s="324"/>
      <c r="HW182" s="324"/>
      <c r="HX182" s="324"/>
      <c r="HY182" s="324"/>
      <c r="HZ182" s="324"/>
      <c r="IA182" s="324"/>
      <c r="IB182" s="324"/>
      <c r="IC182" s="324"/>
      <c r="ID182" s="324"/>
      <c r="IE182" s="324"/>
      <c r="IF182" s="324"/>
      <c r="IG182" s="324"/>
      <c r="IH182" s="324"/>
      <c r="II182" s="324"/>
      <c r="IJ182" s="324"/>
      <c r="IK182" s="324"/>
      <c r="IL182" s="324"/>
      <c r="IM182" s="324"/>
    </row>
    <row r="183" spans="1:247" x14ac:dyDescent="0.35">
      <c r="A183" s="356">
        <v>7431</v>
      </c>
      <c r="B183" s="357" t="s">
        <v>186</v>
      </c>
      <c r="C183" s="172" t="s">
        <v>8</v>
      </c>
      <c r="D183" s="358" t="s">
        <v>2053</v>
      </c>
      <c r="E183" s="336">
        <f>+$E$3</f>
        <v>1.0740000000000001</v>
      </c>
      <c r="F183" s="331">
        <f t="shared" si="29"/>
        <v>1.0209999999999999</v>
      </c>
      <c r="G183" s="337">
        <f t="shared" si="48"/>
        <v>1.0269999999999999</v>
      </c>
      <c r="H183" s="336">
        <f t="shared" si="47"/>
        <v>1.0029999999999999</v>
      </c>
      <c r="I183" s="338">
        <f t="shared" si="49"/>
        <v>1.0289999999999999</v>
      </c>
      <c r="J183" s="338">
        <f t="shared" si="50"/>
        <v>1.0049999999999999</v>
      </c>
      <c r="K183" s="338">
        <f>+$K$3</f>
        <v>1.026</v>
      </c>
      <c r="L183" s="338"/>
      <c r="M183" s="338">
        <f>+$M$3</f>
        <v>1.0029999999999999</v>
      </c>
      <c r="N183" s="337">
        <f t="shared" si="51"/>
        <v>1.0029999999999999</v>
      </c>
      <c r="O183" s="339">
        <f t="shared" si="52"/>
        <v>1.0209999999999999</v>
      </c>
      <c r="P183" s="336">
        <f t="shared" si="53"/>
        <v>1.032</v>
      </c>
      <c r="Q183" s="337">
        <f t="shared" si="54"/>
        <v>1.0349999999999999</v>
      </c>
      <c r="R183" s="340">
        <f t="shared" si="30"/>
        <v>1.3148549708569053</v>
      </c>
      <c r="S183" s="324"/>
      <c r="T183" s="324"/>
      <c r="U183" s="324"/>
      <c r="V183" s="324"/>
      <c r="W183" s="324"/>
      <c r="X183" s="324"/>
      <c r="Y183" s="324"/>
      <c r="Z183" s="324"/>
      <c r="AA183" s="324"/>
      <c r="AB183" s="324"/>
      <c r="AC183" s="324"/>
      <c r="AD183" s="324"/>
      <c r="AE183" s="324"/>
      <c r="AF183" s="324"/>
      <c r="AG183" s="324"/>
      <c r="AH183" s="324"/>
      <c r="AI183" s="324"/>
      <c r="AJ183" s="324"/>
      <c r="AK183" s="324"/>
      <c r="AL183" s="324"/>
      <c r="AM183" s="324"/>
      <c r="AN183" s="324"/>
      <c r="AO183" s="324"/>
      <c r="AP183" s="324"/>
      <c r="AQ183" s="324"/>
      <c r="AR183" s="324"/>
      <c r="AS183" s="324"/>
      <c r="AT183" s="324"/>
      <c r="AU183" s="324"/>
      <c r="AV183" s="324"/>
      <c r="AW183" s="324"/>
      <c r="AX183" s="324"/>
      <c r="AY183" s="324"/>
      <c r="AZ183" s="324"/>
      <c r="BA183" s="324"/>
      <c r="BB183" s="324"/>
      <c r="BC183" s="324"/>
      <c r="BD183" s="324"/>
      <c r="BE183" s="324"/>
      <c r="BF183" s="324"/>
      <c r="BG183" s="324"/>
      <c r="BH183" s="324"/>
      <c r="BI183" s="324"/>
      <c r="BJ183" s="324"/>
      <c r="BK183" s="324"/>
      <c r="BL183" s="324"/>
      <c r="BM183" s="324"/>
      <c r="BN183" s="324"/>
      <c r="BO183" s="324"/>
      <c r="BP183" s="324"/>
      <c r="BQ183" s="324"/>
      <c r="BR183" s="324"/>
      <c r="BS183" s="324"/>
      <c r="BT183" s="324"/>
      <c r="BU183" s="324"/>
      <c r="BV183" s="324"/>
      <c r="BW183" s="324"/>
      <c r="BX183" s="324"/>
      <c r="BY183" s="324"/>
      <c r="BZ183" s="324"/>
      <c r="CA183" s="324"/>
      <c r="CB183" s="324"/>
      <c r="CC183" s="324"/>
      <c r="CD183" s="324"/>
      <c r="CE183" s="324"/>
      <c r="CF183" s="324"/>
      <c r="CG183" s="324"/>
      <c r="CH183" s="324"/>
      <c r="CI183" s="324"/>
      <c r="CJ183" s="324"/>
      <c r="CK183" s="324"/>
      <c r="CL183" s="324"/>
      <c r="CM183" s="324"/>
      <c r="CN183" s="324"/>
      <c r="CO183" s="324"/>
      <c r="CP183" s="324"/>
      <c r="CQ183" s="324"/>
      <c r="CR183" s="324"/>
      <c r="CS183" s="324"/>
      <c r="CT183" s="324"/>
      <c r="CU183" s="324"/>
      <c r="CV183" s="324"/>
      <c r="CW183" s="324"/>
      <c r="CX183" s="324"/>
      <c r="CY183" s="324"/>
      <c r="CZ183" s="324"/>
      <c r="DA183" s="324"/>
      <c r="DB183" s="324"/>
      <c r="DC183" s="324"/>
      <c r="DD183" s="324"/>
      <c r="DE183" s="324"/>
      <c r="DF183" s="324"/>
      <c r="DG183" s="324"/>
      <c r="DH183" s="324"/>
      <c r="DI183" s="324"/>
      <c r="DJ183" s="324"/>
      <c r="DK183" s="324"/>
      <c r="DL183" s="324"/>
      <c r="DM183" s="324"/>
      <c r="DN183" s="324"/>
      <c r="DO183" s="324"/>
      <c r="DP183" s="324"/>
      <c r="DQ183" s="324"/>
      <c r="DR183" s="324"/>
      <c r="DS183" s="324"/>
      <c r="DT183" s="324"/>
      <c r="DU183" s="324"/>
      <c r="DV183" s="324"/>
      <c r="DW183" s="324"/>
      <c r="DX183" s="324"/>
      <c r="DY183" s="324"/>
      <c r="DZ183" s="324"/>
      <c r="EA183" s="324"/>
      <c r="EB183" s="324"/>
      <c r="EC183" s="324"/>
      <c r="ED183" s="324"/>
      <c r="EE183" s="324"/>
      <c r="EF183" s="324"/>
      <c r="EG183" s="324"/>
      <c r="EH183" s="324"/>
      <c r="EI183" s="324"/>
      <c r="EJ183" s="324"/>
      <c r="EK183" s="324"/>
      <c r="EL183" s="324"/>
      <c r="EM183" s="324"/>
      <c r="EN183" s="324"/>
      <c r="EO183" s="324"/>
      <c r="EP183" s="324"/>
      <c r="EQ183" s="324"/>
      <c r="ER183" s="324"/>
      <c r="ES183" s="324"/>
      <c r="ET183" s="324"/>
      <c r="EU183" s="324"/>
      <c r="EV183" s="324"/>
      <c r="EW183" s="324"/>
      <c r="EX183" s="324"/>
      <c r="EY183" s="324"/>
      <c r="EZ183" s="324"/>
      <c r="FA183" s="324"/>
      <c r="FB183" s="324"/>
      <c r="FC183" s="324"/>
      <c r="FD183" s="324"/>
      <c r="FE183" s="324"/>
      <c r="FF183" s="324"/>
      <c r="FG183" s="324"/>
      <c r="FH183" s="324"/>
      <c r="FI183" s="324"/>
      <c r="FJ183" s="324"/>
      <c r="FK183" s="324"/>
      <c r="FL183" s="324"/>
      <c r="FM183" s="324"/>
      <c r="FN183" s="324"/>
      <c r="FO183" s="324"/>
      <c r="FP183" s="324"/>
      <c r="FQ183" s="324"/>
      <c r="FR183" s="324"/>
      <c r="FS183" s="324"/>
      <c r="FT183" s="324"/>
      <c r="FU183" s="324"/>
      <c r="FV183" s="324"/>
      <c r="FW183" s="324"/>
      <c r="FX183" s="324"/>
      <c r="FY183" s="324"/>
      <c r="FZ183" s="324"/>
      <c r="GA183" s="324"/>
      <c r="GB183" s="324"/>
      <c r="GC183" s="324"/>
      <c r="GD183" s="324"/>
      <c r="GE183" s="324"/>
      <c r="GF183" s="324"/>
      <c r="GG183" s="324"/>
      <c r="GH183" s="324"/>
      <c r="GI183" s="324"/>
      <c r="GJ183" s="324"/>
      <c r="GK183" s="324"/>
      <c r="GL183" s="324"/>
      <c r="GM183" s="324"/>
      <c r="GN183" s="324"/>
      <c r="GO183" s="324"/>
      <c r="GP183" s="324"/>
      <c r="GQ183" s="324"/>
      <c r="GR183" s="324"/>
      <c r="GS183" s="324"/>
      <c r="GT183" s="324"/>
      <c r="GU183" s="324"/>
      <c r="GV183" s="324"/>
      <c r="GW183" s="324"/>
      <c r="GX183" s="324"/>
      <c r="GY183" s="324"/>
      <c r="GZ183" s="324"/>
      <c r="HA183" s="324"/>
      <c r="HB183" s="324"/>
      <c r="HC183" s="324"/>
      <c r="HD183" s="324"/>
      <c r="HE183" s="324"/>
      <c r="HF183" s="324"/>
      <c r="HG183" s="324"/>
      <c r="HH183" s="324"/>
      <c r="HI183" s="324"/>
      <c r="HJ183" s="324"/>
      <c r="HK183" s="324"/>
      <c r="HL183" s="324"/>
      <c r="HM183" s="324"/>
      <c r="HN183" s="324"/>
      <c r="HO183" s="324"/>
      <c r="HP183" s="324"/>
      <c r="HQ183" s="324"/>
      <c r="HR183" s="324"/>
      <c r="HS183" s="324"/>
      <c r="HT183" s="324"/>
      <c r="HU183" s="324"/>
      <c r="HV183" s="324"/>
      <c r="HW183" s="324"/>
      <c r="HX183" s="324"/>
      <c r="HY183" s="324"/>
      <c r="HZ183" s="324"/>
      <c r="IA183" s="324"/>
      <c r="IB183" s="324"/>
      <c r="IC183" s="324"/>
      <c r="ID183" s="324"/>
      <c r="IE183" s="324"/>
      <c r="IF183" s="324"/>
      <c r="IG183" s="324"/>
      <c r="IH183" s="324"/>
      <c r="II183" s="324"/>
      <c r="IJ183" s="324"/>
      <c r="IK183" s="324"/>
      <c r="IL183" s="324"/>
      <c r="IM183" s="324"/>
    </row>
    <row r="184" spans="1:247" x14ac:dyDescent="0.35">
      <c r="A184" s="356">
        <v>7440</v>
      </c>
      <c r="B184" s="357" t="s">
        <v>2057</v>
      </c>
      <c r="C184" s="172" t="s">
        <v>8</v>
      </c>
      <c r="D184" s="358" t="s">
        <v>2053</v>
      </c>
      <c r="E184" s="336">
        <v>1.0740000000000001</v>
      </c>
      <c r="F184" s="331">
        <v>1.0209999999999999</v>
      </c>
      <c r="G184" s="337">
        <v>1.0269999999999999</v>
      </c>
      <c r="H184" s="336">
        <v>1.0029999999999999</v>
      </c>
      <c r="I184" s="338">
        <v>1.0289999999999999</v>
      </c>
      <c r="J184" s="338">
        <v>1.0049999999999999</v>
      </c>
      <c r="K184" s="338">
        <v>1.026</v>
      </c>
      <c r="L184" s="338"/>
      <c r="M184" s="338">
        <v>1.0029999999999999</v>
      </c>
      <c r="N184" s="337">
        <v>1.0029999999999999</v>
      </c>
      <c r="O184" s="339">
        <v>1.0209999999999999</v>
      </c>
      <c r="P184" s="336">
        <v>1.032</v>
      </c>
      <c r="Q184" s="337">
        <v>1.0349999999999999</v>
      </c>
      <c r="R184" s="340">
        <v>1.3148549708569053</v>
      </c>
      <c r="S184" s="324"/>
      <c r="T184" s="324"/>
      <c r="U184" s="324"/>
      <c r="V184" s="324"/>
      <c r="W184" s="324"/>
      <c r="X184" s="324"/>
      <c r="Y184" s="324"/>
      <c r="Z184" s="324"/>
      <c r="AA184" s="324"/>
      <c r="AB184" s="324"/>
      <c r="AC184" s="324"/>
      <c r="AD184" s="324"/>
      <c r="AE184" s="324"/>
      <c r="AF184" s="324"/>
      <c r="AG184" s="324"/>
      <c r="AH184" s="324"/>
      <c r="AI184" s="324"/>
      <c r="AJ184" s="324"/>
      <c r="AK184" s="324"/>
      <c r="AL184" s="324"/>
      <c r="AM184" s="324"/>
      <c r="AN184" s="324"/>
      <c r="AO184" s="324"/>
      <c r="AP184" s="324"/>
      <c r="AQ184" s="324"/>
      <c r="AR184" s="324"/>
      <c r="AS184" s="324"/>
      <c r="AT184" s="324"/>
      <c r="AU184" s="324"/>
      <c r="AV184" s="324"/>
      <c r="AW184" s="324"/>
      <c r="AX184" s="324"/>
      <c r="AY184" s="324"/>
      <c r="AZ184" s="324"/>
      <c r="BA184" s="324"/>
      <c r="BB184" s="324"/>
      <c r="BC184" s="324"/>
      <c r="BD184" s="324"/>
      <c r="BE184" s="324"/>
      <c r="BF184" s="324"/>
      <c r="BG184" s="324"/>
      <c r="BH184" s="324"/>
      <c r="BI184" s="324"/>
      <c r="BJ184" s="324"/>
      <c r="BK184" s="324"/>
      <c r="BL184" s="324"/>
      <c r="BM184" s="324"/>
      <c r="BN184" s="324"/>
      <c r="BO184" s="324"/>
      <c r="BP184" s="324"/>
      <c r="BQ184" s="324"/>
      <c r="BR184" s="324"/>
      <c r="BS184" s="324"/>
      <c r="BT184" s="324"/>
      <c r="BU184" s="324"/>
      <c r="BV184" s="324"/>
      <c r="BW184" s="324"/>
      <c r="BX184" s="324"/>
      <c r="BY184" s="324"/>
      <c r="BZ184" s="324"/>
      <c r="CA184" s="324"/>
      <c r="CB184" s="324"/>
      <c r="CC184" s="324"/>
      <c r="CD184" s="324"/>
      <c r="CE184" s="324"/>
      <c r="CF184" s="324"/>
      <c r="CG184" s="324"/>
      <c r="CH184" s="324"/>
      <c r="CI184" s="324"/>
      <c r="CJ184" s="324"/>
      <c r="CK184" s="324"/>
      <c r="CL184" s="324"/>
      <c r="CM184" s="324"/>
      <c r="CN184" s="324"/>
      <c r="CO184" s="324"/>
      <c r="CP184" s="324"/>
      <c r="CQ184" s="324"/>
      <c r="CR184" s="324"/>
      <c r="CS184" s="324"/>
      <c r="CT184" s="324"/>
      <c r="CU184" s="324"/>
      <c r="CV184" s="324"/>
      <c r="CW184" s="324"/>
      <c r="CX184" s="324"/>
      <c r="CY184" s="324"/>
      <c r="CZ184" s="324"/>
      <c r="DA184" s="324"/>
      <c r="DB184" s="324"/>
      <c r="DC184" s="324"/>
      <c r="DD184" s="324"/>
      <c r="DE184" s="324"/>
      <c r="DF184" s="324"/>
      <c r="DG184" s="324"/>
      <c r="DH184" s="324"/>
      <c r="DI184" s="324"/>
      <c r="DJ184" s="324"/>
      <c r="DK184" s="324"/>
      <c r="DL184" s="324"/>
      <c r="DM184" s="324"/>
      <c r="DN184" s="324"/>
      <c r="DO184" s="324"/>
      <c r="DP184" s="324"/>
      <c r="DQ184" s="324"/>
      <c r="DR184" s="324"/>
      <c r="DS184" s="324"/>
      <c r="DT184" s="324"/>
      <c r="DU184" s="324"/>
      <c r="DV184" s="324"/>
      <c r="DW184" s="324"/>
      <c r="DX184" s="324"/>
      <c r="DY184" s="324"/>
      <c r="DZ184" s="324"/>
      <c r="EA184" s="324"/>
      <c r="EB184" s="324"/>
      <c r="EC184" s="324"/>
      <c r="ED184" s="324"/>
      <c r="EE184" s="324"/>
      <c r="EF184" s="324"/>
      <c r="EG184" s="324"/>
      <c r="EH184" s="324"/>
      <c r="EI184" s="324"/>
      <c r="EJ184" s="324"/>
      <c r="EK184" s="324"/>
      <c r="EL184" s="324"/>
      <c r="EM184" s="324"/>
      <c r="EN184" s="324"/>
      <c r="EO184" s="324"/>
      <c r="EP184" s="324"/>
      <c r="EQ184" s="324"/>
      <c r="ER184" s="324"/>
      <c r="ES184" s="324"/>
      <c r="ET184" s="324"/>
      <c r="EU184" s="324"/>
      <c r="EV184" s="324"/>
      <c r="EW184" s="324"/>
      <c r="EX184" s="324"/>
      <c r="EY184" s="324"/>
      <c r="EZ184" s="324"/>
      <c r="FA184" s="324"/>
      <c r="FB184" s="324"/>
      <c r="FC184" s="324"/>
      <c r="FD184" s="324"/>
      <c r="FE184" s="324"/>
      <c r="FF184" s="324"/>
      <c r="FG184" s="324"/>
      <c r="FH184" s="324"/>
      <c r="FI184" s="324"/>
      <c r="FJ184" s="324"/>
      <c r="FK184" s="324"/>
      <c r="FL184" s="324"/>
      <c r="FM184" s="324"/>
      <c r="FN184" s="324"/>
      <c r="FO184" s="324"/>
      <c r="FP184" s="324"/>
      <c r="FQ184" s="324"/>
      <c r="FR184" s="324"/>
      <c r="FS184" s="324"/>
      <c r="FT184" s="324"/>
      <c r="FU184" s="324"/>
      <c r="FV184" s="324"/>
      <c r="FW184" s="324"/>
      <c r="FX184" s="324"/>
      <c r="FY184" s="324"/>
      <c r="FZ184" s="324"/>
      <c r="GA184" s="324"/>
      <c r="GB184" s="324"/>
      <c r="GC184" s="324"/>
      <c r="GD184" s="324"/>
      <c r="GE184" s="324"/>
      <c r="GF184" s="324"/>
      <c r="GG184" s="324"/>
      <c r="GH184" s="324"/>
      <c r="GI184" s="324"/>
      <c r="GJ184" s="324"/>
      <c r="GK184" s="324"/>
      <c r="GL184" s="324"/>
      <c r="GM184" s="324"/>
      <c r="GN184" s="324"/>
      <c r="GO184" s="324"/>
      <c r="GP184" s="324"/>
      <c r="GQ184" s="324"/>
      <c r="GR184" s="324"/>
      <c r="GS184" s="324"/>
      <c r="GT184" s="324"/>
      <c r="GU184" s="324"/>
      <c r="GV184" s="324"/>
      <c r="GW184" s="324"/>
      <c r="GX184" s="324"/>
      <c r="GY184" s="324"/>
      <c r="GZ184" s="324"/>
      <c r="HA184" s="324"/>
      <c r="HB184" s="324"/>
      <c r="HC184" s="324"/>
      <c r="HD184" s="324"/>
      <c r="HE184" s="324"/>
      <c r="HF184" s="324"/>
      <c r="HG184" s="324"/>
      <c r="HH184" s="324"/>
      <c r="HI184" s="324"/>
      <c r="HJ184" s="324"/>
      <c r="HK184" s="324"/>
      <c r="HL184" s="324"/>
      <c r="HM184" s="324"/>
      <c r="HN184" s="324"/>
      <c r="HO184" s="324"/>
      <c r="HP184" s="324"/>
      <c r="HQ184" s="324"/>
      <c r="HR184" s="324"/>
      <c r="HS184" s="324"/>
      <c r="HT184" s="324"/>
      <c r="HU184" s="324"/>
      <c r="HV184" s="324"/>
      <c r="HW184" s="324"/>
      <c r="HX184" s="324"/>
      <c r="HY184" s="324"/>
      <c r="HZ184" s="324"/>
      <c r="IA184" s="324"/>
      <c r="IB184" s="324"/>
      <c r="IC184" s="324"/>
      <c r="ID184" s="324"/>
      <c r="IE184" s="324"/>
      <c r="IF184" s="324"/>
      <c r="IG184" s="324"/>
      <c r="IH184" s="324"/>
      <c r="II184" s="324"/>
      <c r="IJ184" s="324"/>
      <c r="IK184" s="324"/>
      <c r="IL184" s="324"/>
      <c r="IM184" s="324"/>
    </row>
    <row r="185" spans="1:247" x14ac:dyDescent="0.35">
      <c r="A185" s="356">
        <v>7442</v>
      </c>
      <c r="B185" s="357" t="s">
        <v>187</v>
      </c>
      <c r="C185" s="172" t="s">
        <v>8</v>
      </c>
      <c r="D185" s="358" t="s">
        <v>2053</v>
      </c>
      <c r="E185" s="336"/>
      <c r="F185" s="331">
        <f t="shared" si="29"/>
        <v>1.0209999999999999</v>
      </c>
      <c r="G185" s="337">
        <f t="shared" si="48"/>
        <v>1.0269999999999999</v>
      </c>
      <c r="H185" s="336"/>
      <c r="I185" s="338"/>
      <c r="J185" s="338">
        <f t="shared" si="50"/>
        <v>1.0049999999999999</v>
      </c>
      <c r="K185" s="338"/>
      <c r="L185" s="338"/>
      <c r="M185" s="338"/>
      <c r="N185" s="337">
        <f t="shared" si="51"/>
        <v>1.0029999999999999</v>
      </c>
      <c r="O185" s="339"/>
      <c r="P185" s="336">
        <f t="shared" si="53"/>
        <v>1.032</v>
      </c>
      <c r="Q185" s="337">
        <f t="shared" si="54"/>
        <v>1.0349999999999999</v>
      </c>
      <c r="R185" s="340">
        <f t="shared" si="30"/>
        <v>1.12897214704308</v>
      </c>
      <c r="S185" s="324"/>
      <c r="T185" s="324"/>
      <c r="U185" s="324"/>
      <c r="V185" s="324"/>
      <c r="W185" s="324"/>
      <c r="X185" s="324"/>
      <c r="Y185" s="324"/>
      <c r="Z185" s="324"/>
      <c r="AA185" s="324"/>
      <c r="AB185" s="324"/>
      <c r="AC185" s="324"/>
      <c r="AD185" s="324"/>
      <c r="AE185" s="324"/>
      <c r="AF185" s="324"/>
      <c r="AG185" s="324"/>
      <c r="AH185" s="324"/>
      <c r="AI185" s="324"/>
      <c r="AJ185" s="324"/>
      <c r="AK185" s="324"/>
      <c r="AL185" s="324"/>
      <c r="AM185" s="324"/>
      <c r="AN185" s="324"/>
      <c r="AO185" s="324"/>
      <c r="AP185" s="324"/>
      <c r="AQ185" s="324"/>
      <c r="AR185" s="324"/>
      <c r="AS185" s="324"/>
      <c r="AT185" s="324"/>
      <c r="AU185" s="324"/>
      <c r="AV185" s="324"/>
      <c r="AW185" s="324"/>
      <c r="AX185" s="324"/>
      <c r="AY185" s="324"/>
      <c r="AZ185" s="324"/>
      <c r="BA185" s="324"/>
      <c r="BB185" s="324"/>
      <c r="BC185" s="324"/>
      <c r="BD185" s="324"/>
      <c r="BE185" s="324"/>
      <c r="BF185" s="324"/>
      <c r="BG185" s="324"/>
      <c r="BH185" s="324"/>
      <c r="BI185" s="324"/>
      <c r="BJ185" s="324"/>
      <c r="BK185" s="324"/>
      <c r="BL185" s="324"/>
      <c r="BM185" s="324"/>
      <c r="BN185" s="324"/>
      <c r="BO185" s="324"/>
      <c r="BP185" s="324"/>
      <c r="BQ185" s="324"/>
      <c r="BR185" s="324"/>
      <c r="BS185" s="324"/>
      <c r="BT185" s="324"/>
      <c r="BU185" s="324"/>
      <c r="BV185" s="324"/>
      <c r="BW185" s="324"/>
      <c r="BX185" s="324"/>
      <c r="BY185" s="324"/>
      <c r="BZ185" s="324"/>
      <c r="CA185" s="324"/>
      <c r="CB185" s="324"/>
      <c r="CC185" s="324"/>
      <c r="CD185" s="324"/>
      <c r="CE185" s="324"/>
      <c r="CF185" s="324"/>
      <c r="CG185" s="324"/>
      <c r="CH185" s="324"/>
      <c r="CI185" s="324"/>
      <c r="CJ185" s="324"/>
      <c r="CK185" s="324"/>
      <c r="CL185" s="324"/>
      <c r="CM185" s="324"/>
      <c r="CN185" s="324"/>
      <c r="CO185" s="324"/>
      <c r="CP185" s="324"/>
      <c r="CQ185" s="324"/>
      <c r="CR185" s="324"/>
      <c r="CS185" s="324"/>
      <c r="CT185" s="324"/>
      <c r="CU185" s="324"/>
      <c r="CV185" s="324"/>
      <c r="CW185" s="324"/>
      <c r="CX185" s="324"/>
      <c r="CY185" s="324"/>
      <c r="CZ185" s="324"/>
      <c r="DA185" s="324"/>
      <c r="DB185" s="324"/>
      <c r="DC185" s="324"/>
      <c r="DD185" s="324"/>
      <c r="DE185" s="324"/>
      <c r="DF185" s="324"/>
      <c r="DG185" s="324"/>
      <c r="DH185" s="324"/>
      <c r="DI185" s="324"/>
      <c r="DJ185" s="324"/>
      <c r="DK185" s="324"/>
      <c r="DL185" s="324"/>
      <c r="DM185" s="324"/>
      <c r="DN185" s="324"/>
      <c r="DO185" s="324"/>
      <c r="DP185" s="324"/>
      <c r="DQ185" s="324"/>
      <c r="DR185" s="324"/>
      <c r="DS185" s="324"/>
      <c r="DT185" s="324"/>
      <c r="DU185" s="324"/>
      <c r="DV185" s="324"/>
      <c r="DW185" s="324"/>
      <c r="DX185" s="324"/>
      <c r="DY185" s="324"/>
      <c r="DZ185" s="324"/>
      <c r="EA185" s="324"/>
      <c r="EB185" s="324"/>
      <c r="EC185" s="324"/>
      <c r="ED185" s="324"/>
      <c r="EE185" s="324"/>
      <c r="EF185" s="324"/>
      <c r="EG185" s="324"/>
      <c r="EH185" s="324"/>
      <c r="EI185" s="324"/>
      <c r="EJ185" s="324"/>
      <c r="EK185" s="324"/>
      <c r="EL185" s="324"/>
      <c r="EM185" s="324"/>
      <c r="EN185" s="324"/>
      <c r="EO185" s="324"/>
      <c r="EP185" s="324"/>
      <c r="EQ185" s="324"/>
      <c r="ER185" s="324"/>
      <c r="ES185" s="324"/>
      <c r="ET185" s="324"/>
      <c r="EU185" s="324"/>
      <c r="EV185" s="324"/>
      <c r="EW185" s="324"/>
      <c r="EX185" s="324"/>
      <c r="EY185" s="324"/>
      <c r="EZ185" s="324"/>
      <c r="FA185" s="324"/>
      <c r="FB185" s="324"/>
      <c r="FC185" s="324"/>
      <c r="FD185" s="324"/>
      <c r="FE185" s="324"/>
      <c r="FF185" s="324"/>
      <c r="FG185" s="324"/>
      <c r="FH185" s="324"/>
      <c r="FI185" s="324"/>
      <c r="FJ185" s="324"/>
      <c r="FK185" s="324"/>
      <c r="FL185" s="324"/>
      <c r="FM185" s="324"/>
      <c r="FN185" s="324"/>
      <c r="FO185" s="324"/>
      <c r="FP185" s="324"/>
      <c r="FQ185" s="324"/>
      <c r="FR185" s="324"/>
      <c r="FS185" s="324"/>
      <c r="FT185" s="324"/>
      <c r="FU185" s="324"/>
      <c r="FV185" s="324"/>
      <c r="FW185" s="324"/>
      <c r="FX185" s="324"/>
      <c r="FY185" s="324"/>
      <c r="FZ185" s="324"/>
      <c r="GA185" s="324"/>
      <c r="GB185" s="324"/>
      <c r="GC185" s="324"/>
      <c r="GD185" s="324"/>
      <c r="GE185" s="324"/>
      <c r="GF185" s="324"/>
      <c r="GG185" s="324"/>
      <c r="GH185" s="324"/>
      <c r="GI185" s="324"/>
      <c r="GJ185" s="324"/>
      <c r="GK185" s="324"/>
      <c r="GL185" s="324"/>
      <c r="GM185" s="324"/>
      <c r="GN185" s="324"/>
      <c r="GO185" s="324"/>
      <c r="GP185" s="324"/>
      <c r="GQ185" s="324"/>
      <c r="GR185" s="324"/>
      <c r="GS185" s="324"/>
      <c r="GT185" s="324"/>
      <c r="GU185" s="324"/>
      <c r="GV185" s="324"/>
      <c r="GW185" s="324"/>
      <c r="GX185" s="324"/>
      <c r="GY185" s="324"/>
      <c r="GZ185" s="324"/>
      <c r="HA185" s="324"/>
      <c r="HB185" s="324"/>
      <c r="HC185" s="324"/>
      <c r="HD185" s="324"/>
      <c r="HE185" s="324"/>
      <c r="HF185" s="324"/>
      <c r="HG185" s="324"/>
      <c r="HH185" s="324"/>
      <c r="HI185" s="324"/>
      <c r="HJ185" s="324"/>
      <c r="HK185" s="324"/>
      <c r="HL185" s="324"/>
      <c r="HM185" s="324"/>
      <c r="HN185" s="324"/>
      <c r="HO185" s="324"/>
      <c r="HP185" s="324"/>
      <c r="HQ185" s="324"/>
      <c r="HR185" s="324"/>
      <c r="HS185" s="324"/>
      <c r="HT185" s="324"/>
      <c r="HU185" s="324"/>
      <c r="HV185" s="324"/>
      <c r="HW185" s="324"/>
      <c r="HX185" s="324"/>
      <c r="HY185" s="324"/>
      <c r="HZ185" s="324"/>
      <c r="IA185" s="324"/>
      <c r="IB185" s="324"/>
      <c r="IC185" s="324"/>
      <c r="ID185" s="324"/>
      <c r="IE185" s="324"/>
      <c r="IF185" s="324"/>
      <c r="IG185" s="324"/>
      <c r="IH185" s="324"/>
      <c r="II185" s="324"/>
      <c r="IJ185" s="324"/>
      <c r="IK185" s="324"/>
      <c r="IL185" s="324"/>
      <c r="IM185" s="324"/>
    </row>
    <row r="186" spans="1:247" x14ac:dyDescent="0.35">
      <c r="A186" s="356">
        <v>7443</v>
      </c>
      <c r="B186" s="357" t="s">
        <v>188</v>
      </c>
      <c r="C186" s="172" t="s">
        <v>8</v>
      </c>
      <c r="D186" s="358" t="s">
        <v>2053</v>
      </c>
      <c r="E186" s="336"/>
      <c r="F186" s="331">
        <f t="shared" si="29"/>
        <v>1.0209999999999999</v>
      </c>
      <c r="G186" s="337"/>
      <c r="H186" s="336">
        <f>+$H$3</f>
        <v>1.0029999999999999</v>
      </c>
      <c r="I186" s="338">
        <f>+$I$3</f>
        <v>1.0289999999999999</v>
      </c>
      <c r="J186" s="338">
        <f t="shared" si="50"/>
        <v>1.0049999999999999</v>
      </c>
      <c r="K186" s="338"/>
      <c r="L186" s="338"/>
      <c r="M186" s="338"/>
      <c r="N186" s="337"/>
      <c r="O186" s="339"/>
      <c r="P186" s="336"/>
      <c r="Q186" s="337"/>
      <c r="R186" s="340">
        <f t="shared" si="30"/>
        <v>1.0590296311349996</v>
      </c>
      <c r="S186" s="324"/>
      <c r="T186" s="324"/>
      <c r="U186" s="324"/>
      <c r="V186" s="324"/>
      <c r="W186" s="324"/>
      <c r="X186" s="324"/>
      <c r="Y186" s="324"/>
      <c r="Z186" s="324"/>
      <c r="AA186" s="324"/>
      <c r="AB186" s="324"/>
      <c r="AC186" s="324"/>
      <c r="AD186" s="324"/>
      <c r="AE186" s="324"/>
      <c r="AF186" s="324"/>
      <c r="AG186" s="324"/>
      <c r="AH186" s="324"/>
      <c r="AI186" s="324"/>
      <c r="AJ186" s="324"/>
      <c r="AK186" s="324"/>
      <c r="AL186" s="324"/>
      <c r="AM186" s="324"/>
      <c r="AN186" s="324"/>
      <c r="AO186" s="324"/>
      <c r="AP186" s="324"/>
      <c r="AQ186" s="324"/>
      <c r="AR186" s="324"/>
      <c r="AS186" s="324"/>
      <c r="AT186" s="324"/>
      <c r="AU186" s="324"/>
      <c r="AV186" s="324"/>
      <c r="AW186" s="324"/>
      <c r="AX186" s="324"/>
      <c r="AY186" s="324"/>
      <c r="AZ186" s="324"/>
      <c r="BA186" s="324"/>
      <c r="BB186" s="324"/>
      <c r="BC186" s="324"/>
      <c r="BD186" s="324"/>
      <c r="BE186" s="324"/>
      <c r="BF186" s="324"/>
      <c r="BG186" s="324"/>
      <c r="BH186" s="324"/>
      <c r="BI186" s="324"/>
      <c r="BJ186" s="324"/>
      <c r="BK186" s="324"/>
      <c r="BL186" s="324"/>
      <c r="BM186" s="324"/>
      <c r="BN186" s="324"/>
      <c r="BO186" s="324"/>
      <c r="BP186" s="324"/>
      <c r="BQ186" s="324"/>
      <c r="BR186" s="324"/>
      <c r="BS186" s="324"/>
      <c r="BT186" s="324"/>
      <c r="BU186" s="324"/>
      <c r="BV186" s="324"/>
      <c r="BW186" s="324"/>
      <c r="BX186" s="324"/>
      <c r="BY186" s="324"/>
      <c r="BZ186" s="324"/>
      <c r="CA186" s="324"/>
      <c r="CB186" s="324"/>
      <c r="CC186" s="324"/>
      <c r="CD186" s="324"/>
      <c r="CE186" s="324"/>
      <c r="CF186" s="324"/>
      <c r="CG186" s="324"/>
      <c r="CH186" s="324"/>
      <c r="CI186" s="324"/>
      <c r="CJ186" s="324"/>
      <c r="CK186" s="324"/>
      <c r="CL186" s="324"/>
      <c r="CM186" s="324"/>
      <c r="CN186" s="324"/>
      <c r="CO186" s="324"/>
      <c r="CP186" s="324"/>
      <c r="CQ186" s="324"/>
      <c r="CR186" s="324"/>
      <c r="CS186" s="324"/>
      <c r="CT186" s="324"/>
      <c r="CU186" s="324"/>
      <c r="CV186" s="324"/>
      <c r="CW186" s="324"/>
      <c r="CX186" s="324"/>
      <c r="CY186" s="324"/>
      <c r="CZ186" s="324"/>
      <c r="DA186" s="324"/>
      <c r="DB186" s="324"/>
      <c r="DC186" s="324"/>
      <c r="DD186" s="324"/>
      <c r="DE186" s="324"/>
      <c r="DF186" s="324"/>
      <c r="DG186" s="324"/>
      <c r="DH186" s="324"/>
      <c r="DI186" s="324"/>
      <c r="DJ186" s="324"/>
      <c r="DK186" s="324"/>
      <c r="DL186" s="324"/>
      <c r="DM186" s="324"/>
      <c r="DN186" s="324"/>
      <c r="DO186" s="324"/>
      <c r="DP186" s="324"/>
      <c r="DQ186" s="324"/>
      <c r="DR186" s="324"/>
      <c r="DS186" s="324"/>
      <c r="DT186" s="324"/>
      <c r="DU186" s="324"/>
      <c r="DV186" s="324"/>
      <c r="DW186" s="324"/>
      <c r="DX186" s="324"/>
      <c r="DY186" s="324"/>
      <c r="DZ186" s="324"/>
      <c r="EA186" s="324"/>
      <c r="EB186" s="324"/>
      <c r="EC186" s="324"/>
      <c r="ED186" s="324"/>
      <c r="EE186" s="324"/>
      <c r="EF186" s="324"/>
      <c r="EG186" s="324"/>
      <c r="EH186" s="324"/>
      <c r="EI186" s="324"/>
      <c r="EJ186" s="324"/>
      <c r="EK186" s="324"/>
      <c r="EL186" s="324"/>
      <c r="EM186" s="324"/>
      <c r="EN186" s="324"/>
      <c r="EO186" s="324"/>
      <c r="EP186" s="324"/>
      <c r="EQ186" s="324"/>
      <c r="ER186" s="324"/>
      <c r="ES186" s="324"/>
      <c r="ET186" s="324"/>
      <c r="EU186" s="324"/>
      <c r="EV186" s="324"/>
      <c r="EW186" s="324"/>
      <c r="EX186" s="324"/>
      <c r="EY186" s="324"/>
      <c r="EZ186" s="324"/>
      <c r="FA186" s="324"/>
      <c r="FB186" s="324"/>
      <c r="FC186" s="324"/>
      <c r="FD186" s="324"/>
      <c r="FE186" s="324"/>
      <c r="FF186" s="324"/>
      <c r="FG186" s="324"/>
      <c r="FH186" s="324"/>
      <c r="FI186" s="324"/>
      <c r="FJ186" s="324"/>
      <c r="FK186" s="324"/>
      <c r="FL186" s="324"/>
      <c r="FM186" s="324"/>
      <c r="FN186" s="324"/>
      <c r="FO186" s="324"/>
      <c r="FP186" s="324"/>
      <c r="FQ186" s="324"/>
      <c r="FR186" s="324"/>
      <c r="FS186" s="324"/>
      <c r="FT186" s="324"/>
      <c r="FU186" s="324"/>
      <c r="FV186" s="324"/>
      <c r="FW186" s="324"/>
      <c r="FX186" s="324"/>
      <c r="FY186" s="324"/>
      <c r="FZ186" s="324"/>
      <c r="GA186" s="324"/>
      <c r="GB186" s="324"/>
      <c r="GC186" s="324"/>
      <c r="GD186" s="324"/>
      <c r="GE186" s="324"/>
      <c r="GF186" s="324"/>
      <c r="GG186" s="324"/>
      <c r="GH186" s="324"/>
      <c r="GI186" s="324"/>
      <c r="GJ186" s="324"/>
      <c r="GK186" s="324"/>
      <c r="GL186" s="324"/>
      <c r="GM186" s="324"/>
      <c r="GN186" s="324"/>
      <c r="GO186" s="324"/>
      <c r="GP186" s="324"/>
      <c r="GQ186" s="324"/>
      <c r="GR186" s="324"/>
      <c r="GS186" s="324"/>
      <c r="GT186" s="324"/>
      <c r="GU186" s="324"/>
      <c r="GV186" s="324"/>
      <c r="GW186" s="324"/>
      <c r="GX186" s="324"/>
      <c r="GY186" s="324"/>
      <c r="GZ186" s="324"/>
      <c r="HA186" s="324"/>
      <c r="HB186" s="324"/>
      <c r="HC186" s="324"/>
      <c r="HD186" s="324"/>
      <c r="HE186" s="324"/>
      <c r="HF186" s="324"/>
      <c r="HG186" s="324"/>
      <c r="HH186" s="324"/>
      <c r="HI186" s="324"/>
      <c r="HJ186" s="324"/>
      <c r="HK186" s="324"/>
      <c r="HL186" s="324"/>
      <c r="HM186" s="324"/>
      <c r="HN186" s="324"/>
      <c r="HO186" s="324"/>
      <c r="HP186" s="324"/>
      <c r="HQ186" s="324"/>
      <c r="HR186" s="324"/>
      <c r="HS186" s="324"/>
      <c r="HT186" s="324"/>
      <c r="HU186" s="324"/>
      <c r="HV186" s="324"/>
      <c r="HW186" s="324"/>
      <c r="HX186" s="324"/>
      <c r="HY186" s="324"/>
      <c r="HZ186" s="324"/>
      <c r="IA186" s="324"/>
      <c r="IB186" s="324"/>
      <c r="IC186" s="324"/>
      <c r="ID186" s="324"/>
      <c r="IE186" s="324"/>
      <c r="IF186" s="324"/>
      <c r="IG186" s="324"/>
      <c r="IH186" s="324"/>
      <c r="II186" s="324"/>
      <c r="IJ186" s="324"/>
      <c r="IK186" s="324"/>
      <c r="IL186" s="324"/>
      <c r="IM186" s="324"/>
    </row>
    <row r="187" spans="1:247" x14ac:dyDescent="0.35">
      <c r="A187" s="356">
        <v>7444</v>
      </c>
      <c r="B187" s="357" t="s">
        <v>189</v>
      </c>
      <c r="C187" s="172" t="s">
        <v>8</v>
      </c>
      <c r="D187" s="358" t="s">
        <v>2053</v>
      </c>
      <c r="E187" s="336"/>
      <c r="F187" s="331">
        <f t="shared" si="29"/>
        <v>1.0209999999999999</v>
      </c>
      <c r="G187" s="337"/>
      <c r="H187" s="336"/>
      <c r="I187" s="338"/>
      <c r="J187" s="338"/>
      <c r="K187" s="338"/>
      <c r="L187" s="338"/>
      <c r="M187" s="338"/>
      <c r="N187" s="337"/>
      <c r="O187" s="339"/>
      <c r="P187" s="336"/>
      <c r="Q187" s="337"/>
      <c r="R187" s="340">
        <f t="shared" si="30"/>
        <v>1.0209999999999999</v>
      </c>
      <c r="S187" s="324"/>
      <c r="T187" s="324"/>
      <c r="U187" s="324"/>
      <c r="V187" s="324"/>
      <c r="W187" s="324"/>
      <c r="X187" s="324"/>
      <c r="Y187" s="324"/>
      <c r="Z187" s="324"/>
      <c r="AA187" s="324"/>
      <c r="AB187" s="324"/>
      <c r="AC187" s="324"/>
      <c r="AD187" s="324"/>
      <c r="AE187" s="324"/>
      <c r="AF187" s="324"/>
      <c r="AG187" s="324"/>
      <c r="AH187" s="324"/>
      <c r="AI187" s="324"/>
      <c r="AJ187" s="324"/>
      <c r="AK187" s="324"/>
      <c r="AL187" s="324"/>
      <c r="AM187" s="324"/>
      <c r="AN187" s="324"/>
      <c r="AO187" s="324"/>
      <c r="AP187" s="324"/>
      <c r="AQ187" s="324"/>
      <c r="AR187" s="324"/>
      <c r="AS187" s="324"/>
      <c r="AT187" s="324"/>
      <c r="AU187" s="324"/>
      <c r="AV187" s="324"/>
      <c r="AW187" s="324"/>
      <c r="AX187" s="324"/>
      <c r="AY187" s="324"/>
      <c r="AZ187" s="324"/>
      <c r="BA187" s="324"/>
      <c r="BB187" s="324"/>
      <c r="BC187" s="324"/>
      <c r="BD187" s="324"/>
      <c r="BE187" s="324"/>
      <c r="BF187" s="324"/>
      <c r="BG187" s="324"/>
      <c r="BH187" s="324"/>
      <c r="BI187" s="324"/>
      <c r="BJ187" s="324"/>
      <c r="BK187" s="324"/>
      <c r="BL187" s="324"/>
      <c r="BM187" s="324"/>
      <c r="BN187" s="324"/>
      <c r="BO187" s="324"/>
      <c r="BP187" s="324"/>
      <c r="BQ187" s="324"/>
      <c r="BR187" s="324"/>
      <c r="BS187" s="324"/>
      <c r="BT187" s="324"/>
      <c r="BU187" s="324"/>
      <c r="BV187" s="324"/>
      <c r="BW187" s="324"/>
      <c r="BX187" s="324"/>
      <c r="BY187" s="324"/>
      <c r="BZ187" s="324"/>
      <c r="CA187" s="324"/>
      <c r="CB187" s="324"/>
      <c r="CC187" s="324"/>
      <c r="CD187" s="324"/>
      <c r="CE187" s="324"/>
      <c r="CF187" s="324"/>
      <c r="CG187" s="324"/>
      <c r="CH187" s="324"/>
      <c r="CI187" s="324"/>
      <c r="CJ187" s="324"/>
      <c r="CK187" s="324"/>
      <c r="CL187" s="324"/>
      <c r="CM187" s="324"/>
      <c r="CN187" s="324"/>
      <c r="CO187" s="324"/>
      <c r="CP187" s="324"/>
      <c r="CQ187" s="324"/>
      <c r="CR187" s="324"/>
      <c r="CS187" s="324"/>
      <c r="CT187" s="324"/>
      <c r="CU187" s="324"/>
      <c r="CV187" s="324"/>
      <c r="CW187" s="324"/>
      <c r="CX187" s="324"/>
      <c r="CY187" s="324"/>
      <c r="CZ187" s="324"/>
      <c r="DA187" s="324"/>
      <c r="DB187" s="324"/>
      <c r="DC187" s="324"/>
      <c r="DD187" s="324"/>
      <c r="DE187" s="324"/>
      <c r="DF187" s="324"/>
      <c r="DG187" s="324"/>
      <c r="DH187" s="324"/>
      <c r="DI187" s="324"/>
      <c r="DJ187" s="324"/>
      <c r="DK187" s="324"/>
      <c r="DL187" s="324"/>
      <c r="DM187" s="324"/>
      <c r="DN187" s="324"/>
      <c r="DO187" s="324"/>
      <c r="DP187" s="324"/>
      <c r="DQ187" s="324"/>
      <c r="DR187" s="324"/>
      <c r="DS187" s="324"/>
      <c r="DT187" s="324"/>
      <c r="DU187" s="324"/>
      <c r="DV187" s="324"/>
      <c r="DW187" s="324"/>
      <c r="DX187" s="324"/>
      <c r="DY187" s="324"/>
      <c r="DZ187" s="324"/>
      <c r="EA187" s="324"/>
      <c r="EB187" s="324"/>
      <c r="EC187" s="324"/>
      <c r="ED187" s="324"/>
      <c r="EE187" s="324"/>
      <c r="EF187" s="324"/>
      <c r="EG187" s="324"/>
      <c r="EH187" s="324"/>
      <c r="EI187" s="324"/>
      <c r="EJ187" s="324"/>
      <c r="EK187" s="324"/>
      <c r="EL187" s="324"/>
      <c r="EM187" s="324"/>
      <c r="EN187" s="324"/>
      <c r="EO187" s="324"/>
      <c r="EP187" s="324"/>
      <c r="EQ187" s="324"/>
      <c r="ER187" s="324"/>
      <c r="ES187" s="324"/>
      <c r="ET187" s="324"/>
      <c r="EU187" s="324"/>
      <c r="EV187" s="324"/>
      <c r="EW187" s="324"/>
      <c r="EX187" s="324"/>
      <c r="EY187" s="324"/>
      <c r="EZ187" s="324"/>
      <c r="FA187" s="324"/>
      <c r="FB187" s="324"/>
      <c r="FC187" s="324"/>
      <c r="FD187" s="324"/>
      <c r="FE187" s="324"/>
      <c r="FF187" s="324"/>
      <c r="FG187" s="324"/>
      <c r="FH187" s="324"/>
      <c r="FI187" s="324"/>
      <c r="FJ187" s="324"/>
      <c r="FK187" s="324"/>
      <c r="FL187" s="324"/>
      <c r="FM187" s="324"/>
      <c r="FN187" s="324"/>
      <c r="FO187" s="324"/>
      <c r="FP187" s="324"/>
      <c r="FQ187" s="324"/>
      <c r="FR187" s="324"/>
      <c r="FS187" s="324"/>
      <c r="FT187" s="324"/>
      <c r="FU187" s="324"/>
      <c r="FV187" s="324"/>
      <c r="FW187" s="324"/>
      <c r="FX187" s="324"/>
      <c r="FY187" s="324"/>
      <c r="FZ187" s="324"/>
      <c r="GA187" s="324"/>
      <c r="GB187" s="324"/>
      <c r="GC187" s="324"/>
      <c r="GD187" s="324"/>
      <c r="GE187" s="324"/>
      <c r="GF187" s="324"/>
      <c r="GG187" s="324"/>
      <c r="GH187" s="324"/>
      <c r="GI187" s="324"/>
      <c r="GJ187" s="324"/>
      <c r="GK187" s="324"/>
      <c r="GL187" s="324"/>
      <c r="GM187" s="324"/>
      <c r="GN187" s="324"/>
      <c r="GO187" s="324"/>
      <c r="GP187" s="324"/>
      <c r="GQ187" s="324"/>
      <c r="GR187" s="324"/>
      <c r="GS187" s="324"/>
      <c r="GT187" s="324"/>
      <c r="GU187" s="324"/>
      <c r="GV187" s="324"/>
      <c r="GW187" s="324"/>
      <c r="GX187" s="324"/>
      <c r="GY187" s="324"/>
      <c r="GZ187" s="324"/>
      <c r="HA187" s="324"/>
      <c r="HB187" s="324"/>
      <c r="HC187" s="324"/>
      <c r="HD187" s="324"/>
      <c r="HE187" s="324"/>
      <c r="HF187" s="324"/>
      <c r="HG187" s="324"/>
      <c r="HH187" s="324"/>
      <c r="HI187" s="324"/>
      <c r="HJ187" s="324"/>
      <c r="HK187" s="324"/>
      <c r="HL187" s="324"/>
      <c r="HM187" s="324"/>
      <c r="HN187" s="324"/>
      <c r="HO187" s="324"/>
      <c r="HP187" s="324"/>
      <c r="HQ187" s="324"/>
      <c r="HR187" s="324"/>
      <c r="HS187" s="324"/>
      <c r="HT187" s="324"/>
      <c r="HU187" s="324"/>
      <c r="HV187" s="324"/>
      <c r="HW187" s="324"/>
      <c r="HX187" s="324"/>
      <c r="HY187" s="324"/>
      <c r="HZ187" s="324"/>
      <c r="IA187" s="324"/>
      <c r="IB187" s="324"/>
      <c r="IC187" s="324"/>
      <c r="ID187" s="324"/>
      <c r="IE187" s="324"/>
      <c r="IF187" s="324"/>
      <c r="IG187" s="324"/>
      <c r="IH187" s="324"/>
      <c r="II187" s="324"/>
      <c r="IJ187" s="324"/>
      <c r="IK187" s="324"/>
      <c r="IL187" s="324"/>
      <c r="IM187" s="324"/>
    </row>
    <row r="188" spans="1:247" x14ac:dyDescent="0.35">
      <c r="A188" s="356">
        <v>7445</v>
      </c>
      <c r="B188" s="357" t="s">
        <v>190</v>
      </c>
      <c r="C188" s="172" t="s">
        <v>8</v>
      </c>
      <c r="D188" s="358" t="s">
        <v>2053</v>
      </c>
      <c r="E188" s="336"/>
      <c r="F188" s="331">
        <f t="shared" si="29"/>
        <v>1.0209999999999999</v>
      </c>
      <c r="G188" s="337"/>
      <c r="H188" s="336"/>
      <c r="I188" s="338"/>
      <c r="J188" s="338"/>
      <c r="K188" s="338"/>
      <c r="L188" s="338"/>
      <c r="M188" s="338"/>
      <c r="N188" s="337"/>
      <c r="O188" s="339"/>
      <c r="P188" s="336"/>
      <c r="Q188" s="337"/>
      <c r="R188" s="340">
        <f t="shared" si="30"/>
        <v>1.0209999999999999</v>
      </c>
      <c r="S188" s="324"/>
      <c r="T188" s="324"/>
      <c r="U188" s="324"/>
      <c r="V188" s="324"/>
      <c r="W188" s="324"/>
      <c r="X188" s="324"/>
      <c r="Y188" s="324"/>
      <c r="Z188" s="324"/>
      <c r="AA188" s="324"/>
      <c r="AB188" s="324"/>
      <c r="AC188" s="324"/>
      <c r="AD188" s="324"/>
      <c r="AE188" s="324"/>
      <c r="AF188" s="324"/>
      <c r="AG188" s="324"/>
      <c r="AH188" s="324"/>
      <c r="AI188" s="324"/>
      <c r="AJ188" s="324"/>
      <c r="AK188" s="324"/>
      <c r="AL188" s="324"/>
      <c r="AM188" s="324"/>
      <c r="AN188" s="324"/>
      <c r="AO188" s="324"/>
      <c r="AP188" s="324"/>
      <c r="AQ188" s="324"/>
      <c r="AR188" s="324"/>
      <c r="AS188" s="324"/>
      <c r="AT188" s="324"/>
      <c r="AU188" s="324"/>
      <c r="AV188" s="324"/>
      <c r="AW188" s="324"/>
      <c r="AX188" s="324"/>
      <c r="AY188" s="324"/>
      <c r="AZ188" s="324"/>
      <c r="BA188" s="324"/>
      <c r="BB188" s="324"/>
      <c r="BC188" s="324"/>
      <c r="BD188" s="324"/>
      <c r="BE188" s="324"/>
      <c r="BF188" s="324"/>
      <c r="BG188" s="324"/>
      <c r="BH188" s="324"/>
      <c r="BI188" s="324"/>
      <c r="BJ188" s="324"/>
      <c r="BK188" s="324"/>
      <c r="BL188" s="324"/>
      <c r="BM188" s="324"/>
      <c r="BN188" s="324"/>
      <c r="BO188" s="324"/>
      <c r="BP188" s="324"/>
      <c r="BQ188" s="324"/>
      <c r="BR188" s="324"/>
      <c r="BS188" s="324"/>
      <c r="BT188" s="324"/>
      <c r="BU188" s="324"/>
      <c r="BV188" s="324"/>
      <c r="BW188" s="324"/>
      <c r="BX188" s="324"/>
      <c r="BY188" s="324"/>
      <c r="BZ188" s="324"/>
      <c r="CA188" s="324"/>
      <c r="CB188" s="324"/>
      <c r="CC188" s="324"/>
      <c r="CD188" s="324"/>
      <c r="CE188" s="324"/>
      <c r="CF188" s="324"/>
      <c r="CG188" s="324"/>
      <c r="CH188" s="324"/>
      <c r="CI188" s="324"/>
      <c r="CJ188" s="324"/>
      <c r="CK188" s="324"/>
      <c r="CL188" s="324"/>
      <c r="CM188" s="324"/>
      <c r="CN188" s="324"/>
      <c r="CO188" s="324"/>
      <c r="CP188" s="324"/>
      <c r="CQ188" s="324"/>
      <c r="CR188" s="324"/>
      <c r="CS188" s="324"/>
      <c r="CT188" s="324"/>
      <c r="CU188" s="324"/>
      <c r="CV188" s="324"/>
      <c r="CW188" s="324"/>
      <c r="CX188" s="324"/>
      <c r="CY188" s="324"/>
      <c r="CZ188" s="324"/>
      <c r="DA188" s="324"/>
      <c r="DB188" s="324"/>
      <c r="DC188" s="324"/>
      <c r="DD188" s="324"/>
      <c r="DE188" s="324"/>
      <c r="DF188" s="324"/>
      <c r="DG188" s="324"/>
      <c r="DH188" s="324"/>
      <c r="DI188" s="324"/>
      <c r="DJ188" s="324"/>
      <c r="DK188" s="324"/>
      <c r="DL188" s="324"/>
      <c r="DM188" s="324"/>
      <c r="DN188" s="324"/>
      <c r="DO188" s="324"/>
      <c r="DP188" s="324"/>
      <c r="DQ188" s="324"/>
      <c r="DR188" s="324"/>
      <c r="DS188" s="324"/>
      <c r="DT188" s="324"/>
      <c r="DU188" s="324"/>
      <c r="DV188" s="324"/>
      <c r="DW188" s="324"/>
      <c r="DX188" s="324"/>
      <c r="DY188" s="324"/>
      <c r="DZ188" s="324"/>
      <c r="EA188" s="324"/>
      <c r="EB188" s="324"/>
      <c r="EC188" s="324"/>
      <c r="ED188" s="324"/>
      <c r="EE188" s="324"/>
      <c r="EF188" s="324"/>
      <c r="EG188" s="324"/>
      <c r="EH188" s="324"/>
      <c r="EI188" s="324"/>
      <c r="EJ188" s="324"/>
      <c r="EK188" s="324"/>
      <c r="EL188" s="324"/>
      <c r="EM188" s="324"/>
      <c r="EN188" s="324"/>
      <c r="EO188" s="324"/>
      <c r="EP188" s="324"/>
      <c r="EQ188" s="324"/>
      <c r="ER188" s="324"/>
      <c r="ES188" s="324"/>
      <c r="ET188" s="324"/>
      <c r="EU188" s="324"/>
      <c r="EV188" s="324"/>
      <c r="EW188" s="324"/>
      <c r="EX188" s="324"/>
      <c r="EY188" s="324"/>
      <c r="EZ188" s="324"/>
      <c r="FA188" s="324"/>
      <c r="FB188" s="324"/>
      <c r="FC188" s="324"/>
      <c r="FD188" s="324"/>
      <c r="FE188" s="324"/>
      <c r="FF188" s="324"/>
      <c r="FG188" s="324"/>
      <c r="FH188" s="324"/>
      <c r="FI188" s="324"/>
      <c r="FJ188" s="324"/>
      <c r="FK188" s="324"/>
      <c r="FL188" s="324"/>
      <c r="FM188" s="324"/>
      <c r="FN188" s="324"/>
      <c r="FO188" s="324"/>
      <c r="FP188" s="324"/>
      <c r="FQ188" s="324"/>
      <c r="FR188" s="324"/>
      <c r="FS188" s="324"/>
      <c r="FT188" s="324"/>
      <c r="FU188" s="324"/>
      <c r="FV188" s="324"/>
      <c r="FW188" s="324"/>
      <c r="FX188" s="324"/>
      <c r="FY188" s="324"/>
      <c r="FZ188" s="324"/>
      <c r="GA188" s="324"/>
      <c r="GB188" s="324"/>
      <c r="GC188" s="324"/>
      <c r="GD188" s="324"/>
      <c r="GE188" s="324"/>
      <c r="GF188" s="324"/>
      <c r="GG188" s="324"/>
      <c r="GH188" s="324"/>
      <c r="GI188" s="324"/>
      <c r="GJ188" s="324"/>
      <c r="GK188" s="324"/>
      <c r="GL188" s="324"/>
      <c r="GM188" s="324"/>
      <c r="GN188" s="324"/>
      <c r="GO188" s="324"/>
      <c r="GP188" s="324"/>
      <c r="GQ188" s="324"/>
      <c r="GR188" s="324"/>
      <c r="GS188" s="324"/>
      <c r="GT188" s="324"/>
      <c r="GU188" s="324"/>
      <c r="GV188" s="324"/>
      <c r="GW188" s="324"/>
      <c r="GX188" s="324"/>
      <c r="GY188" s="324"/>
      <c r="GZ188" s="324"/>
      <c r="HA188" s="324"/>
      <c r="HB188" s="324"/>
      <c r="HC188" s="324"/>
      <c r="HD188" s="324"/>
      <c r="HE188" s="324"/>
      <c r="HF188" s="324"/>
      <c r="HG188" s="324"/>
      <c r="HH188" s="324"/>
      <c r="HI188" s="324"/>
      <c r="HJ188" s="324"/>
      <c r="HK188" s="324"/>
      <c r="HL188" s="324"/>
      <c r="HM188" s="324"/>
      <c r="HN188" s="324"/>
      <c r="HO188" s="324"/>
      <c r="HP188" s="324"/>
      <c r="HQ188" s="324"/>
      <c r="HR188" s="324"/>
      <c r="HS188" s="324"/>
      <c r="HT188" s="324"/>
      <c r="HU188" s="324"/>
      <c r="HV188" s="324"/>
      <c r="HW188" s="324"/>
      <c r="HX188" s="324"/>
      <c r="HY188" s="324"/>
      <c r="HZ188" s="324"/>
      <c r="IA188" s="324"/>
      <c r="IB188" s="324"/>
      <c r="IC188" s="324"/>
      <c r="ID188" s="324"/>
      <c r="IE188" s="324"/>
      <c r="IF188" s="324"/>
      <c r="IG188" s="324"/>
      <c r="IH188" s="324"/>
      <c r="II188" s="324"/>
      <c r="IJ188" s="324"/>
      <c r="IK188" s="324"/>
      <c r="IL188" s="324"/>
      <c r="IM188" s="324"/>
    </row>
    <row r="189" spans="1:247" x14ac:dyDescent="0.35">
      <c r="A189" s="356">
        <v>7446</v>
      </c>
      <c r="B189" s="357" t="s">
        <v>2058</v>
      </c>
      <c r="C189" s="172" t="s">
        <v>8</v>
      </c>
      <c r="D189" s="358" t="s">
        <v>2053</v>
      </c>
      <c r="E189" s="336"/>
      <c r="F189" s="331">
        <f t="shared" si="29"/>
        <v>1.0209999999999999</v>
      </c>
      <c r="G189" s="337"/>
      <c r="H189" s="336"/>
      <c r="I189" s="338"/>
      <c r="J189" s="338"/>
      <c r="K189" s="338"/>
      <c r="L189" s="338"/>
      <c r="M189" s="338"/>
      <c r="N189" s="337"/>
      <c r="O189" s="339"/>
      <c r="P189" s="336"/>
      <c r="Q189" s="337"/>
      <c r="R189" s="340">
        <f t="shared" si="30"/>
        <v>1.0209999999999999</v>
      </c>
      <c r="S189" s="324"/>
      <c r="T189" s="324"/>
      <c r="U189" s="324"/>
      <c r="V189" s="324"/>
      <c r="W189" s="324"/>
      <c r="X189" s="324"/>
      <c r="Y189" s="324"/>
      <c r="Z189" s="324"/>
      <c r="AA189" s="324"/>
      <c r="AB189" s="324"/>
      <c r="AC189" s="324"/>
      <c r="AD189" s="324"/>
      <c r="AE189" s="324"/>
      <c r="AF189" s="324"/>
      <c r="AG189" s="324"/>
      <c r="AH189" s="324"/>
      <c r="AI189" s="324"/>
      <c r="AJ189" s="324"/>
      <c r="AK189" s="324"/>
      <c r="AL189" s="324"/>
      <c r="AM189" s="324"/>
      <c r="AN189" s="324"/>
      <c r="AO189" s="324"/>
      <c r="AP189" s="324"/>
      <c r="AQ189" s="324"/>
      <c r="AR189" s="324"/>
      <c r="AS189" s="324"/>
      <c r="AT189" s="324"/>
      <c r="AU189" s="324"/>
      <c r="AV189" s="324"/>
      <c r="AW189" s="324"/>
      <c r="AX189" s="324"/>
      <c r="AY189" s="324"/>
      <c r="AZ189" s="324"/>
      <c r="BA189" s="324"/>
      <c r="BB189" s="324"/>
      <c r="BC189" s="324"/>
      <c r="BD189" s="324"/>
      <c r="BE189" s="324"/>
      <c r="BF189" s="324"/>
      <c r="BG189" s="324"/>
      <c r="BH189" s="324"/>
      <c r="BI189" s="324"/>
      <c r="BJ189" s="324"/>
      <c r="BK189" s="324"/>
      <c r="BL189" s="324"/>
      <c r="BM189" s="324"/>
      <c r="BN189" s="324"/>
      <c r="BO189" s="324"/>
      <c r="BP189" s="324"/>
      <c r="BQ189" s="324"/>
      <c r="BR189" s="324"/>
      <c r="BS189" s="324"/>
      <c r="BT189" s="324"/>
      <c r="BU189" s="324"/>
      <c r="BV189" s="324"/>
      <c r="BW189" s="324"/>
      <c r="BX189" s="324"/>
      <c r="BY189" s="324"/>
      <c r="BZ189" s="324"/>
      <c r="CA189" s="324"/>
      <c r="CB189" s="324"/>
      <c r="CC189" s="324"/>
      <c r="CD189" s="324"/>
      <c r="CE189" s="324"/>
      <c r="CF189" s="324"/>
      <c r="CG189" s="324"/>
      <c r="CH189" s="324"/>
      <c r="CI189" s="324"/>
      <c r="CJ189" s="324"/>
      <c r="CK189" s="324"/>
      <c r="CL189" s="324"/>
      <c r="CM189" s="324"/>
      <c r="CN189" s="324"/>
      <c r="CO189" s="324"/>
      <c r="CP189" s="324"/>
      <c r="CQ189" s="324"/>
      <c r="CR189" s="324"/>
      <c r="CS189" s="324"/>
      <c r="CT189" s="324"/>
      <c r="CU189" s="324"/>
      <c r="CV189" s="324"/>
      <c r="CW189" s="324"/>
      <c r="CX189" s="324"/>
      <c r="CY189" s="324"/>
      <c r="CZ189" s="324"/>
      <c r="DA189" s="324"/>
      <c r="DB189" s="324"/>
      <c r="DC189" s="324"/>
      <c r="DD189" s="324"/>
      <c r="DE189" s="324"/>
      <c r="DF189" s="324"/>
      <c r="DG189" s="324"/>
      <c r="DH189" s="324"/>
      <c r="DI189" s="324"/>
      <c r="DJ189" s="324"/>
      <c r="DK189" s="324"/>
      <c r="DL189" s="324"/>
      <c r="DM189" s="324"/>
      <c r="DN189" s="324"/>
      <c r="DO189" s="324"/>
      <c r="DP189" s="324"/>
      <c r="DQ189" s="324"/>
      <c r="DR189" s="324"/>
      <c r="DS189" s="324"/>
      <c r="DT189" s="324"/>
      <c r="DU189" s="324"/>
      <c r="DV189" s="324"/>
      <c r="DW189" s="324"/>
      <c r="DX189" s="324"/>
      <c r="DY189" s="324"/>
      <c r="DZ189" s="324"/>
      <c r="EA189" s="324"/>
      <c r="EB189" s="324"/>
      <c r="EC189" s="324"/>
      <c r="ED189" s="324"/>
      <c r="EE189" s="324"/>
      <c r="EF189" s="324"/>
      <c r="EG189" s="324"/>
      <c r="EH189" s="324"/>
      <c r="EI189" s="324"/>
      <c r="EJ189" s="324"/>
      <c r="EK189" s="324"/>
      <c r="EL189" s="324"/>
      <c r="EM189" s="324"/>
      <c r="EN189" s="324"/>
      <c r="EO189" s="324"/>
      <c r="EP189" s="324"/>
      <c r="EQ189" s="324"/>
      <c r="ER189" s="324"/>
      <c r="ES189" s="324"/>
      <c r="ET189" s="324"/>
      <c r="EU189" s="324"/>
      <c r="EV189" s="324"/>
      <c r="EW189" s="324"/>
      <c r="EX189" s="324"/>
      <c r="EY189" s="324"/>
      <c r="EZ189" s="324"/>
      <c r="FA189" s="324"/>
      <c r="FB189" s="324"/>
      <c r="FC189" s="324"/>
      <c r="FD189" s="324"/>
      <c r="FE189" s="324"/>
      <c r="FF189" s="324"/>
      <c r="FG189" s="324"/>
      <c r="FH189" s="324"/>
      <c r="FI189" s="324"/>
      <c r="FJ189" s="324"/>
      <c r="FK189" s="324"/>
      <c r="FL189" s="324"/>
      <c r="FM189" s="324"/>
      <c r="FN189" s="324"/>
      <c r="FO189" s="324"/>
      <c r="FP189" s="324"/>
      <c r="FQ189" s="324"/>
      <c r="FR189" s="324"/>
      <c r="FS189" s="324"/>
      <c r="FT189" s="324"/>
      <c r="FU189" s="324"/>
      <c r="FV189" s="324"/>
      <c r="FW189" s="324"/>
      <c r="FX189" s="324"/>
      <c r="FY189" s="324"/>
      <c r="FZ189" s="324"/>
      <c r="GA189" s="324"/>
      <c r="GB189" s="324"/>
      <c r="GC189" s="324"/>
      <c r="GD189" s="324"/>
      <c r="GE189" s="324"/>
      <c r="GF189" s="324"/>
      <c r="GG189" s="324"/>
      <c r="GH189" s="324"/>
      <c r="GI189" s="324"/>
      <c r="GJ189" s="324"/>
      <c r="GK189" s="324"/>
      <c r="GL189" s="324"/>
      <c r="GM189" s="324"/>
      <c r="GN189" s="324"/>
      <c r="GO189" s="324"/>
      <c r="GP189" s="324"/>
      <c r="GQ189" s="324"/>
      <c r="GR189" s="324"/>
      <c r="GS189" s="324"/>
      <c r="GT189" s="324"/>
      <c r="GU189" s="324"/>
      <c r="GV189" s="324"/>
      <c r="GW189" s="324"/>
      <c r="GX189" s="324"/>
      <c r="GY189" s="324"/>
      <c r="GZ189" s="324"/>
      <c r="HA189" s="324"/>
      <c r="HB189" s="324"/>
      <c r="HC189" s="324"/>
      <c r="HD189" s="324"/>
      <c r="HE189" s="324"/>
      <c r="HF189" s="324"/>
      <c r="HG189" s="324"/>
      <c r="HH189" s="324"/>
      <c r="HI189" s="324"/>
      <c r="HJ189" s="324"/>
      <c r="HK189" s="324"/>
      <c r="HL189" s="324"/>
      <c r="HM189" s="324"/>
      <c r="HN189" s="324"/>
      <c r="HO189" s="324"/>
      <c r="HP189" s="324"/>
      <c r="HQ189" s="324"/>
      <c r="HR189" s="324"/>
      <c r="HS189" s="324"/>
      <c r="HT189" s="324"/>
      <c r="HU189" s="324"/>
      <c r="HV189" s="324"/>
      <c r="HW189" s="324"/>
      <c r="HX189" s="324"/>
      <c r="HY189" s="324"/>
      <c r="HZ189" s="324"/>
      <c r="IA189" s="324"/>
      <c r="IB189" s="324"/>
      <c r="IC189" s="324"/>
      <c r="ID189" s="324"/>
      <c r="IE189" s="324"/>
      <c r="IF189" s="324"/>
      <c r="IG189" s="324"/>
      <c r="IH189" s="324"/>
      <c r="II189" s="324"/>
      <c r="IJ189" s="324"/>
      <c r="IK189" s="324"/>
      <c r="IL189" s="324"/>
      <c r="IM189" s="324"/>
    </row>
    <row r="190" spans="1:247" x14ac:dyDescent="0.35">
      <c r="A190" s="356">
        <v>7448</v>
      </c>
      <c r="B190" s="357" t="s">
        <v>2059</v>
      </c>
      <c r="C190" s="172" t="s">
        <v>8</v>
      </c>
      <c r="D190" s="358" t="s">
        <v>2053</v>
      </c>
      <c r="E190" s="336"/>
      <c r="F190" s="331">
        <f t="shared" si="29"/>
        <v>1.0209999999999999</v>
      </c>
      <c r="G190" s="337">
        <f>+$G$3</f>
        <v>1.0269999999999999</v>
      </c>
      <c r="H190" s="336"/>
      <c r="I190" s="338"/>
      <c r="J190" s="338"/>
      <c r="K190" s="338"/>
      <c r="L190" s="338">
        <f>+$L$3</f>
        <v>1.0129999999999999</v>
      </c>
      <c r="M190" s="338"/>
      <c r="N190" s="337">
        <f>+$N$3</f>
        <v>1.0029999999999999</v>
      </c>
      <c r="O190" s="339"/>
      <c r="P190" s="336">
        <f t="shared" ref="P190:P195" si="55">+$P$3</f>
        <v>1.032</v>
      </c>
      <c r="Q190" s="337">
        <f t="shared" ref="Q190:Q195" si="56">+$Q$3</f>
        <v>1.0349999999999999</v>
      </c>
      <c r="R190" s="340">
        <f t="shared" si="30"/>
        <v>1.1379589900046172</v>
      </c>
      <c r="S190" s="324"/>
      <c r="T190" s="324"/>
      <c r="U190" s="324"/>
      <c r="V190" s="324"/>
      <c r="W190" s="324"/>
      <c r="X190" s="324"/>
      <c r="Y190" s="324"/>
      <c r="Z190" s="324"/>
      <c r="AA190" s="324"/>
      <c r="AB190" s="324"/>
      <c r="AC190" s="324"/>
      <c r="AD190" s="324"/>
      <c r="AE190" s="324"/>
      <c r="AF190" s="324"/>
      <c r="AG190" s="324"/>
      <c r="AH190" s="324"/>
      <c r="AI190" s="324"/>
      <c r="AJ190" s="324"/>
      <c r="AK190" s="324"/>
      <c r="AL190" s="324"/>
      <c r="AM190" s="324"/>
      <c r="AN190" s="324"/>
      <c r="AO190" s="324"/>
      <c r="AP190" s="324"/>
      <c r="AQ190" s="324"/>
      <c r="AR190" s="324"/>
      <c r="AS190" s="324"/>
      <c r="AT190" s="324"/>
      <c r="AU190" s="324"/>
      <c r="AV190" s="324"/>
      <c r="AW190" s="324"/>
      <c r="AX190" s="324"/>
      <c r="AY190" s="324"/>
      <c r="AZ190" s="324"/>
      <c r="BA190" s="324"/>
      <c r="BB190" s="324"/>
      <c r="BC190" s="324"/>
      <c r="BD190" s="324"/>
      <c r="BE190" s="324"/>
      <c r="BF190" s="324"/>
      <c r="BG190" s="324"/>
      <c r="BH190" s="324"/>
      <c r="BI190" s="324"/>
      <c r="BJ190" s="324"/>
      <c r="BK190" s="324"/>
      <c r="BL190" s="324"/>
      <c r="BM190" s="324"/>
      <c r="BN190" s="324"/>
      <c r="BO190" s="324"/>
      <c r="BP190" s="324"/>
      <c r="BQ190" s="324"/>
      <c r="BR190" s="324"/>
      <c r="BS190" s="324"/>
      <c r="BT190" s="324"/>
      <c r="BU190" s="324"/>
      <c r="BV190" s="324"/>
      <c r="BW190" s="324"/>
      <c r="BX190" s="324"/>
      <c r="BY190" s="324"/>
      <c r="BZ190" s="324"/>
      <c r="CA190" s="324"/>
      <c r="CB190" s="324"/>
      <c r="CC190" s="324"/>
      <c r="CD190" s="324"/>
      <c r="CE190" s="324"/>
      <c r="CF190" s="324"/>
      <c r="CG190" s="324"/>
      <c r="CH190" s="324"/>
      <c r="CI190" s="324"/>
      <c r="CJ190" s="324"/>
      <c r="CK190" s="324"/>
      <c r="CL190" s="324"/>
      <c r="CM190" s="324"/>
      <c r="CN190" s="324"/>
      <c r="CO190" s="324"/>
      <c r="CP190" s="324"/>
      <c r="CQ190" s="324"/>
      <c r="CR190" s="324"/>
      <c r="CS190" s="324"/>
      <c r="CT190" s="324"/>
      <c r="CU190" s="324"/>
      <c r="CV190" s="324"/>
      <c r="CW190" s="324"/>
      <c r="CX190" s="324"/>
      <c r="CY190" s="324"/>
      <c r="CZ190" s="324"/>
      <c r="DA190" s="324"/>
      <c r="DB190" s="324"/>
      <c r="DC190" s="324"/>
      <c r="DD190" s="324"/>
      <c r="DE190" s="324"/>
      <c r="DF190" s="324"/>
      <c r="DG190" s="324"/>
      <c r="DH190" s="324"/>
      <c r="DI190" s="324"/>
      <c r="DJ190" s="324"/>
      <c r="DK190" s="324"/>
      <c r="DL190" s="324"/>
      <c r="DM190" s="324"/>
      <c r="DN190" s="324"/>
      <c r="DO190" s="324"/>
      <c r="DP190" s="324"/>
      <c r="DQ190" s="324"/>
      <c r="DR190" s="324"/>
      <c r="DS190" s="324"/>
      <c r="DT190" s="324"/>
      <c r="DU190" s="324"/>
      <c r="DV190" s="324"/>
      <c r="DW190" s="324"/>
      <c r="DX190" s="324"/>
      <c r="DY190" s="324"/>
      <c r="DZ190" s="324"/>
      <c r="EA190" s="324"/>
      <c r="EB190" s="324"/>
      <c r="EC190" s="324"/>
      <c r="ED190" s="324"/>
      <c r="EE190" s="324"/>
      <c r="EF190" s="324"/>
      <c r="EG190" s="324"/>
      <c r="EH190" s="324"/>
      <c r="EI190" s="324"/>
      <c r="EJ190" s="324"/>
      <c r="EK190" s="324"/>
      <c r="EL190" s="324"/>
      <c r="EM190" s="324"/>
      <c r="EN190" s="324"/>
      <c r="EO190" s="324"/>
      <c r="EP190" s="324"/>
      <c r="EQ190" s="324"/>
      <c r="ER190" s="324"/>
      <c r="ES190" s="324"/>
      <c r="ET190" s="324"/>
      <c r="EU190" s="324"/>
      <c r="EV190" s="324"/>
      <c r="EW190" s="324"/>
      <c r="EX190" s="324"/>
      <c r="EY190" s="324"/>
      <c r="EZ190" s="324"/>
      <c r="FA190" s="324"/>
      <c r="FB190" s="324"/>
      <c r="FC190" s="324"/>
      <c r="FD190" s="324"/>
      <c r="FE190" s="324"/>
      <c r="FF190" s="324"/>
      <c r="FG190" s="324"/>
      <c r="FH190" s="324"/>
      <c r="FI190" s="324"/>
      <c r="FJ190" s="324"/>
      <c r="FK190" s="324"/>
      <c r="FL190" s="324"/>
      <c r="FM190" s="324"/>
      <c r="FN190" s="324"/>
      <c r="FO190" s="324"/>
      <c r="FP190" s="324"/>
      <c r="FQ190" s="324"/>
      <c r="FR190" s="324"/>
      <c r="FS190" s="324"/>
      <c r="FT190" s="324"/>
      <c r="FU190" s="324"/>
      <c r="FV190" s="324"/>
      <c r="FW190" s="324"/>
      <c r="FX190" s="324"/>
      <c r="FY190" s="324"/>
      <c r="FZ190" s="324"/>
      <c r="GA190" s="324"/>
      <c r="GB190" s="324"/>
      <c r="GC190" s="324"/>
      <c r="GD190" s="324"/>
      <c r="GE190" s="324"/>
      <c r="GF190" s="324"/>
      <c r="GG190" s="324"/>
      <c r="GH190" s="324"/>
      <c r="GI190" s="324"/>
      <c r="GJ190" s="324"/>
      <c r="GK190" s="324"/>
      <c r="GL190" s="324"/>
      <c r="GM190" s="324"/>
      <c r="GN190" s="324"/>
      <c r="GO190" s="324"/>
      <c r="GP190" s="324"/>
      <c r="GQ190" s="324"/>
      <c r="GR190" s="324"/>
      <c r="GS190" s="324"/>
      <c r="GT190" s="324"/>
      <c r="GU190" s="324"/>
      <c r="GV190" s="324"/>
      <c r="GW190" s="324"/>
      <c r="GX190" s="324"/>
      <c r="GY190" s="324"/>
      <c r="GZ190" s="324"/>
      <c r="HA190" s="324"/>
      <c r="HB190" s="324"/>
      <c r="HC190" s="324"/>
      <c r="HD190" s="324"/>
      <c r="HE190" s="324"/>
      <c r="HF190" s="324"/>
      <c r="HG190" s="324"/>
      <c r="HH190" s="324"/>
      <c r="HI190" s="324"/>
      <c r="HJ190" s="324"/>
      <c r="HK190" s="324"/>
      <c r="HL190" s="324"/>
      <c r="HM190" s="324"/>
      <c r="HN190" s="324"/>
      <c r="HO190" s="324"/>
      <c r="HP190" s="324"/>
      <c r="HQ190" s="324"/>
      <c r="HR190" s="324"/>
      <c r="HS190" s="324"/>
      <c r="HT190" s="324"/>
      <c r="HU190" s="324"/>
      <c r="HV190" s="324"/>
      <c r="HW190" s="324"/>
      <c r="HX190" s="324"/>
      <c r="HY190" s="324"/>
      <c r="HZ190" s="324"/>
      <c r="IA190" s="324"/>
      <c r="IB190" s="324"/>
      <c r="IC190" s="324"/>
      <c r="ID190" s="324"/>
      <c r="IE190" s="324"/>
      <c r="IF190" s="324"/>
      <c r="IG190" s="324"/>
      <c r="IH190" s="324"/>
      <c r="II190" s="324"/>
      <c r="IJ190" s="324"/>
      <c r="IK190" s="324"/>
      <c r="IL190" s="324"/>
      <c r="IM190" s="324"/>
    </row>
    <row r="191" spans="1:247" x14ac:dyDescent="0.35">
      <c r="A191" s="356">
        <v>7449</v>
      </c>
      <c r="B191" s="357" t="s">
        <v>191</v>
      </c>
      <c r="C191" s="172" t="s">
        <v>8</v>
      </c>
      <c r="D191" s="358" t="s">
        <v>2053</v>
      </c>
      <c r="E191" s="336">
        <f>+$E$3</f>
        <v>1.0740000000000001</v>
      </c>
      <c r="F191" s="331">
        <f t="shared" si="29"/>
        <v>1.0209999999999999</v>
      </c>
      <c r="G191" s="337">
        <f>+$G$3</f>
        <v>1.0269999999999999</v>
      </c>
      <c r="H191" s="336">
        <f>+$H$3</f>
        <v>1.0029999999999999</v>
      </c>
      <c r="I191" s="338">
        <f>+$I$3</f>
        <v>1.0289999999999999</v>
      </c>
      <c r="J191" s="338">
        <f>+$J$3</f>
        <v>1.0049999999999999</v>
      </c>
      <c r="K191" s="338">
        <f>+$K$3</f>
        <v>1.026</v>
      </c>
      <c r="L191" s="338">
        <f>+$L$3</f>
        <v>1.0129999999999999</v>
      </c>
      <c r="M191" s="338">
        <f>+$M$3</f>
        <v>1.0029999999999999</v>
      </c>
      <c r="N191" s="337">
        <f>+$N$3</f>
        <v>1.0029999999999999</v>
      </c>
      <c r="O191" s="339">
        <f>+$O$3</f>
        <v>1.0209999999999999</v>
      </c>
      <c r="P191" s="336">
        <f t="shared" si="55"/>
        <v>1.032</v>
      </c>
      <c r="Q191" s="337">
        <f t="shared" si="56"/>
        <v>1.0349999999999999</v>
      </c>
      <c r="R191" s="340">
        <f t="shared" si="30"/>
        <v>1.3319480854780448</v>
      </c>
      <c r="S191" s="324"/>
      <c r="T191" s="324"/>
      <c r="U191" s="324"/>
      <c r="V191" s="324"/>
      <c r="W191" s="324"/>
      <c r="X191" s="324"/>
      <c r="Y191" s="324"/>
      <c r="Z191" s="324"/>
      <c r="AA191" s="324"/>
      <c r="AB191" s="324"/>
      <c r="AC191" s="324"/>
      <c r="AD191" s="324"/>
      <c r="AE191" s="324"/>
      <c r="AF191" s="324"/>
      <c r="AG191" s="324"/>
      <c r="AH191" s="324"/>
      <c r="AI191" s="324"/>
      <c r="AJ191" s="324"/>
      <c r="AK191" s="324"/>
      <c r="AL191" s="324"/>
      <c r="AM191" s="324"/>
      <c r="AN191" s="324"/>
      <c r="AO191" s="324"/>
      <c r="AP191" s="324"/>
      <c r="AQ191" s="324"/>
      <c r="AR191" s="324"/>
      <c r="AS191" s="324"/>
      <c r="AT191" s="324"/>
      <c r="AU191" s="324"/>
      <c r="AV191" s="324"/>
      <c r="AW191" s="324"/>
      <c r="AX191" s="324"/>
      <c r="AY191" s="324"/>
      <c r="AZ191" s="324"/>
      <c r="BA191" s="324"/>
      <c r="BB191" s="324"/>
      <c r="BC191" s="324"/>
      <c r="BD191" s="324"/>
      <c r="BE191" s="324"/>
      <c r="BF191" s="324"/>
      <c r="BG191" s="324"/>
      <c r="BH191" s="324"/>
      <c r="BI191" s="324"/>
      <c r="BJ191" s="324"/>
      <c r="BK191" s="324"/>
      <c r="BL191" s="324"/>
      <c r="BM191" s="324"/>
      <c r="BN191" s="324"/>
      <c r="BO191" s="324"/>
      <c r="BP191" s="324"/>
      <c r="BQ191" s="324"/>
      <c r="BR191" s="324"/>
      <c r="BS191" s="324"/>
      <c r="BT191" s="324"/>
      <c r="BU191" s="324"/>
      <c r="BV191" s="324"/>
      <c r="BW191" s="324"/>
      <c r="BX191" s="324"/>
      <c r="BY191" s="324"/>
      <c r="BZ191" s="324"/>
      <c r="CA191" s="324"/>
      <c r="CB191" s="324"/>
      <c r="CC191" s="324"/>
      <c r="CD191" s="324"/>
      <c r="CE191" s="324"/>
      <c r="CF191" s="324"/>
      <c r="CG191" s="324"/>
      <c r="CH191" s="324"/>
      <c r="CI191" s="324"/>
      <c r="CJ191" s="324"/>
      <c r="CK191" s="324"/>
      <c r="CL191" s="324"/>
      <c r="CM191" s="324"/>
      <c r="CN191" s="324"/>
      <c r="CO191" s="324"/>
      <c r="CP191" s="324"/>
      <c r="CQ191" s="324"/>
      <c r="CR191" s="324"/>
      <c r="CS191" s="324"/>
      <c r="CT191" s="324"/>
      <c r="CU191" s="324"/>
      <c r="CV191" s="324"/>
      <c r="CW191" s="324"/>
      <c r="CX191" s="324"/>
      <c r="CY191" s="324"/>
      <c r="CZ191" s="324"/>
      <c r="DA191" s="324"/>
      <c r="DB191" s="324"/>
      <c r="DC191" s="324"/>
      <c r="DD191" s="324"/>
      <c r="DE191" s="324"/>
      <c r="DF191" s="324"/>
      <c r="DG191" s="324"/>
      <c r="DH191" s="324"/>
      <c r="DI191" s="324"/>
      <c r="DJ191" s="324"/>
      <c r="DK191" s="324"/>
      <c r="DL191" s="324"/>
      <c r="DM191" s="324"/>
      <c r="DN191" s="324"/>
      <c r="DO191" s="324"/>
      <c r="DP191" s="324"/>
      <c r="DQ191" s="324"/>
      <c r="DR191" s="324"/>
      <c r="DS191" s="324"/>
      <c r="DT191" s="324"/>
      <c r="DU191" s="324"/>
      <c r="DV191" s="324"/>
      <c r="DW191" s="324"/>
      <c r="DX191" s="324"/>
      <c r="DY191" s="324"/>
      <c r="DZ191" s="324"/>
      <c r="EA191" s="324"/>
      <c r="EB191" s="324"/>
      <c r="EC191" s="324"/>
      <c r="ED191" s="324"/>
      <c r="EE191" s="324"/>
      <c r="EF191" s="324"/>
      <c r="EG191" s="324"/>
      <c r="EH191" s="324"/>
      <c r="EI191" s="324"/>
      <c r="EJ191" s="324"/>
      <c r="EK191" s="324"/>
      <c r="EL191" s="324"/>
      <c r="EM191" s="324"/>
      <c r="EN191" s="324"/>
      <c r="EO191" s="324"/>
      <c r="EP191" s="324"/>
      <c r="EQ191" s="324"/>
      <c r="ER191" s="324"/>
      <c r="ES191" s="324"/>
      <c r="ET191" s="324"/>
      <c r="EU191" s="324"/>
      <c r="EV191" s="324"/>
      <c r="EW191" s="324"/>
      <c r="EX191" s="324"/>
      <c r="EY191" s="324"/>
      <c r="EZ191" s="324"/>
      <c r="FA191" s="324"/>
      <c r="FB191" s="324"/>
      <c r="FC191" s="324"/>
      <c r="FD191" s="324"/>
      <c r="FE191" s="324"/>
      <c r="FF191" s="324"/>
      <c r="FG191" s="324"/>
      <c r="FH191" s="324"/>
      <c r="FI191" s="324"/>
      <c r="FJ191" s="324"/>
      <c r="FK191" s="324"/>
      <c r="FL191" s="324"/>
      <c r="FM191" s="324"/>
      <c r="FN191" s="324"/>
      <c r="FO191" s="324"/>
      <c r="FP191" s="324"/>
      <c r="FQ191" s="324"/>
      <c r="FR191" s="324"/>
      <c r="FS191" s="324"/>
      <c r="FT191" s="324"/>
      <c r="FU191" s="324"/>
      <c r="FV191" s="324"/>
      <c r="FW191" s="324"/>
      <c r="FX191" s="324"/>
      <c r="FY191" s="324"/>
      <c r="FZ191" s="324"/>
      <c r="GA191" s="324"/>
      <c r="GB191" s="324"/>
      <c r="GC191" s="324"/>
      <c r="GD191" s="324"/>
      <c r="GE191" s="324"/>
      <c r="GF191" s="324"/>
      <c r="GG191" s="324"/>
      <c r="GH191" s="324"/>
      <c r="GI191" s="324"/>
      <c r="GJ191" s="324"/>
      <c r="GK191" s="324"/>
      <c r="GL191" s="324"/>
      <c r="GM191" s="324"/>
      <c r="GN191" s="324"/>
      <c r="GO191" s="324"/>
      <c r="GP191" s="324"/>
      <c r="GQ191" s="324"/>
      <c r="GR191" s="324"/>
      <c r="GS191" s="324"/>
      <c r="GT191" s="324"/>
      <c r="GU191" s="324"/>
      <c r="GV191" s="324"/>
      <c r="GW191" s="324"/>
      <c r="GX191" s="324"/>
      <c r="GY191" s="324"/>
      <c r="GZ191" s="324"/>
      <c r="HA191" s="324"/>
      <c r="HB191" s="324"/>
      <c r="HC191" s="324"/>
      <c r="HD191" s="324"/>
      <c r="HE191" s="324"/>
      <c r="HF191" s="324"/>
      <c r="HG191" s="324"/>
      <c r="HH191" s="324"/>
      <c r="HI191" s="324"/>
      <c r="HJ191" s="324"/>
      <c r="HK191" s="324"/>
      <c r="HL191" s="324"/>
      <c r="HM191" s="324"/>
      <c r="HN191" s="324"/>
      <c r="HO191" s="324"/>
      <c r="HP191" s="324"/>
      <c r="HQ191" s="324"/>
      <c r="HR191" s="324"/>
      <c r="HS191" s="324"/>
      <c r="HT191" s="324"/>
      <c r="HU191" s="324"/>
      <c r="HV191" s="324"/>
      <c r="HW191" s="324"/>
      <c r="HX191" s="324"/>
      <c r="HY191" s="324"/>
      <c r="HZ191" s="324"/>
      <c r="IA191" s="324"/>
      <c r="IB191" s="324"/>
      <c r="IC191" s="324"/>
      <c r="ID191" s="324"/>
      <c r="IE191" s="324"/>
      <c r="IF191" s="324"/>
      <c r="IG191" s="324"/>
      <c r="IH191" s="324"/>
      <c r="II191" s="324"/>
      <c r="IJ191" s="324"/>
      <c r="IK191" s="324"/>
      <c r="IL191" s="324"/>
      <c r="IM191" s="324"/>
    </row>
    <row r="192" spans="1:247" x14ac:dyDescent="0.35">
      <c r="A192" s="356">
        <v>7512</v>
      </c>
      <c r="B192" s="357" t="s">
        <v>192</v>
      </c>
      <c r="C192" s="172" t="s">
        <v>10</v>
      </c>
      <c r="D192" s="358" t="s">
        <v>2051</v>
      </c>
      <c r="E192" s="336"/>
      <c r="F192" s="331">
        <f t="shared" si="29"/>
        <v>1.0209999999999999</v>
      </c>
      <c r="G192" s="337">
        <f>+$G$3</f>
        <v>1.0269999999999999</v>
      </c>
      <c r="H192" s="336"/>
      <c r="I192" s="338"/>
      <c r="J192" s="338"/>
      <c r="K192" s="338"/>
      <c r="L192" s="338">
        <f>+$L$3</f>
        <v>1.0129999999999999</v>
      </c>
      <c r="M192" s="338"/>
      <c r="N192" s="337">
        <f>+$N$3</f>
        <v>1.0029999999999999</v>
      </c>
      <c r="O192" s="339"/>
      <c r="P192" s="336">
        <f t="shared" si="55"/>
        <v>1.032</v>
      </c>
      <c r="Q192" s="337">
        <f t="shared" si="56"/>
        <v>1.0349999999999999</v>
      </c>
      <c r="R192" s="340">
        <f t="shared" si="30"/>
        <v>1.1379589900046172</v>
      </c>
      <c r="S192" s="324"/>
      <c r="T192" s="324"/>
      <c r="U192" s="324"/>
      <c r="V192" s="324"/>
      <c r="W192" s="324"/>
      <c r="X192" s="324"/>
      <c r="Y192" s="324"/>
      <c r="Z192" s="324"/>
      <c r="AA192" s="324"/>
      <c r="AB192" s="324"/>
      <c r="AC192" s="324"/>
      <c r="AD192" s="324"/>
      <c r="AE192" s="324"/>
      <c r="AF192" s="324"/>
      <c r="AG192" s="324"/>
      <c r="AH192" s="324"/>
      <c r="AI192" s="324"/>
      <c r="AJ192" s="324"/>
      <c r="AK192" s="324"/>
      <c r="AL192" s="324"/>
      <c r="AM192" s="324"/>
      <c r="AN192" s="324"/>
      <c r="AO192" s="324"/>
      <c r="AP192" s="324"/>
      <c r="AQ192" s="324"/>
      <c r="AR192" s="324"/>
      <c r="AS192" s="324"/>
      <c r="AT192" s="324"/>
      <c r="AU192" s="324"/>
      <c r="AV192" s="324"/>
      <c r="AW192" s="324"/>
      <c r="AX192" s="324"/>
      <c r="AY192" s="324"/>
      <c r="AZ192" s="324"/>
      <c r="BA192" s="324"/>
      <c r="BB192" s="324"/>
      <c r="BC192" s="324"/>
      <c r="BD192" s="324"/>
      <c r="BE192" s="324"/>
      <c r="BF192" s="324"/>
      <c r="BG192" s="324"/>
      <c r="BH192" s="324"/>
      <c r="BI192" s="324"/>
      <c r="BJ192" s="324"/>
      <c r="BK192" s="324"/>
      <c r="BL192" s="324"/>
      <c r="BM192" s="324"/>
      <c r="BN192" s="324"/>
      <c r="BO192" s="324"/>
      <c r="BP192" s="324"/>
      <c r="BQ192" s="324"/>
      <c r="BR192" s="324"/>
      <c r="BS192" s="324"/>
      <c r="BT192" s="324"/>
      <c r="BU192" s="324"/>
      <c r="BV192" s="324"/>
      <c r="BW192" s="324"/>
      <c r="BX192" s="324"/>
      <c r="BY192" s="324"/>
      <c r="BZ192" s="324"/>
      <c r="CA192" s="324"/>
      <c r="CB192" s="324"/>
      <c r="CC192" s="324"/>
      <c r="CD192" s="324"/>
      <c r="CE192" s="324"/>
      <c r="CF192" s="324"/>
      <c r="CG192" s="324"/>
      <c r="CH192" s="324"/>
      <c r="CI192" s="324"/>
      <c r="CJ192" s="324"/>
      <c r="CK192" s="324"/>
      <c r="CL192" s="324"/>
      <c r="CM192" s="324"/>
      <c r="CN192" s="324"/>
      <c r="CO192" s="324"/>
      <c r="CP192" s="324"/>
      <c r="CQ192" s="324"/>
      <c r="CR192" s="324"/>
      <c r="CS192" s="324"/>
      <c r="CT192" s="324"/>
      <c r="CU192" s="324"/>
      <c r="CV192" s="324"/>
      <c r="CW192" s="324"/>
      <c r="CX192" s="324"/>
      <c r="CY192" s="324"/>
      <c r="CZ192" s="324"/>
      <c r="DA192" s="324"/>
      <c r="DB192" s="324"/>
      <c r="DC192" s="324"/>
      <c r="DD192" s="324"/>
      <c r="DE192" s="324"/>
      <c r="DF192" s="324"/>
      <c r="DG192" s="324"/>
      <c r="DH192" s="324"/>
      <c r="DI192" s="324"/>
      <c r="DJ192" s="324"/>
      <c r="DK192" s="324"/>
      <c r="DL192" s="324"/>
      <c r="DM192" s="324"/>
      <c r="DN192" s="324"/>
      <c r="DO192" s="324"/>
      <c r="DP192" s="324"/>
      <c r="DQ192" s="324"/>
      <c r="DR192" s="324"/>
      <c r="DS192" s="324"/>
      <c r="DT192" s="324"/>
      <c r="DU192" s="324"/>
      <c r="DV192" s="324"/>
      <c r="DW192" s="324"/>
      <c r="DX192" s="324"/>
      <c r="DY192" s="324"/>
      <c r="DZ192" s="324"/>
      <c r="EA192" s="324"/>
      <c r="EB192" s="324"/>
      <c r="EC192" s="324"/>
      <c r="ED192" s="324"/>
      <c r="EE192" s="324"/>
      <c r="EF192" s="324"/>
      <c r="EG192" s="324"/>
      <c r="EH192" s="324"/>
      <c r="EI192" s="324"/>
      <c r="EJ192" s="324"/>
      <c r="EK192" s="324"/>
      <c r="EL192" s="324"/>
      <c r="EM192" s="324"/>
      <c r="EN192" s="324"/>
      <c r="EO192" s="324"/>
      <c r="EP192" s="324"/>
      <c r="EQ192" s="324"/>
      <c r="ER192" s="324"/>
      <c r="ES192" s="324"/>
      <c r="ET192" s="324"/>
      <c r="EU192" s="324"/>
      <c r="EV192" s="324"/>
      <c r="EW192" s="324"/>
      <c r="EX192" s="324"/>
      <c r="EY192" s="324"/>
      <c r="EZ192" s="324"/>
      <c r="FA192" s="324"/>
      <c r="FB192" s="324"/>
      <c r="FC192" s="324"/>
      <c r="FD192" s="324"/>
      <c r="FE192" s="324"/>
      <c r="FF192" s="324"/>
      <c r="FG192" s="324"/>
      <c r="FH192" s="324"/>
      <c r="FI192" s="324"/>
      <c r="FJ192" s="324"/>
      <c r="FK192" s="324"/>
      <c r="FL192" s="324"/>
      <c r="FM192" s="324"/>
      <c r="FN192" s="324"/>
      <c r="FO192" s="324"/>
      <c r="FP192" s="324"/>
      <c r="FQ192" s="324"/>
      <c r="FR192" s="324"/>
      <c r="FS192" s="324"/>
      <c r="FT192" s="324"/>
      <c r="FU192" s="324"/>
      <c r="FV192" s="324"/>
      <c r="FW192" s="324"/>
      <c r="FX192" s="324"/>
      <c r="FY192" s="324"/>
      <c r="FZ192" s="324"/>
      <c r="GA192" s="324"/>
      <c r="GB192" s="324"/>
      <c r="GC192" s="324"/>
      <c r="GD192" s="324"/>
      <c r="GE192" s="324"/>
      <c r="GF192" s="324"/>
      <c r="GG192" s="324"/>
      <c r="GH192" s="324"/>
      <c r="GI192" s="324"/>
      <c r="GJ192" s="324"/>
      <c r="GK192" s="324"/>
      <c r="GL192" s="324"/>
      <c r="GM192" s="324"/>
      <c r="GN192" s="324"/>
      <c r="GO192" s="324"/>
      <c r="GP192" s="324"/>
      <c r="GQ192" s="324"/>
      <c r="GR192" s="324"/>
      <c r="GS192" s="324"/>
      <c r="GT192" s="324"/>
      <c r="GU192" s="324"/>
      <c r="GV192" s="324"/>
      <c r="GW192" s="324"/>
      <c r="GX192" s="324"/>
      <c r="GY192" s="324"/>
      <c r="GZ192" s="324"/>
      <c r="HA192" s="324"/>
      <c r="HB192" s="324"/>
      <c r="HC192" s="324"/>
      <c r="HD192" s="324"/>
      <c r="HE192" s="324"/>
      <c r="HF192" s="324"/>
      <c r="HG192" s="324"/>
      <c r="HH192" s="324"/>
      <c r="HI192" s="324"/>
      <c r="HJ192" s="324"/>
      <c r="HK192" s="324"/>
      <c r="HL192" s="324"/>
      <c r="HM192" s="324"/>
      <c r="HN192" s="324"/>
      <c r="HO192" s="324"/>
      <c r="HP192" s="324"/>
      <c r="HQ192" s="324"/>
      <c r="HR192" s="324"/>
      <c r="HS192" s="324"/>
      <c r="HT192" s="324"/>
      <c r="HU192" s="324"/>
      <c r="HV192" s="324"/>
      <c r="HW192" s="324"/>
      <c r="HX192" s="324"/>
      <c r="HY192" s="324"/>
      <c r="HZ192" s="324"/>
      <c r="IA192" s="324"/>
      <c r="IB192" s="324"/>
      <c r="IC192" s="324"/>
      <c r="ID192" s="324"/>
      <c r="IE192" s="324"/>
      <c r="IF192" s="324"/>
      <c r="IG192" s="324"/>
      <c r="IH192" s="324"/>
      <c r="II192" s="324"/>
      <c r="IJ192" s="324"/>
      <c r="IK192" s="324"/>
      <c r="IL192" s="324"/>
      <c r="IM192" s="324"/>
    </row>
    <row r="193" spans="1:247" x14ac:dyDescent="0.35">
      <c r="A193" s="356">
        <v>7513</v>
      </c>
      <c r="B193" s="357" t="s">
        <v>193</v>
      </c>
      <c r="C193" s="172" t="s">
        <v>10</v>
      </c>
      <c r="D193" s="358" t="s">
        <v>2051</v>
      </c>
      <c r="E193" s="336"/>
      <c r="F193" s="331">
        <f t="shared" si="29"/>
        <v>1.0209999999999999</v>
      </c>
      <c r="G193" s="337">
        <f>+$G$3</f>
        <v>1.0269999999999999</v>
      </c>
      <c r="H193" s="336"/>
      <c r="I193" s="338"/>
      <c r="J193" s="338"/>
      <c r="K193" s="338"/>
      <c r="L193" s="338"/>
      <c r="M193" s="338"/>
      <c r="N193" s="337"/>
      <c r="O193" s="339"/>
      <c r="P193" s="336">
        <f t="shared" si="55"/>
        <v>1.032</v>
      </c>
      <c r="Q193" s="337">
        <f t="shared" si="56"/>
        <v>1.0349999999999999</v>
      </c>
      <c r="R193" s="340">
        <f t="shared" si="30"/>
        <v>1.1199953840399997</v>
      </c>
      <c r="S193" s="324"/>
      <c r="T193" s="324"/>
      <c r="U193" s="324"/>
      <c r="V193" s="324"/>
      <c r="W193" s="324"/>
      <c r="X193" s="324"/>
      <c r="Y193" s="324"/>
      <c r="Z193" s="324"/>
      <c r="AA193" s="324"/>
      <c r="AB193" s="324"/>
      <c r="AC193" s="324"/>
      <c r="AD193" s="324"/>
      <c r="AE193" s="324"/>
      <c r="AF193" s="324"/>
      <c r="AG193" s="324"/>
      <c r="AH193" s="324"/>
      <c r="AI193" s="324"/>
      <c r="AJ193" s="324"/>
      <c r="AK193" s="324"/>
      <c r="AL193" s="324"/>
      <c r="AM193" s="324"/>
      <c r="AN193" s="324"/>
      <c r="AO193" s="324"/>
      <c r="AP193" s="324"/>
      <c r="AQ193" s="324"/>
      <c r="AR193" s="324"/>
      <c r="AS193" s="324"/>
      <c r="AT193" s="324"/>
      <c r="AU193" s="324"/>
      <c r="AV193" s="324"/>
      <c r="AW193" s="324"/>
      <c r="AX193" s="324"/>
      <c r="AY193" s="324"/>
      <c r="AZ193" s="324"/>
      <c r="BA193" s="324"/>
      <c r="BB193" s="324"/>
      <c r="BC193" s="324"/>
      <c r="BD193" s="324"/>
      <c r="BE193" s="324"/>
      <c r="BF193" s="324"/>
      <c r="BG193" s="324"/>
      <c r="BH193" s="324"/>
      <c r="BI193" s="324"/>
      <c r="BJ193" s="324"/>
      <c r="BK193" s="324"/>
      <c r="BL193" s="324"/>
      <c r="BM193" s="324"/>
      <c r="BN193" s="324"/>
      <c r="BO193" s="324"/>
      <c r="BP193" s="324"/>
      <c r="BQ193" s="324"/>
      <c r="BR193" s="324"/>
      <c r="BS193" s="324"/>
      <c r="BT193" s="324"/>
      <c r="BU193" s="324"/>
      <c r="BV193" s="324"/>
      <c r="BW193" s="324"/>
      <c r="BX193" s="324"/>
      <c r="BY193" s="324"/>
      <c r="BZ193" s="324"/>
      <c r="CA193" s="324"/>
      <c r="CB193" s="324"/>
      <c r="CC193" s="324"/>
      <c r="CD193" s="324"/>
      <c r="CE193" s="324"/>
      <c r="CF193" s="324"/>
      <c r="CG193" s="324"/>
      <c r="CH193" s="324"/>
      <c r="CI193" s="324"/>
      <c r="CJ193" s="324"/>
      <c r="CK193" s="324"/>
      <c r="CL193" s="324"/>
      <c r="CM193" s="324"/>
      <c r="CN193" s="324"/>
      <c r="CO193" s="324"/>
      <c r="CP193" s="324"/>
      <c r="CQ193" s="324"/>
      <c r="CR193" s="324"/>
      <c r="CS193" s="324"/>
      <c r="CT193" s="324"/>
      <c r="CU193" s="324"/>
      <c r="CV193" s="324"/>
      <c r="CW193" s="324"/>
      <c r="CX193" s="324"/>
      <c r="CY193" s="324"/>
      <c r="CZ193" s="324"/>
      <c r="DA193" s="324"/>
      <c r="DB193" s="324"/>
      <c r="DC193" s="324"/>
      <c r="DD193" s="324"/>
      <c r="DE193" s="324"/>
      <c r="DF193" s="324"/>
      <c r="DG193" s="324"/>
      <c r="DH193" s="324"/>
      <c r="DI193" s="324"/>
      <c r="DJ193" s="324"/>
      <c r="DK193" s="324"/>
      <c r="DL193" s="324"/>
      <c r="DM193" s="324"/>
      <c r="DN193" s="324"/>
      <c r="DO193" s="324"/>
      <c r="DP193" s="324"/>
      <c r="DQ193" s="324"/>
      <c r="DR193" s="324"/>
      <c r="DS193" s="324"/>
      <c r="DT193" s="324"/>
      <c r="DU193" s="324"/>
      <c r="DV193" s="324"/>
      <c r="DW193" s="324"/>
      <c r="DX193" s="324"/>
      <c r="DY193" s="324"/>
      <c r="DZ193" s="324"/>
      <c r="EA193" s="324"/>
      <c r="EB193" s="324"/>
      <c r="EC193" s="324"/>
      <c r="ED193" s="324"/>
      <c r="EE193" s="324"/>
      <c r="EF193" s="324"/>
      <c r="EG193" s="324"/>
      <c r="EH193" s="324"/>
      <c r="EI193" s="324"/>
      <c r="EJ193" s="324"/>
      <c r="EK193" s="324"/>
      <c r="EL193" s="324"/>
      <c r="EM193" s="324"/>
      <c r="EN193" s="324"/>
      <c r="EO193" s="324"/>
      <c r="EP193" s="324"/>
      <c r="EQ193" s="324"/>
      <c r="ER193" s="324"/>
      <c r="ES193" s="324"/>
      <c r="ET193" s="324"/>
      <c r="EU193" s="324"/>
      <c r="EV193" s="324"/>
      <c r="EW193" s="324"/>
      <c r="EX193" s="324"/>
      <c r="EY193" s="324"/>
      <c r="EZ193" s="324"/>
      <c r="FA193" s="324"/>
      <c r="FB193" s="324"/>
      <c r="FC193" s="324"/>
      <c r="FD193" s="324"/>
      <c r="FE193" s="324"/>
      <c r="FF193" s="324"/>
      <c r="FG193" s="324"/>
      <c r="FH193" s="324"/>
      <c r="FI193" s="324"/>
      <c r="FJ193" s="324"/>
      <c r="FK193" s="324"/>
      <c r="FL193" s="324"/>
      <c r="FM193" s="324"/>
      <c r="FN193" s="324"/>
      <c r="FO193" s="324"/>
      <c r="FP193" s="324"/>
      <c r="FQ193" s="324"/>
      <c r="FR193" s="324"/>
      <c r="FS193" s="324"/>
      <c r="FT193" s="324"/>
      <c r="FU193" s="324"/>
      <c r="FV193" s="324"/>
      <c r="FW193" s="324"/>
      <c r="FX193" s="324"/>
      <c r="FY193" s="324"/>
      <c r="FZ193" s="324"/>
      <c r="GA193" s="324"/>
      <c r="GB193" s="324"/>
      <c r="GC193" s="324"/>
      <c r="GD193" s="324"/>
      <c r="GE193" s="324"/>
      <c r="GF193" s="324"/>
      <c r="GG193" s="324"/>
      <c r="GH193" s="324"/>
      <c r="GI193" s="324"/>
      <c r="GJ193" s="324"/>
      <c r="GK193" s="324"/>
      <c r="GL193" s="324"/>
      <c r="GM193" s="324"/>
      <c r="GN193" s="324"/>
      <c r="GO193" s="324"/>
      <c r="GP193" s="324"/>
      <c r="GQ193" s="324"/>
      <c r="GR193" s="324"/>
      <c r="GS193" s="324"/>
      <c r="GT193" s="324"/>
      <c r="GU193" s="324"/>
      <c r="GV193" s="324"/>
      <c r="GW193" s="324"/>
      <c r="GX193" s="324"/>
      <c r="GY193" s="324"/>
      <c r="GZ193" s="324"/>
      <c r="HA193" s="324"/>
      <c r="HB193" s="324"/>
      <c r="HC193" s="324"/>
      <c r="HD193" s="324"/>
      <c r="HE193" s="324"/>
      <c r="HF193" s="324"/>
      <c r="HG193" s="324"/>
      <c r="HH193" s="324"/>
      <c r="HI193" s="324"/>
      <c r="HJ193" s="324"/>
      <c r="HK193" s="324"/>
      <c r="HL193" s="324"/>
      <c r="HM193" s="324"/>
      <c r="HN193" s="324"/>
      <c r="HO193" s="324"/>
      <c r="HP193" s="324"/>
      <c r="HQ193" s="324"/>
      <c r="HR193" s="324"/>
      <c r="HS193" s="324"/>
      <c r="HT193" s="324"/>
      <c r="HU193" s="324"/>
      <c r="HV193" s="324"/>
      <c r="HW193" s="324"/>
      <c r="HX193" s="324"/>
      <c r="HY193" s="324"/>
      <c r="HZ193" s="324"/>
      <c r="IA193" s="324"/>
      <c r="IB193" s="324"/>
      <c r="IC193" s="324"/>
      <c r="ID193" s="324"/>
      <c r="IE193" s="324"/>
      <c r="IF193" s="324"/>
      <c r="IG193" s="324"/>
      <c r="IH193" s="324"/>
      <c r="II193" s="324"/>
      <c r="IJ193" s="324"/>
      <c r="IK193" s="324"/>
      <c r="IL193" s="324"/>
      <c r="IM193" s="324"/>
    </row>
    <row r="194" spans="1:247" x14ac:dyDescent="0.35">
      <c r="A194" s="356">
        <v>7514</v>
      </c>
      <c r="B194" s="357" t="s">
        <v>194</v>
      </c>
      <c r="C194" s="172" t="s">
        <v>10</v>
      </c>
      <c r="D194" s="358" t="s">
        <v>2051</v>
      </c>
      <c r="E194" s="336"/>
      <c r="F194" s="331">
        <f t="shared" si="29"/>
        <v>1.0209999999999999</v>
      </c>
      <c r="G194" s="337">
        <f>+$G$3</f>
        <v>1.0269999999999999</v>
      </c>
      <c r="H194" s="336"/>
      <c r="I194" s="338"/>
      <c r="J194" s="338"/>
      <c r="K194" s="338"/>
      <c r="L194" s="338"/>
      <c r="M194" s="338"/>
      <c r="N194" s="337"/>
      <c r="O194" s="339"/>
      <c r="P194" s="336">
        <f t="shared" si="55"/>
        <v>1.032</v>
      </c>
      <c r="Q194" s="337">
        <f t="shared" si="56"/>
        <v>1.0349999999999999</v>
      </c>
      <c r="R194" s="340">
        <f t="shared" si="30"/>
        <v>1.1199953840399997</v>
      </c>
      <c r="S194" s="324"/>
      <c r="T194" s="324"/>
      <c r="U194" s="324"/>
      <c r="V194" s="324"/>
      <c r="W194" s="324"/>
      <c r="X194" s="324"/>
      <c r="Y194" s="324"/>
      <c r="Z194" s="324"/>
      <c r="AA194" s="324"/>
      <c r="AB194" s="324"/>
      <c r="AC194" s="324"/>
      <c r="AD194" s="324"/>
      <c r="AE194" s="324"/>
      <c r="AF194" s="324"/>
      <c r="AG194" s="324"/>
      <c r="AH194" s="324"/>
      <c r="AI194" s="324"/>
      <c r="AJ194" s="324"/>
      <c r="AK194" s="324"/>
      <c r="AL194" s="324"/>
      <c r="AM194" s="324"/>
      <c r="AN194" s="324"/>
      <c r="AO194" s="324"/>
      <c r="AP194" s="324"/>
      <c r="AQ194" s="324"/>
      <c r="AR194" s="324"/>
      <c r="AS194" s="324"/>
      <c r="AT194" s="324"/>
      <c r="AU194" s="324"/>
      <c r="AV194" s="324"/>
      <c r="AW194" s="324"/>
      <c r="AX194" s="324"/>
      <c r="AY194" s="324"/>
      <c r="AZ194" s="324"/>
      <c r="BA194" s="324"/>
      <c r="BB194" s="324"/>
      <c r="BC194" s="324"/>
      <c r="BD194" s="324"/>
      <c r="BE194" s="324"/>
      <c r="BF194" s="324"/>
      <c r="BG194" s="324"/>
      <c r="BH194" s="324"/>
      <c r="BI194" s="324"/>
      <c r="BJ194" s="324"/>
      <c r="BK194" s="324"/>
      <c r="BL194" s="324"/>
      <c r="BM194" s="324"/>
      <c r="BN194" s="324"/>
      <c r="BO194" s="324"/>
      <c r="BP194" s="324"/>
      <c r="BQ194" s="324"/>
      <c r="BR194" s="324"/>
      <c r="BS194" s="324"/>
      <c r="BT194" s="324"/>
      <c r="BU194" s="324"/>
      <c r="BV194" s="324"/>
      <c r="BW194" s="324"/>
      <c r="BX194" s="324"/>
      <c r="BY194" s="324"/>
      <c r="BZ194" s="324"/>
      <c r="CA194" s="324"/>
      <c r="CB194" s="324"/>
      <c r="CC194" s="324"/>
      <c r="CD194" s="324"/>
      <c r="CE194" s="324"/>
      <c r="CF194" s="324"/>
      <c r="CG194" s="324"/>
      <c r="CH194" s="324"/>
      <c r="CI194" s="324"/>
      <c r="CJ194" s="324"/>
      <c r="CK194" s="324"/>
      <c r="CL194" s="324"/>
      <c r="CM194" s="324"/>
      <c r="CN194" s="324"/>
      <c r="CO194" s="324"/>
      <c r="CP194" s="324"/>
      <c r="CQ194" s="324"/>
      <c r="CR194" s="324"/>
      <c r="CS194" s="324"/>
      <c r="CT194" s="324"/>
      <c r="CU194" s="324"/>
      <c r="CV194" s="324"/>
      <c r="CW194" s="324"/>
      <c r="CX194" s="324"/>
      <c r="CY194" s="324"/>
      <c r="CZ194" s="324"/>
      <c r="DA194" s="324"/>
      <c r="DB194" s="324"/>
      <c r="DC194" s="324"/>
      <c r="DD194" s="324"/>
      <c r="DE194" s="324"/>
      <c r="DF194" s="324"/>
      <c r="DG194" s="324"/>
      <c r="DH194" s="324"/>
      <c r="DI194" s="324"/>
      <c r="DJ194" s="324"/>
      <c r="DK194" s="324"/>
      <c r="DL194" s="324"/>
      <c r="DM194" s="324"/>
      <c r="DN194" s="324"/>
      <c r="DO194" s="324"/>
      <c r="DP194" s="324"/>
      <c r="DQ194" s="324"/>
      <c r="DR194" s="324"/>
      <c r="DS194" s="324"/>
      <c r="DT194" s="324"/>
      <c r="DU194" s="324"/>
      <c r="DV194" s="324"/>
      <c r="DW194" s="324"/>
      <c r="DX194" s="324"/>
      <c r="DY194" s="324"/>
      <c r="DZ194" s="324"/>
      <c r="EA194" s="324"/>
      <c r="EB194" s="324"/>
      <c r="EC194" s="324"/>
      <c r="ED194" s="324"/>
      <c r="EE194" s="324"/>
      <c r="EF194" s="324"/>
      <c r="EG194" s="324"/>
      <c r="EH194" s="324"/>
      <c r="EI194" s="324"/>
      <c r="EJ194" s="324"/>
      <c r="EK194" s="324"/>
      <c r="EL194" s="324"/>
      <c r="EM194" s="324"/>
      <c r="EN194" s="324"/>
      <c r="EO194" s="324"/>
      <c r="EP194" s="324"/>
      <c r="EQ194" s="324"/>
      <c r="ER194" s="324"/>
      <c r="ES194" s="324"/>
      <c r="ET194" s="324"/>
      <c r="EU194" s="324"/>
      <c r="EV194" s="324"/>
      <c r="EW194" s="324"/>
      <c r="EX194" s="324"/>
      <c r="EY194" s="324"/>
      <c r="EZ194" s="324"/>
      <c r="FA194" s="324"/>
      <c r="FB194" s="324"/>
      <c r="FC194" s="324"/>
      <c r="FD194" s="324"/>
      <c r="FE194" s="324"/>
      <c r="FF194" s="324"/>
      <c r="FG194" s="324"/>
      <c r="FH194" s="324"/>
      <c r="FI194" s="324"/>
      <c r="FJ194" s="324"/>
      <c r="FK194" s="324"/>
      <c r="FL194" s="324"/>
      <c r="FM194" s="324"/>
      <c r="FN194" s="324"/>
      <c r="FO194" s="324"/>
      <c r="FP194" s="324"/>
      <c r="FQ194" s="324"/>
      <c r="FR194" s="324"/>
      <c r="FS194" s="324"/>
      <c r="FT194" s="324"/>
      <c r="FU194" s="324"/>
      <c r="FV194" s="324"/>
      <c r="FW194" s="324"/>
      <c r="FX194" s="324"/>
      <c r="FY194" s="324"/>
      <c r="FZ194" s="324"/>
      <c r="GA194" s="324"/>
      <c r="GB194" s="324"/>
      <c r="GC194" s="324"/>
      <c r="GD194" s="324"/>
      <c r="GE194" s="324"/>
      <c r="GF194" s="324"/>
      <c r="GG194" s="324"/>
      <c r="GH194" s="324"/>
      <c r="GI194" s="324"/>
      <c r="GJ194" s="324"/>
      <c r="GK194" s="324"/>
      <c r="GL194" s="324"/>
      <c r="GM194" s="324"/>
      <c r="GN194" s="324"/>
      <c r="GO194" s="324"/>
      <c r="GP194" s="324"/>
      <c r="GQ194" s="324"/>
      <c r="GR194" s="324"/>
      <c r="GS194" s="324"/>
      <c r="GT194" s="324"/>
      <c r="GU194" s="324"/>
      <c r="GV194" s="324"/>
      <c r="GW194" s="324"/>
      <c r="GX194" s="324"/>
      <c r="GY194" s="324"/>
      <c r="GZ194" s="324"/>
      <c r="HA194" s="324"/>
      <c r="HB194" s="324"/>
      <c r="HC194" s="324"/>
      <c r="HD194" s="324"/>
      <c r="HE194" s="324"/>
      <c r="HF194" s="324"/>
      <c r="HG194" s="324"/>
      <c r="HH194" s="324"/>
      <c r="HI194" s="324"/>
      <c r="HJ194" s="324"/>
      <c r="HK194" s="324"/>
      <c r="HL194" s="324"/>
      <c r="HM194" s="324"/>
      <c r="HN194" s="324"/>
      <c r="HO194" s="324"/>
      <c r="HP194" s="324"/>
      <c r="HQ194" s="324"/>
      <c r="HR194" s="324"/>
      <c r="HS194" s="324"/>
      <c r="HT194" s="324"/>
      <c r="HU194" s="324"/>
      <c r="HV194" s="324"/>
      <c r="HW194" s="324"/>
      <c r="HX194" s="324"/>
      <c r="HY194" s="324"/>
      <c r="HZ194" s="324"/>
      <c r="IA194" s="324"/>
      <c r="IB194" s="324"/>
      <c r="IC194" s="324"/>
      <c r="ID194" s="324"/>
      <c r="IE194" s="324"/>
      <c r="IF194" s="324"/>
      <c r="IG194" s="324"/>
      <c r="IH194" s="324"/>
      <c r="II194" s="324"/>
      <c r="IJ194" s="324"/>
      <c r="IK194" s="324"/>
      <c r="IL194" s="324"/>
      <c r="IM194" s="324"/>
    </row>
    <row r="195" spans="1:247" x14ac:dyDescent="0.35">
      <c r="A195" s="356">
        <v>7515</v>
      </c>
      <c r="B195" s="357" t="s">
        <v>195</v>
      </c>
      <c r="C195" s="172" t="s">
        <v>10</v>
      </c>
      <c r="D195" s="358" t="s">
        <v>2051</v>
      </c>
      <c r="E195" s="336"/>
      <c r="F195" s="331">
        <f t="shared" si="29"/>
        <v>1.0209999999999999</v>
      </c>
      <c r="G195" s="337"/>
      <c r="H195" s="336"/>
      <c r="I195" s="338"/>
      <c r="J195" s="338"/>
      <c r="K195" s="338"/>
      <c r="L195" s="338"/>
      <c r="M195" s="338"/>
      <c r="N195" s="337"/>
      <c r="O195" s="339"/>
      <c r="P195" s="336">
        <f t="shared" si="55"/>
        <v>1.032</v>
      </c>
      <c r="Q195" s="337">
        <f t="shared" si="56"/>
        <v>1.0349999999999999</v>
      </c>
      <c r="R195" s="340">
        <f t="shared" si="30"/>
        <v>1.0905505199999999</v>
      </c>
      <c r="S195" s="324"/>
      <c r="T195" s="324"/>
      <c r="U195" s="324"/>
      <c r="V195" s="324"/>
      <c r="W195" s="324"/>
      <c r="X195" s="324"/>
      <c r="Y195" s="324"/>
      <c r="Z195" s="324"/>
      <c r="AA195" s="324"/>
      <c r="AB195" s="324"/>
      <c r="AC195" s="324"/>
      <c r="AD195" s="324"/>
      <c r="AE195" s="324"/>
      <c r="AF195" s="324"/>
      <c r="AG195" s="324"/>
      <c r="AH195" s="324"/>
      <c r="AI195" s="324"/>
      <c r="AJ195" s="324"/>
      <c r="AK195" s="324"/>
      <c r="AL195" s="324"/>
      <c r="AM195" s="324"/>
      <c r="AN195" s="324"/>
      <c r="AO195" s="324"/>
      <c r="AP195" s="324"/>
      <c r="AQ195" s="324"/>
      <c r="AR195" s="324"/>
      <c r="AS195" s="324"/>
      <c r="AT195" s="324"/>
      <c r="AU195" s="324"/>
      <c r="AV195" s="324"/>
      <c r="AW195" s="324"/>
      <c r="AX195" s="324"/>
      <c r="AY195" s="324"/>
      <c r="AZ195" s="324"/>
      <c r="BA195" s="324"/>
      <c r="BB195" s="324"/>
      <c r="BC195" s="324"/>
      <c r="BD195" s="324"/>
      <c r="BE195" s="324"/>
      <c r="BF195" s="324"/>
      <c r="BG195" s="324"/>
      <c r="BH195" s="324"/>
      <c r="BI195" s="324"/>
      <c r="BJ195" s="324"/>
      <c r="BK195" s="324"/>
      <c r="BL195" s="324"/>
      <c r="BM195" s="324"/>
      <c r="BN195" s="324"/>
      <c r="BO195" s="324"/>
      <c r="BP195" s="324"/>
      <c r="BQ195" s="324"/>
      <c r="BR195" s="324"/>
      <c r="BS195" s="324"/>
      <c r="BT195" s="324"/>
      <c r="BU195" s="324"/>
      <c r="BV195" s="324"/>
      <c r="BW195" s="324"/>
      <c r="BX195" s="324"/>
      <c r="BY195" s="324"/>
      <c r="BZ195" s="324"/>
      <c r="CA195" s="324"/>
      <c r="CB195" s="324"/>
      <c r="CC195" s="324"/>
      <c r="CD195" s="324"/>
      <c r="CE195" s="324"/>
      <c r="CF195" s="324"/>
      <c r="CG195" s="324"/>
      <c r="CH195" s="324"/>
      <c r="CI195" s="324"/>
      <c r="CJ195" s="324"/>
      <c r="CK195" s="324"/>
      <c r="CL195" s="324"/>
      <c r="CM195" s="324"/>
      <c r="CN195" s="324"/>
      <c r="CO195" s="324"/>
      <c r="CP195" s="324"/>
      <c r="CQ195" s="324"/>
      <c r="CR195" s="324"/>
      <c r="CS195" s="324"/>
      <c r="CT195" s="324"/>
      <c r="CU195" s="324"/>
      <c r="CV195" s="324"/>
      <c r="CW195" s="324"/>
      <c r="CX195" s="324"/>
      <c r="CY195" s="324"/>
      <c r="CZ195" s="324"/>
      <c r="DA195" s="324"/>
      <c r="DB195" s="324"/>
      <c r="DC195" s="324"/>
      <c r="DD195" s="324"/>
      <c r="DE195" s="324"/>
      <c r="DF195" s="324"/>
      <c r="DG195" s="324"/>
      <c r="DH195" s="324"/>
      <c r="DI195" s="324"/>
      <c r="DJ195" s="324"/>
      <c r="DK195" s="324"/>
      <c r="DL195" s="324"/>
      <c r="DM195" s="324"/>
      <c r="DN195" s="324"/>
      <c r="DO195" s="324"/>
      <c r="DP195" s="324"/>
      <c r="DQ195" s="324"/>
      <c r="DR195" s="324"/>
      <c r="DS195" s="324"/>
      <c r="DT195" s="324"/>
      <c r="DU195" s="324"/>
      <c r="DV195" s="324"/>
      <c r="DW195" s="324"/>
      <c r="DX195" s="324"/>
      <c r="DY195" s="324"/>
      <c r="DZ195" s="324"/>
      <c r="EA195" s="324"/>
      <c r="EB195" s="324"/>
      <c r="EC195" s="324"/>
      <c r="ED195" s="324"/>
      <c r="EE195" s="324"/>
      <c r="EF195" s="324"/>
      <c r="EG195" s="324"/>
      <c r="EH195" s="324"/>
      <c r="EI195" s="324"/>
      <c r="EJ195" s="324"/>
      <c r="EK195" s="324"/>
      <c r="EL195" s="324"/>
      <c r="EM195" s="324"/>
      <c r="EN195" s="324"/>
      <c r="EO195" s="324"/>
      <c r="EP195" s="324"/>
      <c r="EQ195" s="324"/>
      <c r="ER195" s="324"/>
      <c r="ES195" s="324"/>
      <c r="ET195" s="324"/>
      <c r="EU195" s="324"/>
      <c r="EV195" s="324"/>
      <c r="EW195" s="324"/>
      <c r="EX195" s="324"/>
      <c r="EY195" s="324"/>
      <c r="EZ195" s="324"/>
      <c r="FA195" s="324"/>
      <c r="FB195" s="324"/>
      <c r="FC195" s="324"/>
      <c r="FD195" s="324"/>
      <c r="FE195" s="324"/>
      <c r="FF195" s="324"/>
      <c r="FG195" s="324"/>
      <c r="FH195" s="324"/>
      <c r="FI195" s="324"/>
      <c r="FJ195" s="324"/>
      <c r="FK195" s="324"/>
      <c r="FL195" s="324"/>
      <c r="FM195" s="324"/>
      <c r="FN195" s="324"/>
      <c r="FO195" s="324"/>
      <c r="FP195" s="324"/>
      <c r="FQ195" s="324"/>
      <c r="FR195" s="324"/>
      <c r="FS195" s="324"/>
      <c r="FT195" s="324"/>
      <c r="FU195" s="324"/>
      <c r="FV195" s="324"/>
      <c r="FW195" s="324"/>
      <c r="FX195" s="324"/>
      <c r="FY195" s="324"/>
      <c r="FZ195" s="324"/>
      <c r="GA195" s="324"/>
      <c r="GB195" s="324"/>
      <c r="GC195" s="324"/>
      <c r="GD195" s="324"/>
      <c r="GE195" s="324"/>
      <c r="GF195" s="324"/>
      <c r="GG195" s="324"/>
      <c r="GH195" s="324"/>
      <c r="GI195" s="324"/>
      <c r="GJ195" s="324"/>
      <c r="GK195" s="324"/>
      <c r="GL195" s="324"/>
      <c r="GM195" s="324"/>
      <c r="GN195" s="324"/>
      <c r="GO195" s="324"/>
      <c r="GP195" s="324"/>
      <c r="GQ195" s="324"/>
      <c r="GR195" s="324"/>
      <c r="GS195" s="324"/>
      <c r="GT195" s="324"/>
      <c r="GU195" s="324"/>
      <c r="GV195" s="324"/>
      <c r="GW195" s="324"/>
      <c r="GX195" s="324"/>
      <c r="GY195" s="324"/>
      <c r="GZ195" s="324"/>
      <c r="HA195" s="324"/>
      <c r="HB195" s="324"/>
      <c r="HC195" s="324"/>
      <c r="HD195" s="324"/>
      <c r="HE195" s="324"/>
      <c r="HF195" s="324"/>
      <c r="HG195" s="324"/>
      <c r="HH195" s="324"/>
      <c r="HI195" s="324"/>
      <c r="HJ195" s="324"/>
      <c r="HK195" s="324"/>
      <c r="HL195" s="324"/>
      <c r="HM195" s="324"/>
      <c r="HN195" s="324"/>
      <c r="HO195" s="324"/>
      <c r="HP195" s="324"/>
      <c r="HQ195" s="324"/>
      <c r="HR195" s="324"/>
      <c r="HS195" s="324"/>
      <c r="HT195" s="324"/>
      <c r="HU195" s="324"/>
      <c r="HV195" s="324"/>
      <c r="HW195" s="324"/>
      <c r="HX195" s="324"/>
      <c r="HY195" s="324"/>
      <c r="HZ195" s="324"/>
      <c r="IA195" s="324"/>
      <c r="IB195" s="324"/>
      <c r="IC195" s="324"/>
      <c r="ID195" s="324"/>
      <c r="IE195" s="324"/>
      <c r="IF195" s="324"/>
      <c r="IG195" s="324"/>
      <c r="IH195" s="324"/>
      <c r="II195" s="324"/>
      <c r="IJ195" s="324"/>
      <c r="IK195" s="324"/>
      <c r="IL195" s="324"/>
      <c r="IM195" s="324"/>
    </row>
    <row r="196" spans="1:247" x14ac:dyDescent="0.35">
      <c r="A196" s="356">
        <v>7516</v>
      </c>
      <c r="B196" s="357" t="s">
        <v>196</v>
      </c>
      <c r="C196" s="172" t="s">
        <v>10</v>
      </c>
      <c r="D196" s="358" t="s">
        <v>2051</v>
      </c>
      <c r="E196" s="336"/>
      <c r="F196" s="331">
        <f t="shared" si="29"/>
        <v>1.0209999999999999</v>
      </c>
      <c r="G196" s="337"/>
      <c r="H196" s="336"/>
      <c r="I196" s="338"/>
      <c r="J196" s="338"/>
      <c r="K196" s="338"/>
      <c r="L196" s="338"/>
      <c r="M196" s="338"/>
      <c r="N196" s="337"/>
      <c r="O196" s="339"/>
      <c r="P196" s="336"/>
      <c r="Q196" s="337"/>
      <c r="R196" s="340">
        <f t="shared" si="30"/>
        <v>1.0209999999999999</v>
      </c>
      <c r="S196" s="324"/>
      <c r="T196" s="324"/>
      <c r="U196" s="324"/>
      <c r="V196" s="324"/>
      <c r="W196" s="324"/>
      <c r="X196" s="324"/>
      <c r="Y196" s="324"/>
      <c r="Z196" s="324"/>
      <c r="AA196" s="324"/>
      <c r="AB196" s="324"/>
      <c r="AC196" s="324"/>
      <c r="AD196" s="324"/>
      <c r="AE196" s="324"/>
      <c r="AF196" s="324"/>
      <c r="AG196" s="324"/>
      <c r="AH196" s="324"/>
      <c r="AI196" s="324"/>
      <c r="AJ196" s="324"/>
      <c r="AK196" s="324"/>
      <c r="AL196" s="324"/>
      <c r="AM196" s="324"/>
      <c r="AN196" s="324"/>
      <c r="AO196" s="324"/>
      <c r="AP196" s="324"/>
      <c r="AQ196" s="324"/>
      <c r="AR196" s="324"/>
      <c r="AS196" s="324"/>
      <c r="AT196" s="324"/>
      <c r="AU196" s="324"/>
      <c r="AV196" s="324"/>
      <c r="AW196" s="324"/>
      <c r="AX196" s="324"/>
      <c r="AY196" s="324"/>
      <c r="AZ196" s="324"/>
      <c r="BA196" s="324"/>
      <c r="BB196" s="324"/>
      <c r="BC196" s="324"/>
      <c r="BD196" s="324"/>
      <c r="BE196" s="324"/>
      <c r="BF196" s="324"/>
      <c r="BG196" s="324"/>
      <c r="BH196" s="324"/>
      <c r="BI196" s="324"/>
      <c r="BJ196" s="324"/>
      <c r="BK196" s="324"/>
      <c r="BL196" s="324"/>
      <c r="BM196" s="324"/>
      <c r="BN196" s="324"/>
      <c r="BO196" s="324"/>
      <c r="BP196" s="324"/>
      <c r="BQ196" s="324"/>
      <c r="BR196" s="324"/>
      <c r="BS196" s="324"/>
      <c r="BT196" s="324"/>
      <c r="BU196" s="324"/>
      <c r="BV196" s="324"/>
      <c r="BW196" s="324"/>
      <c r="BX196" s="324"/>
      <c r="BY196" s="324"/>
      <c r="BZ196" s="324"/>
      <c r="CA196" s="324"/>
      <c r="CB196" s="324"/>
      <c r="CC196" s="324"/>
      <c r="CD196" s="324"/>
      <c r="CE196" s="324"/>
      <c r="CF196" s="324"/>
      <c r="CG196" s="324"/>
      <c r="CH196" s="324"/>
      <c r="CI196" s="324"/>
      <c r="CJ196" s="324"/>
      <c r="CK196" s="324"/>
      <c r="CL196" s="324"/>
      <c r="CM196" s="324"/>
      <c r="CN196" s="324"/>
      <c r="CO196" s="324"/>
      <c r="CP196" s="324"/>
      <c r="CQ196" s="324"/>
      <c r="CR196" s="324"/>
      <c r="CS196" s="324"/>
      <c r="CT196" s="324"/>
      <c r="CU196" s="324"/>
      <c r="CV196" s="324"/>
      <c r="CW196" s="324"/>
      <c r="CX196" s="324"/>
      <c r="CY196" s="324"/>
      <c r="CZ196" s="324"/>
      <c r="DA196" s="324"/>
      <c r="DB196" s="324"/>
      <c r="DC196" s="324"/>
      <c r="DD196" s="324"/>
      <c r="DE196" s="324"/>
      <c r="DF196" s="324"/>
      <c r="DG196" s="324"/>
      <c r="DH196" s="324"/>
      <c r="DI196" s="324"/>
      <c r="DJ196" s="324"/>
      <c r="DK196" s="324"/>
      <c r="DL196" s="324"/>
      <c r="DM196" s="324"/>
      <c r="DN196" s="324"/>
      <c r="DO196" s="324"/>
      <c r="DP196" s="324"/>
      <c r="DQ196" s="324"/>
      <c r="DR196" s="324"/>
      <c r="DS196" s="324"/>
      <c r="DT196" s="324"/>
      <c r="DU196" s="324"/>
      <c r="DV196" s="324"/>
      <c r="DW196" s="324"/>
      <c r="DX196" s="324"/>
      <c r="DY196" s="324"/>
      <c r="DZ196" s="324"/>
      <c r="EA196" s="324"/>
      <c r="EB196" s="324"/>
      <c r="EC196" s="324"/>
      <c r="ED196" s="324"/>
      <c r="EE196" s="324"/>
      <c r="EF196" s="324"/>
      <c r="EG196" s="324"/>
      <c r="EH196" s="324"/>
      <c r="EI196" s="324"/>
      <c r="EJ196" s="324"/>
      <c r="EK196" s="324"/>
      <c r="EL196" s="324"/>
      <c r="EM196" s="324"/>
      <c r="EN196" s="324"/>
      <c r="EO196" s="324"/>
      <c r="EP196" s="324"/>
      <c r="EQ196" s="324"/>
      <c r="ER196" s="324"/>
      <c r="ES196" s="324"/>
      <c r="ET196" s="324"/>
      <c r="EU196" s="324"/>
      <c r="EV196" s="324"/>
      <c r="EW196" s="324"/>
      <c r="EX196" s="324"/>
      <c r="EY196" s="324"/>
      <c r="EZ196" s="324"/>
      <c r="FA196" s="324"/>
      <c r="FB196" s="324"/>
      <c r="FC196" s="324"/>
      <c r="FD196" s="324"/>
      <c r="FE196" s="324"/>
      <c r="FF196" s="324"/>
      <c r="FG196" s="324"/>
      <c r="FH196" s="324"/>
      <c r="FI196" s="324"/>
      <c r="FJ196" s="324"/>
      <c r="FK196" s="324"/>
      <c r="FL196" s="324"/>
      <c r="FM196" s="324"/>
      <c r="FN196" s="324"/>
      <c r="FO196" s="324"/>
      <c r="FP196" s="324"/>
      <c r="FQ196" s="324"/>
      <c r="FR196" s="324"/>
      <c r="FS196" s="324"/>
      <c r="FT196" s="324"/>
      <c r="FU196" s="324"/>
      <c r="FV196" s="324"/>
      <c r="FW196" s="324"/>
      <c r="FX196" s="324"/>
      <c r="FY196" s="324"/>
      <c r="FZ196" s="324"/>
      <c r="GA196" s="324"/>
      <c r="GB196" s="324"/>
      <c r="GC196" s="324"/>
      <c r="GD196" s="324"/>
      <c r="GE196" s="324"/>
      <c r="GF196" s="324"/>
      <c r="GG196" s="324"/>
      <c r="GH196" s="324"/>
      <c r="GI196" s="324"/>
      <c r="GJ196" s="324"/>
      <c r="GK196" s="324"/>
      <c r="GL196" s="324"/>
      <c r="GM196" s="324"/>
      <c r="GN196" s="324"/>
      <c r="GO196" s="324"/>
      <c r="GP196" s="324"/>
      <c r="GQ196" s="324"/>
      <c r="GR196" s="324"/>
      <c r="GS196" s="324"/>
      <c r="GT196" s="324"/>
      <c r="GU196" s="324"/>
      <c r="GV196" s="324"/>
      <c r="GW196" s="324"/>
      <c r="GX196" s="324"/>
      <c r="GY196" s="324"/>
      <c r="GZ196" s="324"/>
      <c r="HA196" s="324"/>
      <c r="HB196" s="324"/>
      <c r="HC196" s="324"/>
      <c r="HD196" s="324"/>
      <c r="HE196" s="324"/>
      <c r="HF196" s="324"/>
      <c r="HG196" s="324"/>
      <c r="HH196" s="324"/>
      <c r="HI196" s="324"/>
      <c r="HJ196" s="324"/>
      <c r="HK196" s="324"/>
      <c r="HL196" s="324"/>
      <c r="HM196" s="324"/>
      <c r="HN196" s="324"/>
      <c r="HO196" s="324"/>
      <c r="HP196" s="324"/>
      <c r="HQ196" s="324"/>
      <c r="HR196" s="324"/>
      <c r="HS196" s="324"/>
      <c r="HT196" s="324"/>
      <c r="HU196" s="324"/>
      <c r="HV196" s="324"/>
      <c r="HW196" s="324"/>
      <c r="HX196" s="324"/>
      <c r="HY196" s="324"/>
      <c r="HZ196" s="324"/>
      <c r="IA196" s="324"/>
      <c r="IB196" s="324"/>
      <c r="IC196" s="324"/>
      <c r="ID196" s="324"/>
      <c r="IE196" s="324"/>
      <c r="IF196" s="324"/>
      <c r="IG196" s="324"/>
      <c r="IH196" s="324"/>
      <c r="II196" s="324"/>
      <c r="IJ196" s="324"/>
      <c r="IK196" s="324"/>
      <c r="IL196" s="324"/>
      <c r="IM196" s="324"/>
    </row>
    <row r="197" spans="1:247" x14ac:dyDescent="0.35">
      <c r="A197" s="356">
        <v>7517</v>
      </c>
      <c r="B197" s="357" t="s">
        <v>197</v>
      </c>
      <c r="C197" s="172" t="s">
        <v>10</v>
      </c>
      <c r="D197" s="358" t="s">
        <v>2051</v>
      </c>
      <c r="E197" s="336"/>
      <c r="F197" s="331">
        <f t="shared" si="29"/>
        <v>1.0209999999999999</v>
      </c>
      <c r="G197" s="337"/>
      <c r="H197" s="336"/>
      <c r="I197" s="338"/>
      <c r="J197" s="338"/>
      <c r="K197" s="338"/>
      <c r="L197" s="338"/>
      <c r="M197" s="338"/>
      <c r="N197" s="337"/>
      <c r="O197" s="339"/>
      <c r="P197" s="336"/>
      <c r="Q197" s="337"/>
      <c r="R197" s="340">
        <f t="shared" si="30"/>
        <v>1.0209999999999999</v>
      </c>
      <c r="S197" s="324"/>
      <c r="T197" s="324"/>
      <c r="U197" s="324"/>
      <c r="V197" s="324"/>
      <c r="W197" s="324"/>
      <c r="X197" s="324"/>
      <c r="Y197" s="324"/>
      <c r="Z197" s="324"/>
      <c r="AA197" s="324"/>
      <c r="AB197" s="324"/>
      <c r="AC197" s="324"/>
      <c r="AD197" s="324"/>
      <c r="AE197" s="324"/>
      <c r="AF197" s="324"/>
      <c r="AG197" s="324"/>
      <c r="AH197" s="324"/>
      <c r="AI197" s="324"/>
      <c r="AJ197" s="324"/>
      <c r="AK197" s="324"/>
      <c r="AL197" s="324"/>
      <c r="AM197" s="324"/>
      <c r="AN197" s="324"/>
      <c r="AO197" s="324"/>
      <c r="AP197" s="324"/>
      <c r="AQ197" s="324"/>
      <c r="AR197" s="324"/>
      <c r="AS197" s="324"/>
      <c r="AT197" s="324"/>
      <c r="AU197" s="324"/>
      <c r="AV197" s="324"/>
      <c r="AW197" s="324"/>
      <c r="AX197" s="324"/>
      <c r="AY197" s="324"/>
      <c r="AZ197" s="324"/>
      <c r="BA197" s="324"/>
      <c r="BB197" s="324"/>
      <c r="BC197" s="324"/>
      <c r="BD197" s="324"/>
      <c r="BE197" s="324"/>
      <c r="BF197" s="324"/>
      <c r="BG197" s="324"/>
      <c r="BH197" s="324"/>
      <c r="BI197" s="324"/>
      <c r="BJ197" s="324"/>
      <c r="BK197" s="324"/>
      <c r="BL197" s="324"/>
      <c r="BM197" s="324"/>
      <c r="BN197" s="324"/>
      <c r="BO197" s="324"/>
      <c r="BP197" s="324"/>
      <c r="BQ197" s="324"/>
      <c r="BR197" s="324"/>
      <c r="BS197" s="324"/>
      <c r="BT197" s="324"/>
      <c r="BU197" s="324"/>
      <c r="BV197" s="324"/>
      <c r="BW197" s="324"/>
      <c r="BX197" s="324"/>
      <c r="BY197" s="324"/>
      <c r="BZ197" s="324"/>
      <c r="CA197" s="324"/>
      <c r="CB197" s="324"/>
      <c r="CC197" s="324"/>
      <c r="CD197" s="324"/>
      <c r="CE197" s="324"/>
      <c r="CF197" s="324"/>
      <c r="CG197" s="324"/>
      <c r="CH197" s="324"/>
      <c r="CI197" s="324"/>
      <c r="CJ197" s="324"/>
      <c r="CK197" s="324"/>
      <c r="CL197" s="324"/>
      <c r="CM197" s="324"/>
      <c r="CN197" s="324"/>
      <c r="CO197" s="324"/>
      <c r="CP197" s="324"/>
      <c r="CQ197" s="324"/>
      <c r="CR197" s="324"/>
      <c r="CS197" s="324"/>
      <c r="CT197" s="324"/>
      <c r="CU197" s="324"/>
      <c r="CV197" s="324"/>
      <c r="CW197" s="324"/>
      <c r="CX197" s="324"/>
      <c r="CY197" s="324"/>
      <c r="CZ197" s="324"/>
      <c r="DA197" s="324"/>
      <c r="DB197" s="324"/>
      <c r="DC197" s="324"/>
      <c r="DD197" s="324"/>
      <c r="DE197" s="324"/>
      <c r="DF197" s="324"/>
      <c r="DG197" s="324"/>
      <c r="DH197" s="324"/>
      <c r="DI197" s="324"/>
      <c r="DJ197" s="324"/>
      <c r="DK197" s="324"/>
      <c r="DL197" s="324"/>
      <c r="DM197" s="324"/>
      <c r="DN197" s="324"/>
      <c r="DO197" s="324"/>
      <c r="DP197" s="324"/>
      <c r="DQ197" s="324"/>
      <c r="DR197" s="324"/>
      <c r="DS197" s="324"/>
      <c r="DT197" s="324"/>
      <c r="DU197" s="324"/>
      <c r="DV197" s="324"/>
      <c r="DW197" s="324"/>
      <c r="DX197" s="324"/>
      <c r="DY197" s="324"/>
      <c r="DZ197" s="324"/>
      <c r="EA197" s="324"/>
      <c r="EB197" s="324"/>
      <c r="EC197" s="324"/>
      <c r="ED197" s="324"/>
      <c r="EE197" s="324"/>
      <c r="EF197" s="324"/>
      <c r="EG197" s="324"/>
      <c r="EH197" s="324"/>
      <c r="EI197" s="324"/>
      <c r="EJ197" s="324"/>
      <c r="EK197" s="324"/>
      <c r="EL197" s="324"/>
      <c r="EM197" s="324"/>
      <c r="EN197" s="324"/>
      <c r="EO197" s="324"/>
      <c r="EP197" s="324"/>
      <c r="EQ197" s="324"/>
      <c r="ER197" s="324"/>
      <c r="ES197" s="324"/>
      <c r="ET197" s="324"/>
      <c r="EU197" s="324"/>
      <c r="EV197" s="324"/>
      <c r="EW197" s="324"/>
      <c r="EX197" s="324"/>
      <c r="EY197" s="324"/>
      <c r="EZ197" s="324"/>
      <c r="FA197" s="324"/>
      <c r="FB197" s="324"/>
      <c r="FC197" s="324"/>
      <c r="FD197" s="324"/>
      <c r="FE197" s="324"/>
      <c r="FF197" s="324"/>
      <c r="FG197" s="324"/>
      <c r="FH197" s="324"/>
      <c r="FI197" s="324"/>
      <c r="FJ197" s="324"/>
      <c r="FK197" s="324"/>
      <c r="FL197" s="324"/>
      <c r="FM197" s="324"/>
      <c r="FN197" s="324"/>
      <c r="FO197" s="324"/>
      <c r="FP197" s="324"/>
      <c r="FQ197" s="324"/>
      <c r="FR197" s="324"/>
      <c r="FS197" s="324"/>
      <c r="FT197" s="324"/>
      <c r="FU197" s="324"/>
      <c r="FV197" s="324"/>
      <c r="FW197" s="324"/>
      <c r="FX197" s="324"/>
      <c r="FY197" s="324"/>
      <c r="FZ197" s="324"/>
      <c r="GA197" s="324"/>
      <c r="GB197" s="324"/>
      <c r="GC197" s="324"/>
      <c r="GD197" s="324"/>
      <c r="GE197" s="324"/>
      <c r="GF197" s="324"/>
      <c r="GG197" s="324"/>
      <c r="GH197" s="324"/>
      <c r="GI197" s="324"/>
      <c r="GJ197" s="324"/>
      <c r="GK197" s="324"/>
      <c r="GL197" s="324"/>
      <c r="GM197" s="324"/>
      <c r="GN197" s="324"/>
      <c r="GO197" s="324"/>
      <c r="GP197" s="324"/>
      <c r="GQ197" s="324"/>
      <c r="GR197" s="324"/>
      <c r="GS197" s="324"/>
      <c r="GT197" s="324"/>
      <c r="GU197" s="324"/>
      <c r="GV197" s="324"/>
      <c r="GW197" s="324"/>
      <c r="GX197" s="324"/>
      <c r="GY197" s="324"/>
      <c r="GZ197" s="324"/>
      <c r="HA197" s="324"/>
      <c r="HB197" s="324"/>
      <c r="HC197" s="324"/>
      <c r="HD197" s="324"/>
      <c r="HE197" s="324"/>
      <c r="HF197" s="324"/>
      <c r="HG197" s="324"/>
      <c r="HH197" s="324"/>
      <c r="HI197" s="324"/>
      <c r="HJ197" s="324"/>
      <c r="HK197" s="324"/>
      <c r="HL197" s="324"/>
      <c r="HM197" s="324"/>
      <c r="HN197" s="324"/>
      <c r="HO197" s="324"/>
      <c r="HP197" s="324"/>
      <c r="HQ197" s="324"/>
      <c r="HR197" s="324"/>
      <c r="HS197" s="324"/>
      <c r="HT197" s="324"/>
      <c r="HU197" s="324"/>
      <c r="HV197" s="324"/>
      <c r="HW197" s="324"/>
      <c r="HX197" s="324"/>
      <c r="HY197" s="324"/>
      <c r="HZ197" s="324"/>
      <c r="IA197" s="324"/>
      <c r="IB197" s="324"/>
      <c r="IC197" s="324"/>
      <c r="ID197" s="324"/>
      <c r="IE197" s="324"/>
      <c r="IF197" s="324"/>
      <c r="IG197" s="324"/>
      <c r="IH197" s="324"/>
      <c r="II197" s="324"/>
      <c r="IJ197" s="324"/>
      <c r="IK197" s="324"/>
      <c r="IL197" s="324"/>
      <c r="IM197" s="324"/>
    </row>
    <row r="198" spans="1:247" x14ac:dyDescent="0.35">
      <c r="A198" s="356">
        <v>7518</v>
      </c>
      <c r="B198" s="357" t="s">
        <v>198</v>
      </c>
      <c r="C198" s="172" t="s">
        <v>10</v>
      </c>
      <c r="D198" s="358" t="s">
        <v>2051</v>
      </c>
      <c r="E198" s="336"/>
      <c r="F198" s="331">
        <f t="shared" si="29"/>
        <v>1.0209999999999999</v>
      </c>
      <c r="G198" s="337">
        <f>+$G$3</f>
        <v>1.0269999999999999</v>
      </c>
      <c r="H198" s="336"/>
      <c r="I198" s="338"/>
      <c r="J198" s="338"/>
      <c r="K198" s="338"/>
      <c r="L198" s="338"/>
      <c r="M198" s="338"/>
      <c r="N198" s="337"/>
      <c r="O198" s="339"/>
      <c r="P198" s="336">
        <f>+$P$3</f>
        <v>1.032</v>
      </c>
      <c r="Q198" s="337">
        <f>+$Q$3</f>
        <v>1.0349999999999999</v>
      </c>
      <c r="R198" s="340">
        <f t="shared" si="30"/>
        <v>1.1199953840399997</v>
      </c>
      <c r="S198" s="324"/>
      <c r="T198" s="324"/>
      <c r="U198" s="324"/>
      <c r="V198" s="324"/>
      <c r="W198" s="324"/>
      <c r="X198" s="324"/>
      <c r="Y198" s="324"/>
      <c r="Z198" s="324"/>
      <c r="AA198" s="324"/>
      <c r="AB198" s="324"/>
      <c r="AC198" s="324"/>
      <c r="AD198" s="324"/>
      <c r="AE198" s="324"/>
      <c r="AF198" s="324"/>
      <c r="AG198" s="324"/>
      <c r="AH198" s="324"/>
      <c r="AI198" s="324"/>
      <c r="AJ198" s="324"/>
      <c r="AK198" s="324"/>
      <c r="AL198" s="324"/>
      <c r="AM198" s="324"/>
      <c r="AN198" s="324"/>
      <c r="AO198" s="324"/>
      <c r="AP198" s="324"/>
      <c r="AQ198" s="324"/>
      <c r="AR198" s="324"/>
      <c r="AS198" s="324"/>
      <c r="AT198" s="324"/>
      <c r="AU198" s="324"/>
      <c r="AV198" s="324"/>
      <c r="AW198" s="324"/>
      <c r="AX198" s="324"/>
      <c r="AY198" s="324"/>
      <c r="AZ198" s="324"/>
      <c r="BA198" s="324"/>
      <c r="BB198" s="324"/>
      <c r="BC198" s="324"/>
      <c r="BD198" s="324"/>
      <c r="BE198" s="324"/>
      <c r="BF198" s="324"/>
      <c r="BG198" s="324"/>
      <c r="BH198" s="324"/>
      <c r="BI198" s="324"/>
      <c r="BJ198" s="324"/>
      <c r="BK198" s="324"/>
      <c r="BL198" s="324"/>
      <c r="BM198" s="324"/>
      <c r="BN198" s="324"/>
      <c r="BO198" s="324"/>
      <c r="BP198" s="324"/>
      <c r="BQ198" s="324"/>
      <c r="BR198" s="324"/>
      <c r="BS198" s="324"/>
      <c r="BT198" s="324"/>
      <c r="BU198" s="324"/>
      <c r="BV198" s="324"/>
      <c r="BW198" s="324"/>
      <c r="BX198" s="324"/>
      <c r="BY198" s="324"/>
      <c r="BZ198" s="324"/>
      <c r="CA198" s="324"/>
      <c r="CB198" s="324"/>
      <c r="CC198" s="324"/>
      <c r="CD198" s="324"/>
      <c r="CE198" s="324"/>
      <c r="CF198" s="324"/>
      <c r="CG198" s="324"/>
      <c r="CH198" s="324"/>
      <c r="CI198" s="324"/>
      <c r="CJ198" s="324"/>
      <c r="CK198" s="324"/>
      <c r="CL198" s="324"/>
      <c r="CM198" s="324"/>
      <c r="CN198" s="324"/>
      <c r="CO198" s="324"/>
      <c r="CP198" s="324"/>
      <c r="CQ198" s="324"/>
      <c r="CR198" s="324"/>
      <c r="CS198" s="324"/>
      <c r="CT198" s="324"/>
      <c r="CU198" s="324"/>
      <c r="CV198" s="324"/>
      <c r="CW198" s="324"/>
      <c r="CX198" s="324"/>
      <c r="CY198" s="324"/>
      <c r="CZ198" s="324"/>
      <c r="DA198" s="324"/>
      <c r="DB198" s="324"/>
      <c r="DC198" s="324"/>
      <c r="DD198" s="324"/>
      <c r="DE198" s="324"/>
      <c r="DF198" s="324"/>
      <c r="DG198" s="324"/>
      <c r="DH198" s="324"/>
      <c r="DI198" s="324"/>
      <c r="DJ198" s="324"/>
      <c r="DK198" s="324"/>
      <c r="DL198" s="324"/>
      <c r="DM198" s="324"/>
      <c r="DN198" s="324"/>
      <c r="DO198" s="324"/>
      <c r="DP198" s="324"/>
      <c r="DQ198" s="324"/>
      <c r="DR198" s="324"/>
      <c r="DS198" s="324"/>
      <c r="DT198" s="324"/>
      <c r="DU198" s="324"/>
      <c r="DV198" s="324"/>
      <c r="DW198" s="324"/>
      <c r="DX198" s="324"/>
      <c r="DY198" s="324"/>
      <c r="DZ198" s="324"/>
      <c r="EA198" s="324"/>
      <c r="EB198" s="324"/>
      <c r="EC198" s="324"/>
      <c r="ED198" s="324"/>
      <c r="EE198" s="324"/>
      <c r="EF198" s="324"/>
      <c r="EG198" s="324"/>
      <c r="EH198" s="324"/>
      <c r="EI198" s="324"/>
      <c r="EJ198" s="324"/>
      <c r="EK198" s="324"/>
      <c r="EL198" s="324"/>
      <c r="EM198" s="324"/>
      <c r="EN198" s="324"/>
      <c r="EO198" s="324"/>
      <c r="EP198" s="324"/>
      <c r="EQ198" s="324"/>
      <c r="ER198" s="324"/>
      <c r="ES198" s="324"/>
      <c r="ET198" s="324"/>
      <c r="EU198" s="324"/>
      <c r="EV198" s="324"/>
      <c r="EW198" s="324"/>
      <c r="EX198" s="324"/>
      <c r="EY198" s="324"/>
      <c r="EZ198" s="324"/>
      <c r="FA198" s="324"/>
      <c r="FB198" s="324"/>
      <c r="FC198" s="324"/>
      <c r="FD198" s="324"/>
      <c r="FE198" s="324"/>
      <c r="FF198" s="324"/>
      <c r="FG198" s="324"/>
      <c r="FH198" s="324"/>
      <c r="FI198" s="324"/>
      <c r="FJ198" s="324"/>
      <c r="FK198" s="324"/>
      <c r="FL198" s="324"/>
      <c r="FM198" s="324"/>
      <c r="FN198" s="324"/>
      <c r="FO198" s="324"/>
      <c r="FP198" s="324"/>
      <c r="FQ198" s="324"/>
      <c r="FR198" s="324"/>
      <c r="FS198" s="324"/>
      <c r="FT198" s="324"/>
      <c r="FU198" s="324"/>
      <c r="FV198" s="324"/>
      <c r="FW198" s="324"/>
      <c r="FX198" s="324"/>
      <c r="FY198" s="324"/>
      <c r="FZ198" s="324"/>
      <c r="GA198" s="324"/>
      <c r="GB198" s="324"/>
      <c r="GC198" s="324"/>
      <c r="GD198" s="324"/>
      <c r="GE198" s="324"/>
      <c r="GF198" s="324"/>
      <c r="GG198" s="324"/>
      <c r="GH198" s="324"/>
      <c r="GI198" s="324"/>
      <c r="GJ198" s="324"/>
      <c r="GK198" s="324"/>
      <c r="GL198" s="324"/>
      <c r="GM198" s="324"/>
      <c r="GN198" s="324"/>
      <c r="GO198" s="324"/>
      <c r="GP198" s="324"/>
      <c r="GQ198" s="324"/>
      <c r="GR198" s="324"/>
      <c r="GS198" s="324"/>
      <c r="GT198" s="324"/>
      <c r="GU198" s="324"/>
      <c r="GV198" s="324"/>
      <c r="GW198" s="324"/>
      <c r="GX198" s="324"/>
      <c r="GY198" s="324"/>
      <c r="GZ198" s="324"/>
      <c r="HA198" s="324"/>
      <c r="HB198" s="324"/>
      <c r="HC198" s="324"/>
      <c r="HD198" s="324"/>
      <c r="HE198" s="324"/>
      <c r="HF198" s="324"/>
      <c r="HG198" s="324"/>
      <c r="HH198" s="324"/>
      <c r="HI198" s="324"/>
      <c r="HJ198" s="324"/>
      <c r="HK198" s="324"/>
      <c r="HL198" s="324"/>
      <c r="HM198" s="324"/>
      <c r="HN198" s="324"/>
      <c r="HO198" s="324"/>
      <c r="HP198" s="324"/>
      <c r="HQ198" s="324"/>
      <c r="HR198" s="324"/>
      <c r="HS198" s="324"/>
      <c r="HT198" s="324"/>
      <c r="HU198" s="324"/>
      <c r="HV198" s="324"/>
      <c r="HW198" s="324"/>
      <c r="HX198" s="324"/>
      <c r="HY198" s="324"/>
      <c r="HZ198" s="324"/>
      <c r="IA198" s="324"/>
      <c r="IB198" s="324"/>
      <c r="IC198" s="324"/>
      <c r="ID198" s="324"/>
      <c r="IE198" s="324"/>
      <c r="IF198" s="324"/>
      <c r="IG198" s="324"/>
      <c r="IH198" s="324"/>
      <c r="II198" s="324"/>
      <c r="IJ198" s="324"/>
      <c r="IK198" s="324"/>
      <c r="IL198" s="324"/>
      <c r="IM198" s="324"/>
    </row>
    <row r="199" spans="1:247" x14ac:dyDescent="0.35">
      <c r="A199" s="356">
        <v>7521</v>
      </c>
      <c r="B199" s="357" t="s">
        <v>199</v>
      </c>
      <c r="C199" s="172" t="s">
        <v>10</v>
      </c>
      <c r="D199" s="358" t="s">
        <v>2051</v>
      </c>
      <c r="E199" s="336"/>
      <c r="F199" s="331">
        <f t="shared" si="29"/>
        <v>1.0209999999999999</v>
      </c>
      <c r="G199" s="337"/>
      <c r="H199" s="336"/>
      <c r="I199" s="338"/>
      <c r="J199" s="338"/>
      <c r="K199" s="338"/>
      <c r="L199" s="338"/>
      <c r="M199" s="338"/>
      <c r="N199" s="337"/>
      <c r="O199" s="339"/>
      <c r="P199" s="336"/>
      <c r="Q199" s="337"/>
      <c r="R199" s="340">
        <f t="shared" si="30"/>
        <v>1.0209999999999999</v>
      </c>
      <c r="S199" s="324"/>
      <c r="T199" s="324"/>
      <c r="U199" s="324"/>
      <c r="V199" s="324"/>
      <c r="W199" s="324"/>
      <c r="X199" s="324"/>
      <c r="Y199" s="324"/>
      <c r="Z199" s="324"/>
      <c r="AA199" s="324"/>
      <c r="AB199" s="324"/>
      <c r="AC199" s="324"/>
      <c r="AD199" s="324"/>
      <c r="AE199" s="324"/>
      <c r="AF199" s="324"/>
      <c r="AG199" s="324"/>
      <c r="AH199" s="324"/>
      <c r="AI199" s="324"/>
      <c r="AJ199" s="324"/>
      <c r="AK199" s="324"/>
      <c r="AL199" s="324"/>
      <c r="AM199" s="324"/>
      <c r="AN199" s="324"/>
      <c r="AO199" s="324"/>
      <c r="AP199" s="324"/>
      <c r="AQ199" s="324"/>
      <c r="AR199" s="324"/>
      <c r="AS199" s="324"/>
      <c r="AT199" s="324"/>
      <c r="AU199" s="324"/>
      <c r="AV199" s="324"/>
      <c r="AW199" s="324"/>
      <c r="AX199" s="324"/>
      <c r="AY199" s="324"/>
      <c r="AZ199" s="324"/>
      <c r="BA199" s="324"/>
      <c r="BB199" s="324"/>
      <c r="BC199" s="324"/>
      <c r="BD199" s="324"/>
      <c r="BE199" s="324"/>
      <c r="BF199" s="324"/>
      <c r="BG199" s="324"/>
      <c r="BH199" s="324"/>
      <c r="BI199" s="324"/>
      <c r="BJ199" s="324"/>
      <c r="BK199" s="324"/>
      <c r="BL199" s="324"/>
      <c r="BM199" s="324"/>
      <c r="BN199" s="324"/>
      <c r="BO199" s="324"/>
      <c r="BP199" s="324"/>
      <c r="BQ199" s="324"/>
      <c r="BR199" s="324"/>
      <c r="BS199" s="324"/>
      <c r="BT199" s="324"/>
      <c r="BU199" s="324"/>
      <c r="BV199" s="324"/>
      <c r="BW199" s="324"/>
      <c r="BX199" s="324"/>
      <c r="BY199" s="324"/>
      <c r="BZ199" s="324"/>
      <c r="CA199" s="324"/>
      <c r="CB199" s="324"/>
      <c r="CC199" s="324"/>
      <c r="CD199" s="324"/>
      <c r="CE199" s="324"/>
      <c r="CF199" s="324"/>
      <c r="CG199" s="324"/>
      <c r="CH199" s="324"/>
      <c r="CI199" s="324"/>
      <c r="CJ199" s="324"/>
      <c r="CK199" s="324"/>
      <c r="CL199" s="324"/>
      <c r="CM199" s="324"/>
      <c r="CN199" s="324"/>
      <c r="CO199" s="324"/>
      <c r="CP199" s="324"/>
      <c r="CQ199" s="324"/>
      <c r="CR199" s="324"/>
      <c r="CS199" s="324"/>
      <c r="CT199" s="324"/>
      <c r="CU199" s="324"/>
      <c r="CV199" s="324"/>
      <c r="CW199" s="324"/>
      <c r="CX199" s="324"/>
      <c r="CY199" s="324"/>
      <c r="CZ199" s="324"/>
      <c r="DA199" s="324"/>
      <c r="DB199" s="324"/>
      <c r="DC199" s="324"/>
      <c r="DD199" s="324"/>
      <c r="DE199" s="324"/>
      <c r="DF199" s="324"/>
      <c r="DG199" s="324"/>
      <c r="DH199" s="324"/>
      <c r="DI199" s="324"/>
      <c r="DJ199" s="324"/>
      <c r="DK199" s="324"/>
      <c r="DL199" s="324"/>
      <c r="DM199" s="324"/>
      <c r="DN199" s="324"/>
      <c r="DO199" s="324"/>
      <c r="DP199" s="324"/>
      <c r="DQ199" s="324"/>
      <c r="DR199" s="324"/>
      <c r="DS199" s="324"/>
      <c r="DT199" s="324"/>
      <c r="DU199" s="324"/>
      <c r="DV199" s="324"/>
      <c r="DW199" s="324"/>
      <c r="DX199" s="324"/>
      <c r="DY199" s="324"/>
      <c r="DZ199" s="324"/>
      <c r="EA199" s="324"/>
      <c r="EB199" s="324"/>
      <c r="EC199" s="324"/>
      <c r="ED199" s="324"/>
      <c r="EE199" s="324"/>
      <c r="EF199" s="324"/>
      <c r="EG199" s="324"/>
      <c r="EH199" s="324"/>
      <c r="EI199" s="324"/>
      <c r="EJ199" s="324"/>
      <c r="EK199" s="324"/>
      <c r="EL199" s="324"/>
      <c r="EM199" s="324"/>
      <c r="EN199" s="324"/>
      <c r="EO199" s="324"/>
      <c r="EP199" s="324"/>
      <c r="EQ199" s="324"/>
      <c r="ER199" s="324"/>
      <c r="ES199" s="324"/>
      <c r="ET199" s="324"/>
      <c r="EU199" s="324"/>
      <c r="EV199" s="324"/>
      <c r="EW199" s="324"/>
      <c r="EX199" s="324"/>
      <c r="EY199" s="324"/>
      <c r="EZ199" s="324"/>
      <c r="FA199" s="324"/>
      <c r="FB199" s="324"/>
      <c r="FC199" s="324"/>
      <c r="FD199" s="324"/>
      <c r="FE199" s="324"/>
      <c r="FF199" s="324"/>
      <c r="FG199" s="324"/>
      <c r="FH199" s="324"/>
      <c r="FI199" s="324"/>
      <c r="FJ199" s="324"/>
      <c r="FK199" s="324"/>
      <c r="FL199" s="324"/>
      <c r="FM199" s="324"/>
      <c r="FN199" s="324"/>
      <c r="FO199" s="324"/>
      <c r="FP199" s="324"/>
      <c r="FQ199" s="324"/>
      <c r="FR199" s="324"/>
      <c r="FS199" s="324"/>
      <c r="FT199" s="324"/>
      <c r="FU199" s="324"/>
      <c r="FV199" s="324"/>
      <c r="FW199" s="324"/>
      <c r="FX199" s="324"/>
      <c r="FY199" s="324"/>
      <c r="FZ199" s="324"/>
      <c r="GA199" s="324"/>
      <c r="GB199" s="324"/>
      <c r="GC199" s="324"/>
      <c r="GD199" s="324"/>
      <c r="GE199" s="324"/>
      <c r="GF199" s="324"/>
      <c r="GG199" s="324"/>
      <c r="GH199" s="324"/>
      <c r="GI199" s="324"/>
      <c r="GJ199" s="324"/>
      <c r="GK199" s="324"/>
      <c r="GL199" s="324"/>
      <c r="GM199" s="324"/>
      <c r="GN199" s="324"/>
      <c r="GO199" s="324"/>
      <c r="GP199" s="324"/>
      <c r="GQ199" s="324"/>
      <c r="GR199" s="324"/>
      <c r="GS199" s="324"/>
      <c r="GT199" s="324"/>
      <c r="GU199" s="324"/>
      <c r="GV199" s="324"/>
      <c r="GW199" s="324"/>
      <c r="GX199" s="324"/>
      <c r="GY199" s="324"/>
      <c r="GZ199" s="324"/>
      <c r="HA199" s="324"/>
      <c r="HB199" s="324"/>
      <c r="HC199" s="324"/>
      <c r="HD199" s="324"/>
      <c r="HE199" s="324"/>
      <c r="HF199" s="324"/>
      <c r="HG199" s="324"/>
      <c r="HH199" s="324"/>
      <c r="HI199" s="324"/>
      <c r="HJ199" s="324"/>
      <c r="HK199" s="324"/>
      <c r="HL199" s="324"/>
      <c r="HM199" s="324"/>
      <c r="HN199" s="324"/>
      <c r="HO199" s="324"/>
      <c r="HP199" s="324"/>
      <c r="HQ199" s="324"/>
      <c r="HR199" s="324"/>
      <c r="HS199" s="324"/>
      <c r="HT199" s="324"/>
      <c r="HU199" s="324"/>
      <c r="HV199" s="324"/>
      <c r="HW199" s="324"/>
      <c r="HX199" s="324"/>
      <c r="HY199" s="324"/>
      <c r="HZ199" s="324"/>
      <c r="IA199" s="324"/>
      <c r="IB199" s="324"/>
      <c r="IC199" s="324"/>
      <c r="ID199" s="324"/>
      <c r="IE199" s="324"/>
      <c r="IF199" s="324"/>
      <c r="IG199" s="324"/>
      <c r="IH199" s="324"/>
      <c r="II199" s="324"/>
      <c r="IJ199" s="324"/>
      <c r="IK199" s="324"/>
      <c r="IL199" s="324"/>
      <c r="IM199" s="324"/>
    </row>
    <row r="200" spans="1:247" x14ac:dyDescent="0.35">
      <c r="A200" s="356">
        <v>7523</v>
      </c>
      <c r="B200" s="357" t="s">
        <v>200</v>
      </c>
      <c r="C200" s="172" t="s">
        <v>10</v>
      </c>
      <c r="D200" s="358" t="s">
        <v>2051</v>
      </c>
      <c r="E200" s="336"/>
      <c r="F200" s="331">
        <f t="shared" ref="F200:F270" si="57">+$F$3</f>
        <v>1.0209999999999999</v>
      </c>
      <c r="G200" s="337">
        <f>+$G$3</f>
        <v>1.0269999999999999</v>
      </c>
      <c r="H200" s="336"/>
      <c r="I200" s="338"/>
      <c r="J200" s="338"/>
      <c r="K200" s="338"/>
      <c r="L200" s="338"/>
      <c r="M200" s="338"/>
      <c r="N200" s="337"/>
      <c r="O200" s="339"/>
      <c r="P200" s="336"/>
      <c r="Q200" s="337"/>
      <c r="R200" s="340">
        <f t="shared" ref="R200:R270" si="58">PRODUCT(E200:Q200)</f>
        <v>1.0485669999999998</v>
      </c>
      <c r="S200" s="324"/>
      <c r="T200" s="324"/>
      <c r="U200" s="324"/>
      <c r="V200" s="324"/>
      <c r="W200" s="324"/>
      <c r="X200" s="324"/>
      <c r="Y200" s="324"/>
      <c r="Z200" s="324"/>
      <c r="AA200" s="324"/>
      <c r="AB200" s="324"/>
      <c r="AC200" s="324"/>
      <c r="AD200" s="324"/>
      <c r="AE200" s="324"/>
      <c r="AF200" s="324"/>
      <c r="AG200" s="324"/>
      <c r="AH200" s="324"/>
      <c r="AI200" s="324"/>
      <c r="AJ200" s="324"/>
      <c r="AK200" s="324"/>
      <c r="AL200" s="324"/>
      <c r="AM200" s="324"/>
      <c r="AN200" s="324"/>
      <c r="AO200" s="324"/>
      <c r="AP200" s="324"/>
      <c r="AQ200" s="324"/>
      <c r="AR200" s="324"/>
      <c r="AS200" s="324"/>
      <c r="AT200" s="324"/>
      <c r="AU200" s="324"/>
      <c r="AV200" s="324"/>
      <c r="AW200" s="324"/>
      <c r="AX200" s="324"/>
      <c r="AY200" s="324"/>
      <c r="AZ200" s="324"/>
      <c r="BA200" s="324"/>
      <c r="BB200" s="324"/>
      <c r="BC200" s="324"/>
      <c r="BD200" s="324"/>
      <c r="BE200" s="324"/>
      <c r="BF200" s="324"/>
      <c r="BG200" s="324"/>
      <c r="BH200" s="324"/>
      <c r="BI200" s="324"/>
      <c r="BJ200" s="324"/>
      <c r="BK200" s="324"/>
      <c r="BL200" s="324"/>
      <c r="BM200" s="324"/>
      <c r="BN200" s="324"/>
      <c r="BO200" s="324"/>
      <c r="BP200" s="324"/>
      <c r="BQ200" s="324"/>
      <c r="BR200" s="324"/>
      <c r="BS200" s="324"/>
      <c r="BT200" s="324"/>
      <c r="BU200" s="324"/>
      <c r="BV200" s="324"/>
      <c r="BW200" s="324"/>
      <c r="BX200" s="324"/>
      <c r="BY200" s="324"/>
      <c r="BZ200" s="324"/>
      <c r="CA200" s="324"/>
      <c r="CB200" s="324"/>
      <c r="CC200" s="324"/>
      <c r="CD200" s="324"/>
      <c r="CE200" s="324"/>
      <c r="CF200" s="324"/>
      <c r="CG200" s="324"/>
      <c r="CH200" s="324"/>
      <c r="CI200" s="324"/>
      <c r="CJ200" s="324"/>
      <c r="CK200" s="324"/>
      <c r="CL200" s="324"/>
      <c r="CM200" s="324"/>
      <c r="CN200" s="324"/>
      <c r="CO200" s="324"/>
      <c r="CP200" s="324"/>
      <c r="CQ200" s="324"/>
      <c r="CR200" s="324"/>
      <c r="CS200" s="324"/>
      <c r="CT200" s="324"/>
      <c r="CU200" s="324"/>
      <c r="CV200" s="324"/>
      <c r="CW200" s="324"/>
      <c r="CX200" s="324"/>
      <c r="CY200" s="324"/>
      <c r="CZ200" s="324"/>
      <c r="DA200" s="324"/>
      <c r="DB200" s="324"/>
      <c r="DC200" s="324"/>
      <c r="DD200" s="324"/>
      <c r="DE200" s="324"/>
      <c r="DF200" s="324"/>
      <c r="DG200" s="324"/>
      <c r="DH200" s="324"/>
      <c r="DI200" s="324"/>
      <c r="DJ200" s="324"/>
      <c r="DK200" s="324"/>
      <c r="DL200" s="324"/>
      <c r="DM200" s="324"/>
      <c r="DN200" s="324"/>
      <c r="DO200" s="324"/>
      <c r="DP200" s="324"/>
      <c r="DQ200" s="324"/>
      <c r="DR200" s="324"/>
      <c r="DS200" s="324"/>
      <c r="DT200" s="324"/>
      <c r="DU200" s="324"/>
      <c r="DV200" s="324"/>
      <c r="DW200" s="324"/>
      <c r="DX200" s="324"/>
      <c r="DY200" s="324"/>
      <c r="DZ200" s="324"/>
      <c r="EA200" s="324"/>
      <c r="EB200" s="324"/>
      <c r="EC200" s="324"/>
      <c r="ED200" s="324"/>
      <c r="EE200" s="324"/>
      <c r="EF200" s="324"/>
      <c r="EG200" s="324"/>
      <c r="EH200" s="324"/>
      <c r="EI200" s="324"/>
      <c r="EJ200" s="324"/>
      <c r="EK200" s="324"/>
      <c r="EL200" s="324"/>
      <c r="EM200" s="324"/>
      <c r="EN200" s="324"/>
      <c r="EO200" s="324"/>
      <c r="EP200" s="324"/>
      <c r="EQ200" s="324"/>
      <c r="ER200" s="324"/>
      <c r="ES200" s="324"/>
      <c r="ET200" s="324"/>
      <c r="EU200" s="324"/>
      <c r="EV200" s="324"/>
      <c r="EW200" s="324"/>
      <c r="EX200" s="324"/>
      <c r="EY200" s="324"/>
      <c r="EZ200" s="324"/>
      <c r="FA200" s="324"/>
      <c r="FB200" s="324"/>
      <c r="FC200" s="324"/>
      <c r="FD200" s="324"/>
      <c r="FE200" s="324"/>
      <c r="FF200" s="324"/>
      <c r="FG200" s="324"/>
      <c r="FH200" s="324"/>
      <c r="FI200" s="324"/>
      <c r="FJ200" s="324"/>
      <c r="FK200" s="324"/>
      <c r="FL200" s="324"/>
      <c r="FM200" s="324"/>
      <c r="FN200" s="324"/>
      <c r="FO200" s="324"/>
      <c r="FP200" s="324"/>
      <c r="FQ200" s="324"/>
      <c r="FR200" s="324"/>
      <c r="FS200" s="324"/>
      <c r="FT200" s="324"/>
      <c r="FU200" s="324"/>
      <c r="FV200" s="324"/>
      <c r="FW200" s="324"/>
      <c r="FX200" s="324"/>
      <c r="FY200" s="324"/>
      <c r="FZ200" s="324"/>
      <c r="GA200" s="324"/>
      <c r="GB200" s="324"/>
      <c r="GC200" s="324"/>
      <c r="GD200" s="324"/>
      <c r="GE200" s="324"/>
      <c r="GF200" s="324"/>
      <c r="GG200" s="324"/>
      <c r="GH200" s="324"/>
      <c r="GI200" s="324"/>
      <c r="GJ200" s="324"/>
      <c r="GK200" s="324"/>
      <c r="GL200" s="324"/>
      <c r="GM200" s="324"/>
      <c r="GN200" s="324"/>
      <c r="GO200" s="324"/>
      <c r="GP200" s="324"/>
      <c r="GQ200" s="324"/>
      <c r="GR200" s="324"/>
      <c r="GS200" s="324"/>
      <c r="GT200" s="324"/>
      <c r="GU200" s="324"/>
      <c r="GV200" s="324"/>
      <c r="GW200" s="324"/>
      <c r="GX200" s="324"/>
      <c r="GY200" s="324"/>
      <c r="GZ200" s="324"/>
      <c r="HA200" s="324"/>
      <c r="HB200" s="324"/>
      <c r="HC200" s="324"/>
      <c r="HD200" s="324"/>
      <c r="HE200" s="324"/>
      <c r="HF200" s="324"/>
      <c r="HG200" s="324"/>
      <c r="HH200" s="324"/>
      <c r="HI200" s="324"/>
      <c r="HJ200" s="324"/>
      <c r="HK200" s="324"/>
      <c r="HL200" s="324"/>
      <c r="HM200" s="324"/>
      <c r="HN200" s="324"/>
      <c r="HO200" s="324"/>
      <c r="HP200" s="324"/>
      <c r="HQ200" s="324"/>
      <c r="HR200" s="324"/>
      <c r="HS200" s="324"/>
      <c r="HT200" s="324"/>
      <c r="HU200" s="324"/>
      <c r="HV200" s="324"/>
      <c r="HW200" s="324"/>
      <c r="HX200" s="324"/>
      <c r="HY200" s="324"/>
      <c r="HZ200" s="324"/>
      <c r="IA200" s="324"/>
      <c r="IB200" s="324"/>
      <c r="IC200" s="324"/>
      <c r="ID200" s="324"/>
      <c r="IE200" s="324"/>
      <c r="IF200" s="324"/>
      <c r="IG200" s="324"/>
      <c r="IH200" s="324"/>
      <c r="II200" s="324"/>
      <c r="IJ200" s="324"/>
      <c r="IK200" s="324"/>
      <c r="IL200" s="324"/>
      <c r="IM200" s="324"/>
    </row>
    <row r="201" spans="1:247" x14ac:dyDescent="0.35">
      <c r="A201" s="356">
        <v>7524</v>
      </c>
      <c r="B201" s="357" t="s">
        <v>201</v>
      </c>
      <c r="C201" s="172" t="s">
        <v>10</v>
      </c>
      <c r="D201" s="358" t="s">
        <v>2051</v>
      </c>
      <c r="E201" s="336"/>
      <c r="F201" s="331">
        <f t="shared" si="57"/>
        <v>1.0209999999999999</v>
      </c>
      <c r="G201" s="337">
        <f>+$G$3</f>
        <v>1.0269999999999999</v>
      </c>
      <c r="H201" s="336"/>
      <c r="I201" s="338"/>
      <c r="J201" s="338"/>
      <c r="K201" s="338"/>
      <c r="L201" s="338"/>
      <c r="M201" s="338"/>
      <c r="N201" s="337"/>
      <c r="O201" s="339"/>
      <c r="P201" s="336">
        <f>+$P$3</f>
        <v>1.032</v>
      </c>
      <c r="Q201" s="337">
        <f>+$Q$3</f>
        <v>1.0349999999999999</v>
      </c>
      <c r="R201" s="340">
        <f t="shared" si="58"/>
        <v>1.1199953840399997</v>
      </c>
      <c r="S201" s="324"/>
      <c r="T201" s="324"/>
      <c r="U201" s="324"/>
      <c r="V201" s="324"/>
      <c r="W201" s="324"/>
      <c r="X201" s="324"/>
      <c r="Y201" s="324"/>
      <c r="Z201" s="324"/>
      <c r="AA201" s="324"/>
      <c r="AB201" s="324"/>
      <c r="AC201" s="324"/>
      <c r="AD201" s="324"/>
      <c r="AE201" s="324"/>
      <c r="AF201" s="324"/>
      <c r="AG201" s="324"/>
      <c r="AH201" s="324"/>
      <c r="AI201" s="324"/>
      <c r="AJ201" s="324"/>
      <c r="AK201" s="324"/>
      <c r="AL201" s="324"/>
      <c r="AM201" s="324"/>
      <c r="AN201" s="324"/>
      <c r="AO201" s="324"/>
      <c r="AP201" s="324"/>
      <c r="AQ201" s="324"/>
      <c r="AR201" s="324"/>
      <c r="AS201" s="324"/>
      <c r="AT201" s="324"/>
      <c r="AU201" s="324"/>
      <c r="AV201" s="324"/>
      <c r="AW201" s="324"/>
      <c r="AX201" s="324"/>
      <c r="AY201" s="324"/>
      <c r="AZ201" s="324"/>
      <c r="BA201" s="324"/>
      <c r="BB201" s="324"/>
      <c r="BC201" s="324"/>
      <c r="BD201" s="324"/>
      <c r="BE201" s="324"/>
      <c r="BF201" s="324"/>
      <c r="BG201" s="324"/>
      <c r="BH201" s="324"/>
      <c r="BI201" s="324"/>
      <c r="BJ201" s="324"/>
      <c r="BK201" s="324"/>
      <c r="BL201" s="324"/>
      <c r="BM201" s="324"/>
      <c r="BN201" s="324"/>
      <c r="BO201" s="324"/>
      <c r="BP201" s="324"/>
      <c r="BQ201" s="324"/>
      <c r="BR201" s="324"/>
      <c r="BS201" s="324"/>
      <c r="BT201" s="324"/>
      <c r="BU201" s="324"/>
      <c r="BV201" s="324"/>
      <c r="BW201" s="324"/>
      <c r="BX201" s="324"/>
      <c r="BY201" s="324"/>
      <c r="BZ201" s="324"/>
      <c r="CA201" s="324"/>
      <c r="CB201" s="324"/>
      <c r="CC201" s="324"/>
      <c r="CD201" s="324"/>
      <c r="CE201" s="324"/>
      <c r="CF201" s="324"/>
      <c r="CG201" s="324"/>
      <c r="CH201" s="324"/>
      <c r="CI201" s="324"/>
      <c r="CJ201" s="324"/>
      <c r="CK201" s="324"/>
      <c r="CL201" s="324"/>
      <c r="CM201" s="324"/>
      <c r="CN201" s="324"/>
      <c r="CO201" s="324"/>
      <c r="CP201" s="324"/>
      <c r="CQ201" s="324"/>
      <c r="CR201" s="324"/>
      <c r="CS201" s="324"/>
      <c r="CT201" s="324"/>
      <c r="CU201" s="324"/>
      <c r="CV201" s="324"/>
      <c r="CW201" s="324"/>
      <c r="CX201" s="324"/>
      <c r="CY201" s="324"/>
      <c r="CZ201" s="324"/>
      <c r="DA201" s="324"/>
      <c r="DB201" s="324"/>
      <c r="DC201" s="324"/>
      <c r="DD201" s="324"/>
      <c r="DE201" s="324"/>
      <c r="DF201" s="324"/>
      <c r="DG201" s="324"/>
      <c r="DH201" s="324"/>
      <c r="DI201" s="324"/>
      <c r="DJ201" s="324"/>
      <c r="DK201" s="324"/>
      <c r="DL201" s="324"/>
      <c r="DM201" s="324"/>
      <c r="DN201" s="324"/>
      <c r="DO201" s="324"/>
      <c r="DP201" s="324"/>
      <c r="DQ201" s="324"/>
      <c r="DR201" s="324"/>
      <c r="DS201" s="324"/>
      <c r="DT201" s="324"/>
      <c r="DU201" s="324"/>
      <c r="DV201" s="324"/>
      <c r="DW201" s="324"/>
      <c r="DX201" s="324"/>
      <c r="DY201" s="324"/>
      <c r="DZ201" s="324"/>
      <c r="EA201" s="324"/>
      <c r="EB201" s="324"/>
      <c r="EC201" s="324"/>
      <c r="ED201" s="324"/>
      <c r="EE201" s="324"/>
      <c r="EF201" s="324"/>
      <c r="EG201" s="324"/>
      <c r="EH201" s="324"/>
      <c r="EI201" s="324"/>
      <c r="EJ201" s="324"/>
      <c r="EK201" s="324"/>
      <c r="EL201" s="324"/>
      <c r="EM201" s="324"/>
      <c r="EN201" s="324"/>
      <c r="EO201" s="324"/>
      <c r="EP201" s="324"/>
      <c r="EQ201" s="324"/>
      <c r="ER201" s="324"/>
      <c r="ES201" s="324"/>
      <c r="ET201" s="324"/>
      <c r="EU201" s="324"/>
      <c r="EV201" s="324"/>
      <c r="EW201" s="324"/>
      <c r="EX201" s="324"/>
      <c r="EY201" s="324"/>
      <c r="EZ201" s="324"/>
      <c r="FA201" s="324"/>
      <c r="FB201" s="324"/>
      <c r="FC201" s="324"/>
      <c r="FD201" s="324"/>
      <c r="FE201" s="324"/>
      <c r="FF201" s="324"/>
      <c r="FG201" s="324"/>
      <c r="FH201" s="324"/>
      <c r="FI201" s="324"/>
      <c r="FJ201" s="324"/>
      <c r="FK201" s="324"/>
      <c r="FL201" s="324"/>
      <c r="FM201" s="324"/>
      <c r="FN201" s="324"/>
      <c r="FO201" s="324"/>
      <c r="FP201" s="324"/>
      <c r="FQ201" s="324"/>
      <c r="FR201" s="324"/>
      <c r="FS201" s="324"/>
      <c r="FT201" s="324"/>
      <c r="FU201" s="324"/>
      <c r="FV201" s="324"/>
      <c r="FW201" s="324"/>
      <c r="FX201" s="324"/>
      <c r="FY201" s="324"/>
      <c r="FZ201" s="324"/>
      <c r="GA201" s="324"/>
      <c r="GB201" s="324"/>
      <c r="GC201" s="324"/>
      <c r="GD201" s="324"/>
      <c r="GE201" s="324"/>
      <c r="GF201" s="324"/>
      <c r="GG201" s="324"/>
      <c r="GH201" s="324"/>
      <c r="GI201" s="324"/>
      <c r="GJ201" s="324"/>
      <c r="GK201" s="324"/>
      <c r="GL201" s="324"/>
      <c r="GM201" s="324"/>
      <c r="GN201" s="324"/>
      <c r="GO201" s="324"/>
      <c r="GP201" s="324"/>
      <c r="GQ201" s="324"/>
      <c r="GR201" s="324"/>
      <c r="GS201" s="324"/>
      <c r="GT201" s="324"/>
      <c r="GU201" s="324"/>
      <c r="GV201" s="324"/>
      <c r="GW201" s="324"/>
      <c r="GX201" s="324"/>
      <c r="GY201" s="324"/>
      <c r="GZ201" s="324"/>
      <c r="HA201" s="324"/>
      <c r="HB201" s="324"/>
      <c r="HC201" s="324"/>
      <c r="HD201" s="324"/>
      <c r="HE201" s="324"/>
      <c r="HF201" s="324"/>
      <c r="HG201" s="324"/>
      <c r="HH201" s="324"/>
      <c r="HI201" s="324"/>
      <c r="HJ201" s="324"/>
      <c r="HK201" s="324"/>
      <c r="HL201" s="324"/>
      <c r="HM201" s="324"/>
      <c r="HN201" s="324"/>
      <c r="HO201" s="324"/>
      <c r="HP201" s="324"/>
      <c r="HQ201" s="324"/>
      <c r="HR201" s="324"/>
      <c r="HS201" s="324"/>
      <c r="HT201" s="324"/>
      <c r="HU201" s="324"/>
      <c r="HV201" s="324"/>
      <c r="HW201" s="324"/>
      <c r="HX201" s="324"/>
      <c r="HY201" s="324"/>
      <c r="HZ201" s="324"/>
      <c r="IA201" s="324"/>
      <c r="IB201" s="324"/>
      <c r="IC201" s="324"/>
      <c r="ID201" s="324"/>
      <c r="IE201" s="324"/>
      <c r="IF201" s="324"/>
      <c r="IG201" s="324"/>
      <c r="IH201" s="324"/>
      <c r="II201" s="324"/>
      <c r="IJ201" s="324"/>
      <c r="IK201" s="324"/>
      <c r="IL201" s="324"/>
      <c r="IM201" s="324"/>
    </row>
    <row r="202" spans="1:247" x14ac:dyDescent="0.35">
      <c r="A202" s="356">
        <v>7531</v>
      </c>
      <c r="B202" s="357" t="s">
        <v>202</v>
      </c>
      <c r="C202" s="172" t="s">
        <v>8</v>
      </c>
      <c r="D202" s="358" t="s">
        <v>2051</v>
      </c>
      <c r="E202" s="336"/>
      <c r="F202" s="331">
        <f t="shared" si="57"/>
        <v>1.0209999999999999</v>
      </c>
      <c r="G202" s="337"/>
      <c r="H202" s="336"/>
      <c r="I202" s="338"/>
      <c r="J202" s="338"/>
      <c r="K202" s="338"/>
      <c r="L202" s="338"/>
      <c r="M202" s="338"/>
      <c r="N202" s="337"/>
      <c r="O202" s="339"/>
      <c r="P202" s="336"/>
      <c r="Q202" s="337"/>
      <c r="R202" s="340">
        <f t="shared" si="58"/>
        <v>1.0209999999999999</v>
      </c>
      <c r="S202" s="324"/>
      <c r="T202" s="324"/>
      <c r="U202" s="324"/>
      <c r="V202" s="324"/>
      <c r="W202" s="324"/>
      <c r="X202" s="324"/>
      <c r="Y202" s="324"/>
      <c r="Z202" s="324"/>
      <c r="AA202" s="324"/>
      <c r="AB202" s="324"/>
      <c r="AC202" s="324"/>
      <c r="AD202" s="324"/>
      <c r="AE202" s="324"/>
      <c r="AF202" s="324"/>
      <c r="AG202" s="324"/>
      <c r="AH202" s="324"/>
      <c r="AI202" s="324"/>
      <c r="AJ202" s="324"/>
      <c r="AK202" s="324"/>
      <c r="AL202" s="324"/>
      <c r="AM202" s="324"/>
      <c r="AN202" s="324"/>
      <c r="AO202" s="324"/>
      <c r="AP202" s="324"/>
      <c r="AQ202" s="324"/>
      <c r="AR202" s="324"/>
      <c r="AS202" s="324"/>
      <c r="AT202" s="324"/>
      <c r="AU202" s="324"/>
      <c r="AV202" s="324"/>
      <c r="AW202" s="324"/>
      <c r="AX202" s="324"/>
      <c r="AY202" s="324"/>
      <c r="AZ202" s="324"/>
      <c r="BA202" s="324"/>
      <c r="BB202" s="324"/>
      <c r="BC202" s="324"/>
      <c r="BD202" s="324"/>
      <c r="BE202" s="324"/>
      <c r="BF202" s="324"/>
      <c r="BG202" s="324"/>
      <c r="BH202" s="324"/>
      <c r="BI202" s="324"/>
      <c r="BJ202" s="324"/>
      <c r="BK202" s="324"/>
      <c r="BL202" s="324"/>
      <c r="BM202" s="324"/>
      <c r="BN202" s="324"/>
      <c r="BO202" s="324"/>
      <c r="BP202" s="324"/>
      <c r="BQ202" s="324"/>
      <c r="BR202" s="324"/>
      <c r="BS202" s="324"/>
      <c r="BT202" s="324"/>
      <c r="BU202" s="324"/>
      <c r="BV202" s="324"/>
      <c r="BW202" s="324"/>
      <c r="BX202" s="324"/>
      <c r="BY202" s="324"/>
      <c r="BZ202" s="324"/>
      <c r="CA202" s="324"/>
      <c r="CB202" s="324"/>
      <c r="CC202" s="324"/>
      <c r="CD202" s="324"/>
      <c r="CE202" s="324"/>
      <c r="CF202" s="324"/>
      <c r="CG202" s="324"/>
      <c r="CH202" s="324"/>
      <c r="CI202" s="324"/>
      <c r="CJ202" s="324"/>
      <c r="CK202" s="324"/>
      <c r="CL202" s="324"/>
      <c r="CM202" s="324"/>
      <c r="CN202" s="324"/>
      <c r="CO202" s="324"/>
      <c r="CP202" s="324"/>
      <c r="CQ202" s="324"/>
      <c r="CR202" s="324"/>
      <c r="CS202" s="324"/>
      <c r="CT202" s="324"/>
      <c r="CU202" s="324"/>
      <c r="CV202" s="324"/>
      <c r="CW202" s="324"/>
      <c r="CX202" s="324"/>
      <c r="CY202" s="324"/>
      <c r="CZ202" s="324"/>
      <c r="DA202" s="324"/>
      <c r="DB202" s="324"/>
      <c r="DC202" s="324"/>
      <c r="DD202" s="324"/>
      <c r="DE202" s="324"/>
      <c r="DF202" s="324"/>
      <c r="DG202" s="324"/>
      <c r="DH202" s="324"/>
      <c r="DI202" s="324"/>
      <c r="DJ202" s="324"/>
      <c r="DK202" s="324"/>
      <c r="DL202" s="324"/>
      <c r="DM202" s="324"/>
      <c r="DN202" s="324"/>
      <c r="DO202" s="324"/>
      <c r="DP202" s="324"/>
      <c r="DQ202" s="324"/>
      <c r="DR202" s="324"/>
      <c r="DS202" s="324"/>
      <c r="DT202" s="324"/>
      <c r="DU202" s="324"/>
      <c r="DV202" s="324"/>
      <c r="DW202" s="324"/>
      <c r="DX202" s="324"/>
      <c r="DY202" s="324"/>
      <c r="DZ202" s="324"/>
      <c r="EA202" s="324"/>
      <c r="EB202" s="324"/>
      <c r="EC202" s="324"/>
      <c r="ED202" s="324"/>
      <c r="EE202" s="324"/>
      <c r="EF202" s="324"/>
      <c r="EG202" s="324"/>
      <c r="EH202" s="324"/>
      <c r="EI202" s="324"/>
      <c r="EJ202" s="324"/>
      <c r="EK202" s="324"/>
      <c r="EL202" s="324"/>
      <c r="EM202" s="324"/>
      <c r="EN202" s="324"/>
      <c r="EO202" s="324"/>
      <c r="EP202" s="324"/>
      <c r="EQ202" s="324"/>
      <c r="ER202" s="324"/>
      <c r="ES202" s="324"/>
      <c r="ET202" s="324"/>
      <c r="EU202" s="324"/>
      <c r="EV202" s="324"/>
      <c r="EW202" s="324"/>
      <c r="EX202" s="324"/>
      <c r="EY202" s="324"/>
      <c r="EZ202" s="324"/>
      <c r="FA202" s="324"/>
      <c r="FB202" s="324"/>
      <c r="FC202" s="324"/>
      <c r="FD202" s="324"/>
      <c r="FE202" s="324"/>
      <c r="FF202" s="324"/>
      <c r="FG202" s="324"/>
      <c r="FH202" s="324"/>
      <c r="FI202" s="324"/>
      <c r="FJ202" s="324"/>
      <c r="FK202" s="324"/>
      <c r="FL202" s="324"/>
      <c r="FM202" s="324"/>
      <c r="FN202" s="324"/>
      <c r="FO202" s="324"/>
      <c r="FP202" s="324"/>
      <c r="FQ202" s="324"/>
      <c r="FR202" s="324"/>
      <c r="FS202" s="324"/>
      <c r="FT202" s="324"/>
      <c r="FU202" s="324"/>
      <c r="FV202" s="324"/>
      <c r="FW202" s="324"/>
      <c r="FX202" s="324"/>
      <c r="FY202" s="324"/>
      <c r="FZ202" s="324"/>
      <c r="GA202" s="324"/>
      <c r="GB202" s="324"/>
      <c r="GC202" s="324"/>
      <c r="GD202" s="324"/>
      <c r="GE202" s="324"/>
      <c r="GF202" s="324"/>
      <c r="GG202" s="324"/>
      <c r="GH202" s="324"/>
      <c r="GI202" s="324"/>
      <c r="GJ202" s="324"/>
      <c r="GK202" s="324"/>
      <c r="GL202" s="324"/>
      <c r="GM202" s="324"/>
      <c r="GN202" s="324"/>
      <c r="GO202" s="324"/>
      <c r="GP202" s="324"/>
      <c r="GQ202" s="324"/>
      <c r="GR202" s="324"/>
      <c r="GS202" s="324"/>
      <c r="GT202" s="324"/>
      <c r="GU202" s="324"/>
      <c r="GV202" s="324"/>
      <c r="GW202" s="324"/>
      <c r="GX202" s="324"/>
      <c r="GY202" s="324"/>
      <c r="GZ202" s="324"/>
      <c r="HA202" s="324"/>
      <c r="HB202" s="324"/>
      <c r="HC202" s="324"/>
      <c r="HD202" s="324"/>
      <c r="HE202" s="324"/>
      <c r="HF202" s="324"/>
      <c r="HG202" s="324"/>
      <c r="HH202" s="324"/>
      <c r="HI202" s="324"/>
      <c r="HJ202" s="324"/>
      <c r="HK202" s="324"/>
      <c r="HL202" s="324"/>
      <c r="HM202" s="324"/>
      <c r="HN202" s="324"/>
      <c r="HO202" s="324"/>
      <c r="HP202" s="324"/>
      <c r="HQ202" s="324"/>
      <c r="HR202" s="324"/>
      <c r="HS202" s="324"/>
      <c r="HT202" s="324"/>
      <c r="HU202" s="324"/>
      <c r="HV202" s="324"/>
      <c r="HW202" s="324"/>
      <c r="HX202" s="324"/>
      <c r="HY202" s="324"/>
      <c r="HZ202" s="324"/>
      <c r="IA202" s="324"/>
      <c r="IB202" s="324"/>
      <c r="IC202" s="324"/>
      <c r="ID202" s="324"/>
      <c r="IE202" s="324"/>
      <c r="IF202" s="324"/>
      <c r="IG202" s="324"/>
      <c r="IH202" s="324"/>
      <c r="II202" s="324"/>
      <c r="IJ202" s="324"/>
      <c r="IK202" s="324"/>
      <c r="IL202" s="324"/>
      <c r="IM202" s="324"/>
    </row>
    <row r="203" spans="1:247" x14ac:dyDescent="0.35">
      <c r="A203" s="356">
        <v>7532</v>
      </c>
      <c r="B203" s="357" t="s">
        <v>203</v>
      </c>
      <c r="C203" s="172" t="s">
        <v>10</v>
      </c>
      <c r="D203" s="358" t="s">
        <v>2051</v>
      </c>
      <c r="E203" s="336"/>
      <c r="F203" s="331">
        <f t="shared" si="57"/>
        <v>1.0209999999999999</v>
      </c>
      <c r="G203" s="337">
        <f>+$G$3</f>
        <v>1.0269999999999999</v>
      </c>
      <c r="H203" s="336"/>
      <c r="I203" s="338"/>
      <c r="J203" s="338"/>
      <c r="K203" s="338"/>
      <c r="L203" s="338"/>
      <c r="M203" s="338"/>
      <c r="N203" s="337"/>
      <c r="O203" s="339"/>
      <c r="P203" s="336"/>
      <c r="Q203" s="337"/>
      <c r="R203" s="340">
        <f t="shared" si="58"/>
        <v>1.0485669999999998</v>
      </c>
      <c r="S203" s="324"/>
      <c r="T203" s="324"/>
      <c r="U203" s="324"/>
      <c r="V203" s="324"/>
      <c r="W203" s="324"/>
      <c r="X203" s="324"/>
      <c r="Y203" s="324"/>
      <c r="Z203" s="324"/>
      <c r="AA203" s="324"/>
      <c r="AB203" s="324"/>
      <c r="AC203" s="324"/>
      <c r="AD203" s="324"/>
      <c r="AE203" s="324"/>
      <c r="AF203" s="324"/>
      <c r="AG203" s="324"/>
      <c r="AH203" s="324"/>
      <c r="AI203" s="324"/>
      <c r="AJ203" s="324"/>
      <c r="AK203" s="324"/>
      <c r="AL203" s="324"/>
      <c r="AM203" s="324"/>
      <c r="AN203" s="324"/>
      <c r="AO203" s="324"/>
      <c r="AP203" s="324"/>
      <c r="AQ203" s="324"/>
      <c r="AR203" s="324"/>
      <c r="AS203" s="324"/>
      <c r="AT203" s="324"/>
      <c r="AU203" s="324"/>
      <c r="AV203" s="324"/>
      <c r="AW203" s="324"/>
      <c r="AX203" s="324"/>
      <c r="AY203" s="324"/>
      <c r="AZ203" s="324"/>
      <c r="BA203" s="324"/>
      <c r="BB203" s="324"/>
      <c r="BC203" s="324"/>
      <c r="BD203" s="324"/>
      <c r="BE203" s="324"/>
      <c r="BF203" s="324"/>
      <c r="BG203" s="324"/>
      <c r="BH203" s="324"/>
      <c r="BI203" s="324"/>
      <c r="BJ203" s="324"/>
      <c r="BK203" s="324"/>
      <c r="BL203" s="324"/>
      <c r="BM203" s="324"/>
      <c r="BN203" s="324"/>
      <c r="BO203" s="324"/>
      <c r="BP203" s="324"/>
      <c r="BQ203" s="324"/>
      <c r="BR203" s="324"/>
      <c r="BS203" s="324"/>
      <c r="BT203" s="324"/>
      <c r="BU203" s="324"/>
      <c r="BV203" s="324"/>
      <c r="BW203" s="324"/>
      <c r="BX203" s="324"/>
      <c r="BY203" s="324"/>
      <c r="BZ203" s="324"/>
      <c r="CA203" s="324"/>
      <c r="CB203" s="324"/>
      <c r="CC203" s="324"/>
      <c r="CD203" s="324"/>
      <c r="CE203" s="324"/>
      <c r="CF203" s="324"/>
      <c r="CG203" s="324"/>
      <c r="CH203" s="324"/>
      <c r="CI203" s="324"/>
      <c r="CJ203" s="324"/>
      <c r="CK203" s="324"/>
      <c r="CL203" s="324"/>
      <c r="CM203" s="324"/>
      <c r="CN203" s="324"/>
      <c r="CO203" s="324"/>
      <c r="CP203" s="324"/>
      <c r="CQ203" s="324"/>
      <c r="CR203" s="324"/>
      <c r="CS203" s="324"/>
      <c r="CT203" s="324"/>
      <c r="CU203" s="324"/>
      <c r="CV203" s="324"/>
      <c r="CW203" s="324"/>
      <c r="CX203" s="324"/>
      <c r="CY203" s="324"/>
      <c r="CZ203" s="324"/>
      <c r="DA203" s="324"/>
      <c r="DB203" s="324"/>
      <c r="DC203" s="324"/>
      <c r="DD203" s="324"/>
      <c r="DE203" s="324"/>
      <c r="DF203" s="324"/>
      <c r="DG203" s="324"/>
      <c r="DH203" s="324"/>
      <c r="DI203" s="324"/>
      <c r="DJ203" s="324"/>
      <c r="DK203" s="324"/>
      <c r="DL203" s="324"/>
      <c r="DM203" s="324"/>
      <c r="DN203" s="324"/>
      <c r="DO203" s="324"/>
      <c r="DP203" s="324"/>
      <c r="DQ203" s="324"/>
      <c r="DR203" s="324"/>
      <c r="DS203" s="324"/>
      <c r="DT203" s="324"/>
      <c r="DU203" s="324"/>
      <c r="DV203" s="324"/>
      <c r="DW203" s="324"/>
      <c r="DX203" s="324"/>
      <c r="DY203" s="324"/>
      <c r="DZ203" s="324"/>
      <c r="EA203" s="324"/>
      <c r="EB203" s="324"/>
      <c r="EC203" s="324"/>
      <c r="ED203" s="324"/>
      <c r="EE203" s="324"/>
      <c r="EF203" s="324"/>
      <c r="EG203" s="324"/>
      <c r="EH203" s="324"/>
      <c r="EI203" s="324"/>
      <c r="EJ203" s="324"/>
      <c r="EK203" s="324"/>
      <c r="EL203" s="324"/>
      <c r="EM203" s="324"/>
      <c r="EN203" s="324"/>
      <c r="EO203" s="324"/>
      <c r="EP203" s="324"/>
      <c r="EQ203" s="324"/>
      <c r="ER203" s="324"/>
      <c r="ES203" s="324"/>
      <c r="ET203" s="324"/>
      <c r="EU203" s="324"/>
      <c r="EV203" s="324"/>
      <c r="EW203" s="324"/>
      <c r="EX203" s="324"/>
      <c r="EY203" s="324"/>
      <c r="EZ203" s="324"/>
      <c r="FA203" s="324"/>
      <c r="FB203" s="324"/>
      <c r="FC203" s="324"/>
      <c r="FD203" s="324"/>
      <c r="FE203" s="324"/>
      <c r="FF203" s="324"/>
      <c r="FG203" s="324"/>
      <c r="FH203" s="324"/>
      <c r="FI203" s="324"/>
      <c r="FJ203" s="324"/>
      <c r="FK203" s="324"/>
      <c r="FL203" s="324"/>
      <c r="FM203" s="324"/>
      <c r="FN203" s="324"/>
      <c r="FO203" s="324"/>
      <c r="FP203" s="324"/>
      <c r="FQ203" s="324"/>
      <c r="FR203" s="324"/>
      <c r="FS203" s="324"/>
      <c r="FT203" s="324"/>
      <c r="FU203" s="324"/>
      <c r="FV203" s="324"/>
      <c r="FW203" s="324"/>
      <c r="FX203" s="324"/>
      <c r="FY203" s="324"/>
      <c r="FZ203" s="324"/>
      <c r="GA203" s="324"/>
      <c r="GB203" s="324"/>
      <c r="GC203" s="324"/>
      <c r="GD203" s="324"/>
      <c r="GE203" s="324"/>
      <c r="GF203" s="324"/>
      <c r="GG203" s="324"/>
      <c r="GH203" s="324"/>
      <c r="GI203" s="324"/>
      <c r="GJ203" s="324"/>
      <c r="GK203" s="324"/>
      <c r="GL203" s="324"/>
      <c r="GM203" s="324"/>
      <c r="GN203" s="324"/>
      <c r="GO203" s="324"/>
      <c r="GP203" s="324"/>
      <c r="GQ203" s="324"/>
      <c r="GR203" s="324"/>
      <c r="GS203" s="324"/>
      <c r="GT203" s="324"/>
      <c r="GU203" s="324"/>
      <c r="GV203" s="324"/>
      <c r="GW203" s="324"/>
      <c r="GX203" s="324"/>
      <c r="GY203" s="324"/>
      <c r="GZ203" s="324"/>
      <c r="HA203" s="324"/>
      <c r="HB203" s="324"/>
      <c r="HC203" s="324"/>
      <c r="HD203" s="324"/>
      <c r="HE203" s="324"/>
      <c r="HF203" s="324"/>
      <c r="HG203" s="324"/>
      <c r="HH203" s="324"/>
      <c r="HI203" s="324"/>
      <c r="HJ203" s="324"/>
      <c r="HK203" s="324"/>
      <c r="HL203" s="324"/>
      <c r="HM203" s="324"/>
      <c r="HN203" s="324"/>
      <c r="HO203" s="324"/>
      <c r="HP203" s="324"/>
      <c r="HQ203" s="324"/>
      <c r="HR203" s="324"/>
      <c r="HS203" s="324"/>
      <c r="HT203" s="324"/>
      <c r="HU203" s="324"/>
      <c r="HV203" s="324"/>
      <c r="HW203" s="324"/>
      <c r="HX203" s="324"/>
      <c r="HY203" s="324"/>
      <c r="HZ203" s="324"/>
      <c r="IA203" s="324"/>
      <c r="IB203" s="324"/>
      <c r="IC203" s="324"/>
      <c r="ID203" s="324"/>
      <c r="IE203" s="324"/>
      <c r="IF203" s="324"/>
      <c r="IG203" s="324"/>
      <c r="IH203" s="324"/>
      <c r="II203" s="324"/>
      <c r="IJ203" s="324"/>
      <c r="IK203" s="324"/>
      <c r="IL203" s="324"/>
      <c r="IM203" s="324"/>
    </row>
    <row r="204" spans="1:247" x14ac:dyDescent="0.35">
      <c r="A204" s="356">
        <v>7541</v>
      </c>
      <c r="B204" s="357" t="s">
        <v>204</v>
      </c>
      <c r="C204" s="172" t="s">
        <v>10</v>
      </c>
      <c r="D204" s="358" t="s">
        <v>2051</v>
      </c>
      <c r="E204" s="336"/>
      <c r="F204" s="331">
        <f t="shared" si="57"/>
        <v>1.0209999999999999</v>
      </c>
      <c r="G204" s="337">
        <f>+$G$3</f>
        <v>1.0269999999999999</v>
      </c>
      <c r="H204" s="336"/>
      <c r="I204" s="338"/>
      <c r="J204" s="338"/>
      <c r="K204" s="338"/>
      <c r="L204" s="338"/>
      <c r="M204" s="338"/>
      <c r="N204" s="337"/>
      <c r="O204" s="339"/>
      <c r="P204" s="336"/>
      <c r="Q204" s="337"/>
      <c r="R204" s="340">
        <f t="shared" si="58"/>
        <v>1.0485669999999998</v>
      </c>
      <c r="S204" s="324"/>
      <c r="T204" s="324"/>
      <c r="U204" s="324"/>
      <c r="V204" s="324"/>
      <c r="W204" s="324"/>
      <c r="X204" s="324"/>
      <c r="Y204" s="324"/>
      <c r="Z204" s="324"/>
      <c r="AA204" s="324"/>
      <c r="AB204" s="324"/>
      <c r="AC204" s="324"/>
      <c r="AD204" s="324"/>
      <c r="AE204" s="324"/>
      <c r="AF204" s="324"/>
      <c r="AG204" s="324"/>
      <c r="AH204" s="324"/>
      <c r="AI204" s="324"/>
      <c r="AJ204" s="324"/>
      <c r="AK204" s="324"/>
      <c r="AL204" s="324"/>
      <c r="AM204" s="324"/>
      <c r="AN204" s="324"/>
      <c r="AO204" s="324"/>
      <c r="AP204" s="324"/>
      <c r="AQ204" s="324"/>
      <c r="AR204" s="324"/>
      <c r="AS204" s="324"/>
      <c r="AT204" s="324"/>
      <c r="AU204" s="324"/>
      <c r="AV204" s="324"/>
      <c r="AW204" s="324"/>
      <c r="AX204" s="324"/>
      <c r="AY204" s="324"/>
      <c r="AZ204" s="324"/>
      <c r="BA204" s="324"/>
      <c r="BB204" s="324"/>
      <c r="BC204" s="324"/>
      <c r="BD204" s="324"/>
      <c r="BE204" s="324"/>
      <c r="BF204" s="324"/>
      <c r="BG204" s="324"/>
      <c r="BH204" s="324"/>
      <c r="BI204" s="324"/>
      <c r="BJ204" s="324"/>
      <c r="BK204" s="324"/>
      <c r="BL204" s="324"/>
      <c r="BM204" s="324"/>
      <c r="BN204" s="324"/>
      <c r="BO204" s="324"/>
      <c r="BP204" s="324"/>
      <c r="BQ204" s="324"/>
      <c r="BR204" s="324"/>
      <c r="BS204" s="324"/>
      <c r="BT204" s="324"/>
      <c r="BU204" s="324"/>
      <c r="BV204" s="324"/>
      <c r="BW204" s="324"/>
      <c r="BX204" s="324"/>
      <c r="BY204" s="324"/>
      <c r="BZ204" s="324"/>
      <c r="CA204" s="324"/>
      <c r="CB204" s="324"/>
      <c r="CC204" s="324"/>
      <c r="CD204" s="324"/>
      <c r="CE204" s="324"/>
      <c r="CF204" s="324"/>
      <c r="CG204" s="324"/>
      <c r="CH204" s="324"/>
      <c r="CI204" s="324"/>
      <c r="CJ204" s="324"/>
      <c r="CK204" s="324"/>
      <c r="CL204" s="324"/>
      <c r="CM204" s="324"/>
      <c r="CN204" s="324"/>
      <c r="CO204" s="324"/>
      <c r="CP204" s="324"/>
      <c r="CQ204" s="324"/>
      <c r="CR204" s="324"/>
      <c r="CS204" s="324"/>
      <c r="CT204" s="324"/>
      <c r="CU204" s="324"/>
      <c r="CV204" s="324"/>
      <c r="CW204" s="324"/>
      <c r="CX204" s="324"/>
      <c r="CY204" s="324"/>
      <c r="CZ204" s="324"/>
      <c r="DA204" s="324"/>
      <c r="DB204" s="324"/>
      <c r="DC204" s="324"/>
      <c r="DD204" s="324"/>
      <c r="DE204" s="324"/>
      <c r="DF204" s="324"/>
      <c r="DG204" s="324"/>
      <c r="DH204" s="324"/>
      <c r="DI204" s="324"/>
      <c r="DJ204" s="324"/>
      <c r="DK204" s="324"/>
      <c r="DL204" s="324"/>
      <c r="DM204" s="324"/>
      <c r="DN204" s="324"/>
      <c r="DO204" s="324"/>
      <c r="DP204" s="324"/>
      <c r="DQ204" s="324"/>
      <c r="DR204" s="324"/>
      <c r="DS204" s="324"/>
      <c r="DT204" s="324"/>
      <c r="DU204" s="324"/>
      <c r="DV204" s="324"/>
      <c r="DW204" s="324"/>
      <c r="DX204" s="324"/>
      <c r="DY204" s="324"/>
      <c r="DZ204" s="324"/>
      <c r="EA204" s="324"/>
      <c r="EB204" s="324"/>
      <c r="EC204" s="324"/>
      <c r="ED204" s="324"/>
      <c r="EE204" s="324"/>
      <c r="EF204" s="324"/>
      <c r="EG204" s="324"/>
      <c r="EH204" s="324"/>
      <c r="EI204" s="324"/>
      <c r="EJ204" s="324"/>
      <c r="EK204" s="324"/>
      <c r="EL204" s="324"/>
      <c r="EM204" s="324"/>
      <c r="EN204" s="324"/>
      <c r="EO204" s="324"/>
      <c r="EP204" s="324"/>
      <c r="EQ204" s="324"/>
      <c r="ER204" s="324"/>
      <c r="ES204" s="324"/>
      <c r="ET204" s="324"/>
      <c r="EU204" s="324"/>
      <c r="EV204" s="324"/>
      <c r="EW204" s="324"/>
      <c r="EX204" s="324"/>
      <c r="EY204" s="324"/>
      <c r="EZ204" s="324"/>
      <c r="FA204" s="324"/>
      <c r="FB204" s="324"/>
      <c r="FC204" s="324"/>
      <c r="FD204" s="324"/>
      <c r="FE204" s="324"/>
      <c r="FF204" s="324"/>
      <c r="FG204" s="324"/>
      <c r="FH204" s="324"/>
      <c r="FI204" s="324"/>
      <c r="FJ204" s="324"/>
      <c r="FK204" s="324"/>
      <c r="FL204" s="324"/>
      <c r="FM204" s="324"/>
      <c r="FN204" s="324"/>
      <c r="FO204" s="324"/>
      <c r="FP204" s="324"/>
      <c r="FQ204" s="324"/>
      <c r="FR204" s="324"/>
      <c r="FS204" s="324"/>
      <c r="FT204" s="324"/>
      <c r="FU204" s="324"/>
      <c r="FV204" s="324"/>
      <c r="FW204" s="324"/>
      <c r="FX204" s="324"/>
      <c r="FY204" s="324"/>
      <c r="FZ204" s="324"/>
      <c r="GA204" s="324"/>
      <c r="GB204" s="324"/>
      <c r="GC204" s="324"/>
      <c r="GD204" s="324"/>
      <c r="GE204" s="324"/>
      <c r="GF204" s="324"/>
      <c r="GG204" s="324"/>
      <c r="GH204" s="324"/>
      <c r="GI204" s="324"/>
      <c r="GJ204" s="324"/>
      <c r="GK204" s="324"/>
      <c r="GL204" s="324"/>
      <c r="GM204" s="324"/>
      <c r="GN204" s="324"/>
      <c r="GO204" s="324"/>
      <c r="GP204" s="324"/>
      <c r="GQ204" s="324"/>
      <c r="GR204" s="324"/>
      <c r="GS204" s="324"/>
      <c r="GT204" s="324"/>
      <c r="GU204" s="324"/>
      <c r="GV204" s="324"/>
      <c r="GW204" s="324"/>
      <c r="GX204" s="324"/>
      <c r="GY204" s="324"/>
      <c r="GZ204" s="324"/>
      <c r="HA204" s="324"/>
      <c r="HB204" s="324"/>
      <c r="HC204" s="324"/>
      <c r="HD204" s="324"/>
      <c r="HE204" s="324"/>
      <c r="HF204" s="324"/>
      <c r="HG204" s="324"/>
      <c r="HH204" s="324"/>
      <c r="HI204" s="324"/>
      <c r="HJ204" s="324"/>
      <c r="HK204" s="324"/>
      <c r="HL204" s="324"/>
      <c r="HM204" s="324"/>
      <c r="HN204" s="324"/>
      <c r="HO204" s="324"/>
      <c r="HP204" s="324"/>
      <c r="HQ204" s="324"/>
      <c r="HR204" s="324"/>
      <c r="HS204" s="324"/>
      <c r="HT204" s="324"/>
      <c r="HU204" s="324"/>
      <c r="HV204" s="324"/>
      <c r="HW204" s="324"/>
      <c r="HX204" s="324"/>
      <c r="HY204" s="324"/>
      <c r="HZ204" s="324"/>
      <c r="IA204" s="324"/>
      <c r="IB204" s="324"/>
      <c r="IC204" s="324"/>
      <c r="ID204" s="324"/>
      <c r="IE204" s="324"/>
      <c r="IF204" s="324"/>
      <c r="IG204" s="324"/>
      <c r="IH204" s="324"/>
      <c r="II204" s="324"/>
      <c r="IJ204" s="324"/>
      <c r="IK204" s="324"/>
      <c r="IL204" s="324"/>
      <c r="IM204" s="324"/>
    </row>
    <row r="205" spans="1:247" x14ac:dyDescent="0.35">
      <c r="A205" s="356">
        <v>7542</v>
      </c>
      <c r="B205" s="357" t="s">
        <v>205</v>
      </c>
      <c r="C205" s="172" t="s">
        <v>10</v>
      </c>
      <c r="D205" s="358" t="s">
        <v>2051</v>
      </c>
      <c r="E205" s="336"/>
      <c r="F205" s="331">
        <f t="shared" si="57"/>
        <v>1.0209999999999999</v>
      </c>
      <c r="G205" s="337">
        <f>+$G$3</f>
        <v>1.0269999999999999</v>
      </c>
      <c r="H205" s="336"/>
      <c r="I205" s="338"/>
      <c r="J205" s="338"/>
      <c r="K205" s="338"/>
      <c r="L205" s="338"/>
      <c r="M205" s="338"/>
      <c r="N205" s="337"/>
      <c r="O205" s="339"/>
      <c r="P205" s="336"/>
      <c r="Q205" s="337"/>
      <c r="R205" s="340">
        <f>PRODUCT(E205:Q205)</f>
        <v>1.0485669999999998</v>
      </c>
      <c r="S205" s="324"/>
      <c r="T205" s="324"/>
      <c r="U205" s="324"/>
      <c r="V205" s="324"/>
      <c r="W205" s="324"/>
      <c r="X205" s="324"/>
      <c r="Y205" s="324"/>
      <c r="Z205" s="324"/>
      <c r="AA205" s="324"/>
      <c r="AB205" s="324"/>
      <c r="AC205" s="324"/>
      <c r="AD205" s="324"/>
      <c r="AE205" s="324"/>
      <c r="AF205" s="324"/>
      <c r="AG205" s="324"/>
      <c r="AH205" s="324"/>
      <c r="AI205" s="324"/>
      <c r="AJ205" s="324"/>
      <c r="AK205" s="324"/>
      <c r="AL205" s="324"/>
      <c r="AM205" s="324"/>
      <c r="AN205" s="324"/>
      <c r="AO205" s="324"/>
      <c r="AP205" s="324"/>
      <c r="AQ205" s="324"/>
      <c r="AR205" s="324"/>
      <c r="AS205" s="324"/>
      <c r="AT205" s="324"/>
      <c r="AU205" s="324"/>
      <c r="AV205" s="324"/>
      <c r="AW205" s="324"/>
      <c r="AX205" s="324"/>
      <c r="AY205" s="324"/>
      <c r="AZ205" s="324"/>
      <c r="BA205" s="324"/>
      <c r="BB205" s="324"/>
      <c r="BC205" s="324"/>
      <c r="BD205" s="324"/>
      <c r="BE205" s="324"/>
      <c r="BF205" s="324"/>
      <c r="BG205" s="324"/>
      <c r="BH205" s="324"/>
      <c r="BI205" s="324"/>
      <c r="BJ205" s="324"/>
      <c r="BK205" s="324"/>
      <c r="BL205" s="324"/>
      <c r="BM205" s="324"/>
      <c r="BN205" s="324"/>
      <c r="BO205" s="324"/>
      <c r="BP205" s="324"/>
      <c r="BQ205" s="324"/>
      <c r="BR205" s="324"/>
      <c r="BS205" s="324"/>
      <c r="BT205" s="324"/>
      <c r="BU205" s="324"/>
      <c r="BV205" s="324"/>
      <c r="BW205" s="324"/>
      <c r="BX205" s="324"/>
      <c r="BY205" s="324"/>
      <c r="BZ205" s="324"/>
      <c r="CA205" s="324"/>
      <c r="CB205" s="324"/>
      <c r="CC205" s="324"/>
      <c r="CD205" s="324"/>
      <c r="CE205" s="324"/>
      <c r="CF205" s="324"/>
      <c r="CG205" s="324"/>
      <c r="CH205" s="324"/>
      <c r="CI205" s="324"/>
      <c r="CJ205" s="324"/>
      <c r="CK205" s="324"/>
      <c r="CL205" s="324"/>
      <c r="CM205" s="324"/>
      <c r="CN205" s="324"/>
      <c r="CO205" s="324"/>
      <c r="CP205" s="324"/>
      <c r="CQ205" s="324"/>
      <c r="CR205" s="324"/>
      <c r="CS205" s="324"/>
      <c r="CT205" s="324"/>
      <c r="CU205" s="324"/>
      <c r="CV205" s="324"/>
      <c r="CW205" s="324"/>
      <c r="CX205" s="324"/>
      <c r="CY205" s="324"/>
      <c r="CZ205" s="324"/>
      <c r="DA205" s="324"/>
      <c r="DB205" s="324"/>
      <c r="DC205" s="324"/>
      <c r="DD205" s="324"/>
      <c r="DE205" s="324"/>
      <c r="DF205" s="324"/>
      <c r="DG205" s="324"/>
      <c r="DH205" s="324"/>
      <c r="DI205" s="324"/>
      <c r="DJ205" s="324"/>
      <c r="DK205" s="324"/>
      <c r="DL205" s="324"/>
      <c r="DM205" s="324"/>
      <c r="DN205" s="324"/>
      <c r="DO205" s="324"/>
      <c r="DP205" s="324"/>
      <c r="DQ205" s="324"/>
      <c r="DR205" s="324"/>
      <c r="DS205" s="324"/>
      <c r="DT205" s="324"/>
      <c r="DU205" s="324"/>
      <c r="DV205" s="324"/>
      <c r="DW205" s="324"/>
      <c r="DX205" s="324"/>
      <c r="DY205" s="324"/>
      <c r="DZ205" s="324"/>
      <c r="EA205" s="324"/>
      <c r="EB205" s="324"/>
      <c r="EC205" s="324"/>
      <c r="ED205" s="324"/>
      <c r="EE205" s="324"/>
      <c r="EF205" s="324"/>
      <c r="EG205" s="324"/>
      <c r="EH205" s="324"/>
      <c r="EI205" s="324"/>
      <c r="EJ205" s="324"/>
      <c r="EK205" s="324"/>
      <c r="EL205" s="324"/>
      <c r="EM205" s="324"/>
      <c r="EN205" s="324"/>
      <c r="EO205" s="324"/>
      <c r="EP205" s="324"/>
      <c r="EQ205" s="324"/>
      <c r="ER205" s="324"/>
      <c r="ES205" s="324"/>
      <c r="ET205" s="324"/>
      <c r="EU205" s="324"/>
      <c r="EV205" s="324"/>
      <c r="EW205" s="324"/>
      <c r="EX205" s="324"/>
      <c r="EY205" s="324"/>
      <c r="EZ205" s="324"/>
      <c r="FA205" s="324"/>
      <c r="FB205" s="324"/>
      <c r="FC205" s="324"/>
      <c r="FD205" s="324"/>
      <c r="FE205" s="324"/>
      <c r="FF205" s="324"/>
      <c r="FG205" s="324"/>
      <c r="FH205" s="324"/>
      <c r="FI205" s="324"/>
      <c r="FJ205" s="324"/>
      <c r="FK205" s="324"/>
      <c r="FL205" s="324"/>
      <c r="FM205" s="324"/>
      <c r="FN205" s="324"/>
      <c r="FO205" s="324"/>
      <c r="FP205" s="324"/>
      <c r="FQ205" s="324"/>
      <c r="FR205" s="324"/>
      <c r="FS205" s="324"/>
      <c r="FT205" s="324"/>
      <c r="FU205" s="324"/>
      <c r="FV205" s="324"/>
      <c r="FW205" s="324"/>
      <c r="FX205" s="324"/>
      <c r="FY205" s="324"/>
      <c r="FZ205" s="324"/>
      <c r="GA205" s="324"/>
      <c r="GB205" s="324"/>
      <c r="GC205" s="324"/>
      <c r="GD205" s="324"/>
      <c r="GE205" s="324"/>
      <c r="GF205" s="324"/>
      <c r="GG205" s="324"/>
      <c r="GH205" s="324"/>
      <c r="GI205" s="324"/>
      <c r="GJ205" s="324"/>
      <c r="GK205" s="324"/>
      <c r="GL205" s="324"/>
      <c r="GM205" s="324"/>
      <c r="GN205" s="324"/>
      <c r="GO205" s="324"/>
      <c r="GP205" s="324"/>
      <c r="GQ205" s="324"/>
      <c r="GR205" s="324"/>
      <c r="GS205" s="324"/>
      <c r="GT205" s="324"/>
      <c r="GU205" s="324"/>
      <c r="GV205" s="324"/>
      <c r="GW205" s="324"/>
      <c r="GX205" s="324"/>
      <c r="GY205" s="324"/>
      <c r="GZ205" s="324"/>
      <c r="HA205" s="324"/>
      <c r="HB205" s="324"/>
      <c r="HC205" s="324"/>
      <c r="HD205" s="324"/>
      <c r="HE205" s="324"/>
      <c r="HF205" s="324"/>
      <c r="HG205" s="324"/>
      <c r="HH205" s="324"/>
      <c r="HI205" s="324"/>
      <c r="HJ205" s="324"/>
      <c r="HK205" s="324"/>
      <c r="HL205" s="324"/>
      <c r="HM205" s="324"/>
      <c r="HN205" s="324"/>
      <c r="HO205" s="324"/>
      <c r="HP205" s="324"/>
      <c r="HQ205" s="324"/>
      <c r="HR205" s="324"/>
      <c r="HS205" s="324"/>
      <c r="HT205" s="324"/>
      <c r="HU205" s="324"/>
      <c r="HV205" s="324"/>
      <c r="HW205" s="324"/>
      <c r="HX205" s="324"/>
      <c r="HY205" s="324"/>
      <c r="HZ205" s="324"/>
      <c r="IA205" s="324"/>
      <c r="IB205" s="324"/>
      <c r="IC205" s="324"/>
      <c r="ID205" s="324"/>
      <c r="IE205" s="324"/>
      <c r="IF205" s="324"/>
      <c r="IG205" s="324"/>
      <c r="IH205" s="324"/>
      <c r="II205" s="324"/>
      <c r="IJ205" s="324"/>
      <c r="IK205" s="324"/>
      <c r="IL205" s="324"/>
      <c r="IM205" s="324"/>
    </row>
    <row r="206" spans="1:247" x14ac:dyDescent="0.35">
      <c r="A206" s="356">
        <v>7601</v>
      </c>
      <c r="B206" s="357" t="s">
        <v>206</v>
      </c>
      <c r="C206" s="172" t="s">
        <v>8</v>
      </c>
      <c r="D206" s="358" t="s">
        <v>2053</v>
      </c>
      <c r="E206" s="336">
        <f>+$E$3</f>
        <v>1.0740000000000001</v>
      </c>
      <c r="F206" s="331">
        <f t="shared" si="57"/>
        <v>1.0209999999999999</v>
      </c>
      <c r="G206" s="337">
        <f>+$G$3</f>
        <v>1.0269999999999999</v>
      </c>
      <c r="H206" s="336">
        <f>+$H$3</f>
        <v>1.0029999999999999</v>
      </c>
      <c r="I206" s="338">
        <f>+$I$3</f>
        <v>1.0289999999999999</v>
      </c>
      <c r="J206" s="338">
        <f>+$J$3</f>
        <v>1.0049999999999999</v>
      </c>
      <c r="K206" s="338">
        <f>+$K$3</f>
        <v>1.026</v>
      </c>
      <c r="L206" s="338">
        <f>+$L$3</f>
        <v>1.0129999999999999</v>
      </c>
      <c r="M206" s="338">
        <f>+$M$3</f>
        <v>1.0029999999999999</v>
      </c>
      <c r="N206" s="337">
        <f>+$N$3</f>
        <v>1.0029999999999999</v>
      </c>
      <c r="O206" s="339">
        <f>+$O$3</f>
        <v>1.0209999999999999</v>
      </c>
      <c r="P206" s="336">
        <f t="shared" ref="P206:P225" si="59">+$P$3</f>
        <v>1.032</v>
      </c>
      <c r="Q206" s="337">
        <f t="shared" ref="Q206:Q225" si="60">+$Q$3</f>
        <v>1.0349999999999999</v>
      </c>
      <c r="R206" s="340">
        <f t="shared" si="58"/>
        <v>1.3319480854780448</v>
      </c>
      <c r="S206" s="324"/>
      <c r="T206" s="324"/>
      <c r="U206" s="324"/>
      <c r="V206" s="324"/>
      <c r="W206" s="324"/>
      <c r="X206" s="324"/>
      <c r="Y206" s="324"/>
      <c r="Z206" s="324"/>
      <c r="AA206" s="324"/>
      <c r="AB206" s="324"/>
      <c r="AC206" s="324"/>
      <c r="AD206" s="324"/>
      <c r="AE206" s="324"/>
      <c r="AF206" s="324"/>
      <c r="AG206" s="324"/>
      <c r="AH206" s="324"/>
      <c r="AI206" s="324"/>
      <c r="AJ206" s="324"/>
      <c r="AK206" s="324"/>
      <c r="AL206" s="324"/>
      <c r="AM206" s="324"/>
      <c r="AN206" s="324"/>
      <c r="AO206" s="324"/>
      <c r="AP206" s="324"/>
      <c r="AQ206" s="324"/>
      <c r="AR206" s="324"/>
      <c r="AS206" s="324"/>
      <c r="AT206" s="324"/>
      <c r="AU206" s="324"/>
      <c r="AV206" s="324"/>
      <c r="AW206" s="324"/>
      <c r="AX206" s="324"/>
      <c r="AY206" s="324"/>
      <c r="AZ206" s="324"/>
      <c r="BA206" s="324"/>
      <c r="BB206" s="324"/>
      <c r="BC206" s="324"/>
      <c r="BD206" s="324"/>
      <c r="BE206" s="324"/>
      <c r="BF206" s="324"/>
      <c r="BG206" s="324"/>
      <c r="BH206" s="324"/>
      <c r="BI206" s="324"/>
      <c r="BJ206" s="324"/>
      <c r="BK206" s="324"/>
      <c r="BL206" s="324"/>
      <c r="BM206" s="324"/>
      <c r="BN206" s="324"/>
      <c r="BO206" s="324"/>
      <c r="BP206" s="324"/>
      <c r="BQ206" s="324"/>
      <c r="BR206" s="324"/>
      <c r="BS206" s="324"/>
      <c r="BT206" s="324"/>
      <c r="BU206" s="324"/>
      <c r="BV206" s="324"/>
      <c r="BW206" s="324"/>
      <c r="BX206" s="324"/>
      <c r="BY206" s="324"/>
      <c r="BZ206" s="324"/>
      <c r="CA206" s="324"/>
      <c r="CB206" s="324"/>
      <c r="CC206" s="324"/>
      <c r="CD206" s="324"/>
      <c r="CE206" s="324"/>
      <c r="CF206" s="324"/>
      <c r="CG206" s="324"/>
      <c r="CH206" s="324"/>
      <c r="CI206" s="324"/>
      <c r="CJ206" s="324"/>
      <c r="CK206" s="324"/>
      <c r="CL206" s="324"/>
      <c r="CM206" s="324"/>
      <c r="CN206" s="324"/>
      <c r="CO206" s="324"/>
      <c r="CP206" s="324"/>
      <c r="CQ206" s="324"/>
      <c r="CR206" s="324"/>
      <c r="CS206" s="324"/>
      <c r="CT206" s="324"/>
      <c r="CU206" s="324"/>
      <c r="CV206" s="324"/>
      <c r="CW206" s="324"/>
      <c r="CX206" s="324"/>
      <c r="CY206" s="324"/>
      <c r="CZ206" s="324"/>
      <c r="DA206" s="324"/>
      <c r="DB206" s="324"/>
      <c r="DC206" s="324"/>
      <c r="DD206" s="324"/>
      <c r="DE206" s="324"/>
      <c r="DF206" s="324"/>
      <c r="DG206" s="324"/>
      <c r="DH206" s="324"/>
      <c r="DI206" s="324"/>
      <c r="DJ206" s="324"/>
      <c r="DK206" s="324"/>
      <c r="DL206" s="324"/>
      <c r="DM206" s="324"/>
      <c r="DN206" s="324"/>
      <c r="DO206" s="324"/>
      <c r="DP206" s="324"/>
      <c r="DQ206" s="324"/>
      <c r="DR206" s="324"/>
      <c r="DS206" s="324"/>
      <c r="DT206" s="324"/>
      <c r="DU206" s="324"/>
      <c r="DV206" s="324"/>
      <c r="DW206" s="324"/>
      <c r="DX206" s="324"/>
      <c r="DY206" s="324"/>
      <c r="DZ206" s="324"/>
      <c r="EA206" s="324"/>
      <c r="EB206" s="324"/>
      <c r="EC206" s="324"/>
      <c r="ED206" s="324"/>
      <c r="EE206" s="324"/>
      <c r="EF206" s="324"/>
      <c r="EG206" s="324"/>
      <c r="EH206" s="324"/>
      <c r="EI206" s="324"/>
      <c r="EJ206" s="324"/>
      <c r="EK206" s="324"/>
      <c r="EL206" s="324"/>
      <c r="EM206" s="324"/>
      <c r="EN206" s="324"/>
      <c r="EO206" s="324"/>
      <c r="EP206" s="324"/>
      <c r="EQ206" s="324"/>
      <c r="ER206" s="324"/>
      <c r="ES206" s="324"/>
      <c r="ET206" s="324"/>
      <c r="EU206" s="324"/>
      <c r="EV206" s="324"/>
      <c r="EW206" s="324"/>
      <c r="EX206" s="324"/>
      <c r="EY206" s="324"/>
      <c r="EZ206" s="324"/>
      <c r="FA206" s="324"/>
      <c r="FB206" s="324"/>
      <c r="FC206" s="324"/>
      <c r="FD206" s="324"/>
      <c r="FE206" s="324"/>
      <c r="FF206" s="324"/>
      <c r="FG206" s="324"/>
      <c r="FH206" s="324"/>
      <c r="FI206" s="324"/>
      <c r="FJ206" s="324"/>
      <c r="FK206" s="324"/>
      <c r="FL206" s="324"/>
      <c r="FM206" s="324"/>
      <c r="FN206" s="324"/>
      <c r="FO206" s="324"/>
      <c r="FP206" s="324"/>
      <c r="FQ206" s="324"/>
      <c r="FR206" s="324"/>
      <c r="FS206" s="324"/>
      <c r="FT206" s="324"/>
      <c r="FU206" s="324"/>
      <c r="FV206" s="324"/>
      <c r="FW206" s="324"/>
      <c r="FX206" s="324"/>
      <c r="FY206" s="324"/>
      <c r="FZ206" s="324"/>
      <c r="GA206" s="324"/>
      <c r="GB206" s="324"/>
      <c r="GC206" s="324"/>
      <c r="GD206" s="324"/>
      <c r="GE206" s="324"/>
      <c r="GF206" s="324"/>
      <c r="GG206" s="324"/>
      <c r="GH206" s="324"/>
      <c r="GI206" s="324"/>
      <c r="GJ206" s="324"/>
      <c r="GK206" s="324"/>
      <c r="GL206" s="324"/>
      <c r="GM206" s="324"/>
      <c r="GN206" s="324"/>
      <c r="GO206" s="324"/>
      <c r="GP206" s="324"/>
      <c r="GQ206" s="324"/>
      <c r="GR206" s="324"/>
      <c r="GS206" s="324"/>
      <c r="GT206" s="324"/>
      <c r="GU206" s="324"/>
      <c r="GV206" s="324"/>
      <c r="GW206" s="324"/>
      <c r="GX206" s="324"/>
      <c r="GY206" s="324"/>
      <c r="GZ206" s="324"/>
      <c r="HA206" s="324"/>
      <c r="HB206" s="324"/>
      <c r="HC206" s="324"/>
      <c r="HD206" s="324"/>
      <c r="HE206" s="324"/>
      <c r="HF206" s="324"/>
      <c r="HG206" s="324"/>
      <c r="HH206" s="324"/>
      <c r="HI206" s="324"/>
      <c r="HJ206" s="324"/>
      <c r="HK206" s="324"/>
      <c r="HL206" s="324"/>
      <c r="HM206" s="324"/>
      <c r="HN206" s="324"/>
      <c r="HO206" s="324"/>
      <c r="HP206" s="324"/>
      <c r="HQ206" s="324"/>
      <c r="HR206" s="324"/>
      <c r="HS206" s="324"/>
      <c r="HT206" s="324"/>
      <c r="HU206" s="324"/>
      <c r="HV206" s="324"/>
      <c r="HW206" s="324"/>
      <c r="HX206" s="324"/>
      <c r="HY206" s="324"/>
      <c r="HZ206" s="324"/>
      <c r="IA206" s="324"/>
      <c r="IB206" s="324"/>
      <c r="IC206" s="324"/>
      <c r="ID206" s="324"/>
      <c r="IE206" s="324"/>
      <c r="IF206" s="324"/>
      <c r="IG206" s="324"/>
      <c r="IH206" s="324"/>
      <c r="II206" s="324"/>
      <c r="IJ206" s="324"/>
      <c r="IK206" s="324"/>
      <c r="IL206" s="324"/>
      <c r="IM206" s="324"/>
    </row>
    <row r="207" spans="1:247" x14ac:dyDescent="0.35">
      <c r="A207" s="356">
        <v>7604</v>
      </c>
      <c r="B207" s="357" t="s">
        <v>207</v>
      </c>
      <c r="C207" s="172" t="s">
        <v>208</v>
      </c>
      <c r="D207" s="358" t="s">
        <v>2051</v>
      </c>
      <c r="E207" s="336"/>
      <c r="F207" s="331">
        <f t="shared" si="57"/>
        <v>1.0209999999999999</v>
      </c>
      <c r="G207" s="337">
        <f>+$G$3</f>
        <v>1.0269999999999999</v>
      </c>
      <c r="H207" s="336"/>
      <c r="I207" s="338"/>
      <c r="J207" s="338"/>
      <c r="K207" s="338"/>
      <c r="L207" s="338"/>
      <c r="M207" s="338"/>
      <c r="N207" s="337"/>
      <c r="O207" s="339"/>
      <c r="P207" s="336">
        <f t="shared" si="59"/>
        <v>1.032</v>
      </c>
      <c r="Q207" s="337">
        <f t="shared" si="60"/>
        <v>1.0349999999999999</v>
      </c>
      <c r="R207" s="340">
        <f t="shared" si="58"/>
        <v>1.1199953840399997</v>
      </c>
      <c r="S207" s="324"/>
      <c r="T207" s="324"/>
      <c r="U207" s="324"/>
      <c r="V207" s="324"/>
      <c r="W207" s="324"/>
      <c r="X207" s="324"/>
      <c r="Y207" s="324"/>
      <c r="Z207" s="324"/>
      <c r="AA207" s="324"/>
      <c r="AB207" s="324"/>
      <c r="AC207" s="324"/>
      <c r="AD207" s="324"/>
      <c r="AE207" s="324"/>
      <c r="AF207" s="324"/>
      <c r="AG207" s="324"/>
      <c r="AH207" s="324"/>
      <c r="AI207" s="324"/>
      <c r="AJ207" s="324"/>
      <c r="AK207" s="324"/>
      <c r="AL207" s="324"/>
      <c r="AM207" s="324"/>
      <c r="AN207" s="324"/>
      <c r="AO207" s="324"/>
      <c r="AP207" s="324"/>
      <c r="AQ207" s="324"/>
      <c r="AR207" s="324"/>
      <c r="AS207" s="324"/>
      <c r="AT207" s="324"/>
      <c r="AU207" s="324"/>
      <c r="AV207" s="324"/>
      <c r="AW207" s="324"/>
      <c r="AX207" s="324"/>
      <c r="AY207" s="324"/>
      <c r="AZ207" s="324"/>
      <c r="BA207" s="324"/>
      <c r="BB207" s="324"/>
      <c r="BC207" s="324"/>
      <c r="BD207" s="324"/>
      <c r="BE207" s="324"/>
      <c r="BF207" s="324"/>
      <c r="BG207" s="324"/>
      <c r="BH207" s="324"/>
      <c r="BI207" s="324"/>
      <c r="BJ207" s="324"/>
      <c r="BK207" s="324"/>
      <c r="BL207" s="324"/>
      <c r="BM207" s="324"/>
      <c r="BN207" s="324"/>
      <c r="BO207" s="324"/>
      <c r="BP207" s="324"/>
      <c r="BQ207" s="324"/>
      <c r="BR207" s="324"/>
      <c r="BS207" s="324"/>
      <c r="BT207" s="324"/>
      <c r="BU207" s="324"/>
      <c r="BV207" s="324"/>
      <c r="BW207" s="324"/>
      <c r="BX207" s="324"/>
      <c r="BY207" s="324"/>
      <c r="BZ207" s="324"/>
      <c r="CA207" s="324"/>
      <c r="CB207" s="324"/>
      <c r="CC207" s="324"/>
      <c r="CD207" s="324"/>
      <c r="CE207" s="324"/>
      <c r="CF207" s="324"/>
      <c r="CG207" s="324"/>
      <c r="CH207" s="324"/>
      <c r="CI207" s="324"/>
      <c r="CJ207" s="324"/>
      <c r="CK207" s="324"/>
      <c r="CL207" s="324"/>
      <c r="CM207" s="324"/>
      <c r="CN207" s="324"/>
      <c r="CO207" s="324"/>
      <c r="CP207" s="324"/>
      <c r="CQ207" s="324"/>
      <c r="CR207" s="324"/>
      <c r="CS207" s="324"/>
      <c r="CT207" s="324"/>
      <c r="CU207" s="324"/>
      <c r="CV207" s="324"/>
      <c r="CW207" s="324"/>
      <c r="CX207" s="324"/>
      <c r="CY207" s="324"/>
      <c r="CZ207" s="324"/>
      <c r="DA207" s="324"/>
      <c r="DB207" s="324"/>
      <c r="DC207" s="324"/>
      <c r="DD207" s="324"/>
      <c r="DE207" s="324"/>
      <c r="DF207" s="324"/>
      <c r="DG207" s="324"/>
      <c r="DH207" s="324"/>
      <c r="DI207" s="324"/>
      <c r="DJ207" s="324"/>
      <c r="DK207" s="324"/>
      <c r="DL207" s="324"/>
      <c r="DM207" s="324"/>
      <c r="DN207" s="324"/>
      <c r="DO207" s="324"/>
      <c r="DP207" s="324"/>
      <c r="DQ207" s="324"/>
      <c r="DR207" s="324"/>
      <c r="DS207" s="324"/>
      <c r="DT207" s="324"/>
      <c r="DU207" s="324"/>
      <c r="DV207" s="324"/>
      <c r="DW207" s="324"/>
      <c r="DX207" s="324"/>
      <c r="DY207" s="324"/>
      <c r="DZ207" s="324"/>
      <c r="EA207" s="324"/>
      <c r="EB207" s="324"/>
      <c r="EC207" s="324"/>
      <c r="ED207" s="324"/>
      <c r="EE207" s="324"/>
      <c r="EF207" s="324"/>
      <c r="EG207" s="324"/>
      <c r="EH207" s="324"/>
      <c r="EI207" s="324"/>
      <c r="EJ207" s="324"/>
      <c r="EK207" s="324"/>
      <c r="EL207" s="324"/>
      <c r="EM207" s="324"/>
      <c r="EN207" s="324"/>
      <c r="EO207" s="324"/>
      <c r="EP207" s="324"/>
      <c r="EQ207" s="324"/>
      <c r="ER207" s="324"/>
      <c r="ES207" s="324"/>
      <c r="ET207" s="324"/>
      <c r="EU207" s="324"/>
      <c r="EV207" s="324"/>
      <c r="EW207" s="324"/>
      <c r="EX207" s="324"/>
      <c r="EY207" s="324"/>
      <c r="EZ207" s="324"/>
      <c r="FA207" s="324"/>
      <c r="FB207" s="324"/>
      <c r="FC207" s="324"/>
      <c r="FD207" s="324"/>
      <c r="FE207" s="324"/>
      <c r="FF207" s="324"/>
      <c r="FG207" s="324"/>
      <c r="FH207" s="324"/>
      <c r="FI207" s="324"/>
      <c r="FJ207" s="324"/>
      <c r="FK207" s="324"/>
      <c r="FL207" s="324"/>
      <c r="FM207" s="324"/>
      <c r="FN207" s="324"/>
      <c r="FO207" s="324"/>
      <c r="FP207" s="324"/>
      <c r="FQ207" s="324"/>
      <c r="FR207" s="324"/>
      <c r="FS207" s="324"/>
      <c r="FT207" s="324"/>
      <c r="FU207" s="324"/>
      <c r="FV207" s="324"/>
      <c r="FW207" s="324"/>
      <c r="FX207" s="324"/>
      <c r="FY207" s="324"/>
      <c r="FZ207" s="324"/>
      <c r="GA207" s="324"/>
      <c r="GB207" s="324"/>
      <c r="GC207" s="324"/>
      <c r="GD207" s="324"/>
      <c r="GE207" s="324"/>
      <c r="GF207" s="324"/>
      <c r="GG207" s="324"/>
      <c r="GH207" s="324"/>
      <c r="GI207" s="324"/>
      <c r="GJ207" s="324"/>
      <c r="GK207" s="324"/>
      <c r="GL207" s="324"/>
      <c r="GM207" s="324"/>
      <c r="GN207" s="324"/>
      <c r="GO207" s="324"/>
      <c r="GP207" s="324"/>
      <c r="GQ207" s="324"/>
      <c r="GR207" s="324"/>
      <c r="GS207" s="324"/>
      <c r="GT207" s="324"/>
      <c r="GU207" s="324"/>
      <c r="GV207" s="324"/>
      <c r="GW207" s="324"/>
      <c r="GX207" s="324"/>
      <c r="GY207" s="324"/>
      <c r="GZ207" s="324"/>
      <c r="HA207" s="324"/>
      <c r="HB207" s="324"/>
      <c r="HC207" s="324"/>
      <c r="HD207" s="324"/>
      <c r="HE207" s="324"/>
      <c r="HF207" s="324"/>
      <c r="HG207" s="324"/>
      <c r="HH207" s="324"/>
      <c r="HI207" s="324"/>
      <c r="HJ207" s="324"/>
      <c r="HK207" s="324"/>
      <c r="HL207" s="324"/>
      <c r="HM207" s="324"/>
      <c r="HN207" s="324"/>
      <c r="HO207" s="324"/>
      <c r="HP207" s="324"/>
      <c r="HQ207" s="324"/>
      <c r="HR207" s="324"/>
      <c r="HS207" s="324"/>
      <c r="HT207" s="324"/>
      <c r="HU207" s="324"/>
      <c r="HV207" s="324"/>
      <c r="HW207" s="324"/>
      <c r="HX207" s="324"/>
      <c r="HY207" s="324"/>
      <c r="HZ207" s="324"/>
      <c r="IA207" s="324"/>
      <c r="IB207" s="324"/>
      <c r="IC207" s="324"/>
      <c r="ID207" s="324"/>
      <c r="IE207" s="324"/>
      <c r="IF207" s="324"/>
      <c r="IG207" s="324"/>
      <c r="IH207" s="324"/>
      <c r="II207" s="324"/>
      <c r="IJ207" s="324"/>
      <c r="IK207" s="324"/>
      <c r="IL207" s="324"/>
      <c r="IM207" s="324"/>
    </row>
    <row r="208" spans="1:247" x14ac:dyDescent="0.35">
      <c r="A208" s="356">
        <v>8111</v>
      </c>
      <c r="B208" s="357" t="s">
        <v>209</v>
      </c>
      <c r="C208" s="172" t="s">
        <v>210</v>
      </c>
      <c r="D208" s="358" t="s">
        <v>2051</v>
      </c>
      <c r="E208" s="336"/>
      <c r="F208" s="331">
        <f t="shared" si="57"/>
        <v>1.0209999999999999</v>
      </c>
      <c r="G208" s="337"/>
      <c r="H208" s="336"/>
      <c r="I208" s="338"/>
      <c r="J208" s="338"/>
      <c r="K208" s="338"/>
      <c r="L208" s="338"/>
      <c r="M208" s="338"/>
      <c r="N208" s="337"/>
      <c r="O208" s="339"/>
      <c r="P208" s="336">
        <f t="shared" si="59"/>
        <v>1.032</v>
      </c>
      <c r="Q208" s="337">
        <f t="shared" si="60"/>
        <v>1.0349999999999999</v>
      </c>
      <c r="R208" s="340">
        <f t="shared" si="58"/>
        <v>1.0905505199999999</v>
      </c>
      <c r="S208" s="324"/>
      <c r="T208" s="324"/>
      <c r="U208" s="324"/>
      <c r="V208" s="324"/>
      <c r="W208" s="324"/>
      <c r="X208" s="324"/>
      <c r="Y208" s="324"/>
      <c r="Z208" s="324"/>
      <c r="AA208" s="324"/>
      <c r="AB208" s="324"/>
      <c r="AC208" s="324"/>
      <c r="AD208" s="324"/>
      <c r="AE208" s="324"/>
      <c r="AF208" s="324"/>
      <c r="AG208" s="324"/>
      <c r="AH208" s="324"/>
      <c r="AI208" s="324"/>
      <c r="AJ208" s="324"/>
      <c r="AK208" s="324"/>
      <c r="AL208" s="324"/>
      <c r="AM208" s="324"/>
      <c r="AN208" s="324"/>
      <c r="AO208" s="324"/>
      <c r="AP208" s="324"/>
      <c r="AQ208" s="324"/>
      <c r="AR208" s="324"/>
      <c r="AS208" s="324"/>
      <c r="AT208" s="324"/>
      <c r="AU208" s="324"/>
      <c r="AV208" s="324"/>
      <c r="AW208" s="324"/>
      <c r="AX208" s="324"/>
      <c r="AY208" s="324"/>
      <c r="AZ208" s="324"/>
      <c r="BA208" s="324"/>
      <c r="BB208" s="324"/>
      <c r="BC208" s="324"/>
      <c r="BD208" s="324"/>
      <c r="BE208" s="324"/>
      <c r="BF208" s="324"/>
      <c r="BG208" s="324"/>
      <c r="BH208" s="324"/>
      <c r="BI208" s="324"/>
      <c r="BJ208" s="324"/>
      <c r="BK208" s="324"/>
      <c r="BL208" s="324"/>
      <c r="BM208" s="324"/>
      <c r="BN208" s="324"/>
      <c r="BO208" s="324"/>
      <c r="BP208" s="324"/>
      <c r="BQ208" s="324"/>
      <c r="BR208" s="324"/>
      <c r="BS208" s="324"/>
      <c r="BT208" s="324"/>
      <c r="BU208" s="324"/>
      <c r="BV208" s="324"/>
      <c r="BW208" s="324"/>
      <c r="BX208" s="324"/>
      <c r="BY208" s="324"/>
      <c r="BZ208" s="324"/>
      <c r="CA208" s="324"/>
      <c r="CB208" s="324"/>
      <c r="CC208" s="324"/>
      <c r="CD208" s="324"/>
      <c r="CE208" s="324"/>
      <c r="CF208" s="324"/>
      <c r="CG208" s="324"/>
      <c r="CH208" s="324"/>
      <c r="CI208" s="324"/>
      <c r="CJ208" s="324"/>
      <c r="CK208" s="324"/>
      <c r="CL208" s="324"/>
      <c r="CM208" s="324"/>
      <c r="CN208" s="324"/>
      <c r="CO208" s="324"/>
      <c r="CP208" s="324"/>
      <c r="CQ208" s="324"/>
      <c r="CR208" s="324"/>
      <c r="CS208" s="324"/>
      <c r="CT208" s="324"/>
      <c r="CU208" s="324"/>
      <c r="CV208" s="324"/>
      <c r="CW208" s="324"/>
      <c r="CX208" s="324"/>
      <c r="CY208" s="324"/>
      <c r="CZ208" s="324"/>
      <c r="DA208" s="324"/>
      <c r="DB208" s="324"/>
      <c r="DC208" s="324"/>
      <c r="DD208" s="324"/>
      <c r="DE208" s="324"/>
      <c r="DF208" s="324"/>
      <c r="DG208" s="324"/>
      <c r="DH208" s="324"/>
      <c r="DI208" s="324"/>
      <c r="DJ208" s="324"/>
      <c r="DK208" s="324"/>
      <c r="DL208" s="324"/>
      <c r="DM208" s="324"/>
      <c r="DN208" s="324"/>
      <c r="DO208" s="324"/>
      <c r="DP208" s="324"/>
      <c r="DQ208" s="324"/>
      <c r="DR208" s="324"/>
      <c r="DS208" s="324"/>
      <c r="DT208" s="324"/>
      <c r="DU208" s="324"/>
      <c r="DV208" s="324"/>
      <c r="DW208" s="324"/>
      <c r="DX208" s="324"/>
      <c r="DY208" s="324"/>
      <c r="DZ208" s="324"/>
      <c r="EA208" s="324"/>
      <c r="EB208" s="324"/>
      <c r="EC208" s="324"/>
      <c r="ED208" s="324"/>
      <c r="EE208" s="324"/>
      <c r="EF208" s="324"/>
      <c r="EG208" s="324"/>
      <c r="EH208" s="324"/>
      <c r="EI208" s="324"/>
      <c r="EJ208" s="324"/>
      <c r="EK208" s="324"/>
      <c r="EL208" s="324"/>
      <c r="EM208" s="324"/>
      <c r="EN208" s="324"/>
      <c r="EO208" s="324"/>
      <c r="EP208" s="324"/>
      <c r="EQ208" s="324"/>
      <c r="ER208" s="324"/>
      <c r="ES208" s="324"/>
      <c r="ET208" s="324"/>
      <c r="EU208" s="324"/>
      <c r="EV208" s="324"/>
      <c r="EW208" s="324"/>
      <c r="EX208" s="324"/>
      <c r="EY208" s="324"/>
      <c r="EZ208" s="324"/>
      <c r="FA208" s="324"/>
      <c r="FB208" s="324"/>
      <c r="FC208" s="324"/>
      <c r="FD208" s="324"/>
      <c r="FE208" s="324"/>
      <c r="FF208" s="324"/>
      <c r="FG208" s="324"/>
      <c r="FH208" s="324"/>
      <c r="FI208" s="324"/>
      <c r="FJ208" s="324"/>
      <c r="FK208" s="324"/>
      <c r="FL208" s="324"/>
      <c r="FM208" s="324"/>
      <c r="FN208" s="324"/>
      <c r="FO208" s="324"/>
      <c r="FP208" s="324"/>
      <c r="FQ208" s="324"/>
      <c r="FR208" s="324"/>
      <c r="FS208" s="324"/>
      <c r="FT208" s="324"/>
      <c r="FU208" s="324"/>
      <c r="FV208" s="324"/>
      <c r="FW208" s="324"/>
      <c r="FX208" s="324"/>
      <c r="FY208" s="324"/>
      <c r="FZ208" s="324"/>
      <c r="GA208" s="324"/>
      <c r="GB208" s="324"/>
      <c r="GC208" s="324"/>
      <c r="GD208" s="324"/>
      <c r="GE208" s="324"/>
      <c r="GF208" s="324"/>
      <c r="GG208" s="324"/>
      <c r="GH208" s="324"/>
      <c r="GI208" s="324"/>
      <c r="GJ208" s="324"/>
      <c r="GK208" s="324"/>
      <c r="GL208" s="324"/>
      <c r="GM208" s="324"/>
      <c r="GN208" s="324"/>
      <c r="GO208" s="324"/>
      <c r="GP208" s="324"/>
      <c r="GQ208" s="324"/>
      <c r="GR208" s="324"/>
      <c r="GS208" s="324"/>
      <c r="GT208" s="324"/>
      <c r="GU208" s="324"/>
      <c r="GV208" s="324"/>
      <c r="GW208" s="324"/>
      <c r="GX208" s="324"/>
      <c r="GY208" s="324"/>
      <c r="GZ208" s="324"/>
      <c r="HA208" s="324"/>
      <c r="HB208" s="324"/>
      <c r="HC208" s="324"/>
      <c r="HD208" s="324"/>
      <c r="HE208" s="324"/>
      <c r="HF208" s="324"/>
      <c r="HG208" s="324"/>
      <c r="HH208" s="324"/>
      <c r="HI208" s="324"/>
      <c r="HJ208" s="324"/>
      <c r="HK208" s="324"/>
      <c r="HL208" s="324"/>
      <c r="HM208" s="324"/>
      <c r="HN208" s="324"/>
      <c r="HO208" s="324"/>
      <c r="HP208" s="324"/>
      <c r="HQ208" s="324"/>
      <c r="HR208" s="324"/>
      <c r="HS208" s="324"/>
      <c r="HT208" s="324"/>
      <c r="HU208" s="324"/>
      <c r="HV208" s="324"/>
      <c r="HW208" s="324"/>
      <c r="HX208" s="324"/>
      <c r="HY208" s="324"/>
      <c r="HZ208" s="324"/>
      <c r="IA208" s="324"/>
      <c r="IB208" s="324"/>
      <c r="IC208" s="324"/>
      <c r="ID208" s="324"/>
      <c r="IE208" s="324"/>
      <c r="IF208" s="324"/>
      <c r="IG208" s="324"/>
      <c r="IH208" s="324"/>
      <c r="II208" s="324"/>
      <c r="IJ208" s="324"/>
      <c r="IK208" s="324"/>
      <c r="IL208" s="324"/>
      <c r="IM208" s="324"/>
    </row>
    <row r="209" spans="1:247" x14ac:dyDescent="0.35">
      <c r="A209" s="356">
        <v>8113</v>
      </c>
      <c r="B209" s="357" t="s">
        <v>211</v>
      </c>
      <c r="C209" s="172" t="s">
        <v>212</v>
      </c>
      <c r="D209" s="358" t="s">
        <v>2051</v>
      </c>
      <c r="E209" s="336"/>
      <c r="F209" s="331">
        <f t="shared" si="57"/>
        <v>1.0209999999999999</v>
      </c>
      <c r="G209" s="337">
        <f>+$G$3</f>
        <v>1.0269999999999999</v>
      </c>
      <c r="H209" s="336"/>
      <c r="I209" s="338"/>
      <c r="J209" s="338"/>
      <c r="K209" s="338"/>
      <c r="L209" s="338"/>
      <c r="M209" s="338"/>
      <c r="N209" s="337"/>
      <c r="O209" s="339"/>
      <c r="P209" s="336">
        <f t="shared" si="59"/>
        <v>1.032</v>
      </c>
      <c r="Q209" s="337">
        <f t="shared" si="60"/>
        <v>1.0349999999999999</v>
      </c>
      <c r="R209" s="340">
        <f t="shared" si="58"/>
        <v>1.1199953840399997</v>
      </c>
      <c r="S209" s="324"/>
      <c r="T209" s="324"/>
      <c r="U209" s="324"/>
      <c r="V209" s="324"/>
      <c r="W209" s="324"/>
      <c r="X209" s="324"/>
      <c r="Y209" s="324"/>
      <c r="Z209" s="324"/>
      <c r="AA209" s="324"/>
      <c r="AB209" s="324"/>
      <c r="AC209" s="324"/>
      <c r="AD209" s="324"/>
      <c r="AE209" s="324"/>
      <c r="AF209" s="324"/>
      <c r="AG209" s="324"/>
      <c r="AH209" s="324"/>
      <c r="AI209" s="324"/>
      <c r="AJ209" s="324"/>
      <c r="AK209" s="324"/>
      <c r="AL209" s="324"/>
      <c r="AM209" s="324"/>
      <c r="AN209" s="324"/>
      <c r="AO209" s="324"/>
      <c r="AP209" s="324"/>
      <c r="AQ209" s="324"/>
      <c r="AR209" s="324"/>
      <c r="AS209" s="324"/>
      <c r="AT209" s="324"/>
      <c r="AU209" s="324"/>
      <c r="AV209" s="324"/>
      <c r="AW209" s="324"/>
      <c r="AX209" s="324"/>
      <c r="AY209" s="324"/>
      <c r="AZ209" s="324"/>
      <c r="BA209" s="324"/>
      <c r="BB209" s="324"/>
      <c r="BC209" s="324"/>
      <c r="BD209" s="324"/>
      <c r="BE209" s="324"/>
      <c r="BF209" s="324"/>
      <c r="BG209" s="324"/>
      <c r="BH209" s="324"/>
      <c r="BI209" s="324"/>
      <c r="BJ209" s="324"/>
      <c r="BK209" s="324"/>
      <c r="BL209" s="324"/>
      <c r="BM209" s="324"/>
      <c r="BN209" s="324"/>
      <c r="BO209" s="324"/>
      <c r="BP209" s="324"/>
      <c r="BQ209" s="324"/>
      <c r="BR209" s="324"/>
      <c r="BS209" s="324"/>
      <c r="BT209" s="324"/>
      <c r="BU209" s="324"/>
      <c r="BV209" s="324"/>
      <c r="BW209" s="324"/>
      <c r="BX209" s="324"/>
      <c r="BY209" s="324"/>
      <c r="BZ209" s="324"/>
      <c r="CA209" s="324"/>
      <c r="CB209" s="324"/>
      <c r="CC209" s="324"/>
      <c r="CD209" s="324"/>
      <c r="CE209" s="324"/>
      <c r="CF209" s="324"/>
      <c r="CG209" s="324"/>
      <c r="CH209" s="324"/>
      <c r="CI209" s="324"/>
      <c r="CJ209" s="324"/>
      <c r="CK209" s="324"/>
      <c r="CL209" s="324"/>
      <c r="CM209" s="324"/>
      <c r="CN209" s="324"/>
      <c r="CO209" s="324"/>
      <c r="CP209" s="324"/>
      <c r="CQ209" s="324"/>
      <c r="CR209" s="324"/>
      <c r="CS209" s="324"/>
      <c r="CT209" s="324"/>
      <c r="CU209" s="324"/>
      <c r="CV209" s="324"/>
      <c r="CW209" s="324"/>
      <c r="CX209" s="324"/>
      <c r="CY209" s="324"/>
      <c r="CZ209" s="324"/>
      <c r="DA209" s="324"/>
      <c r="DB209" s="324"/>
      <c r="DC209" s="324"/>
      <c r="DD209" s="324"/>
      <c r="DE209" s="324"/>
      <c r="DF209" s="324"/>
      <c r="DG209" s="324"/>
      <c r="DH209" s="324"/>
      <c r="DI209" s="324"/>
      <c r="DJ209" s="324"/>
      <c r="DK209" s="324"/>
      <c r="DL209" s="324"/>
      <c r="DM209" s="324"/>
      <c r="DN209" s="324"/>
      <c r="DO209" s="324"/>
      <c r="DP209" s="324"/>
      <c r="DQ209" s="324"/>
      <c r="DR209" s="324"/>
      <c r="DS209" s="324"/>
      <c r="DT209" s="324"/>
      <c r="DU209" s="324"/>
      <c r="DV209" s="324"/>
      <c r="DW209" s="324"/>
      <c r="DX209" s="324"/>
      <c r="DY209" s="324"/>
      <c r="DZ209" s="324"/>
      <c r="EA209" s="324"/>
      <c r="EB209" s="324"/>
      <c r="EC209" s="324"/>
      <c r="ED209" s="324"/>
      <c r="EE209" s="324"/>
      <c r="EF209" s="324"/>
      <c r="EG209" s="324"/>
      <c r="EH209" s="324"/>
      <c r="EI209" s="324"/>
      <c r="EJ209" s="324"/>
      <c r="EK209" s="324"/>
      <c r="EL209" s="324"/>
      <c r="EM209" s="324"/>
      <c r="EN209" s="324"/>
      <c r="EO209" s="324"/>
      <c r="EP209" s="324"/>
      <c r="EQ209" s="324"/>
      <c r="ER209" s="324"/>
      <c r="ES209" s="324"/>
      <c r="ET209" s="324"/>
      <c r="EU209" s="324"/>
      <c r="EV209" s="324"/>
      <c r="EW209" s="324"/>
      <c r="EX209" s="324"/>
      <c r="EY209" s="324"/>
      <c r="EZ209" s="324"/>
      <c r="FA209" s="324"/>
      <c r="FB209" s="324"/>
      <c r="FC209" s="324"/>
      <c r="FD209" s="324"/>
      <c r="FE209" s="324"/>
      <c r="FF209" s="324"/>
      <c r="FG209" s="324"/>
      <c r="FH209" s="324"/>
      <c r="FI209" s="324"/>
      <c r="FJ209" s="324"/>
      <c r="FK209" s="324"/>
      <c r="FL209" s="324"/>
      <c r="FM209" s="324"/>
      <c r="FN209" s="324"/>
      <c r="FO209" s="324"/>
      <c r="FP209" s="324"/>
      <c r="FQ209" s="324"/>
      <c r="FR209" s="324"/>
      <c r="FS209" s="324"/>
      <c r="FT209" s="324"/>
      <c r="FU209" s="324"/>
      <c r="FV209" s="324"/>
      <c r="FW209" s="324"/>
      <c r="FX209" s="324"/>
      <c r="FY209" s="324"/>
      <c r="FZ209" s="324"/>
      <c r="GA209" s="324"/>
      <c r="GB209" s="324"/>
      <c r="GC209" s="324"/>
      <c r="GD209" s="324"/>
      <c r="GE209" s="324"/>
      <c r="GF209" s="324"/>
      <c r="GG209" s="324"/>
      <c r="GH209" s="324"/>
      <c r="GI209" s="324"/>
      <c r="GJ209" s="324"/>
      <c r="GK209" s="324"/>
      <c r="GL209" s="324"/>
      <c r="GM209" s="324"/>
      <c r="GN209" s="324"/>
      <c r="GO209" s="324"/>
      <c r="GP209" s="324"/>
      <c r="GQ209" s="324"/>
      <c r="GR209" s="324"/>
      <c r="GS209" s="324"/>
      <c r="GT209" s="324"/>
      <c r="GU209" s="324"/>
      <c r="GV209" s="324"/>
      <c r="GW209" s="324"/>
      <c r="GX209" s="324"/>
      <c r="GY209" s="324"/>
      <c r="GZ209" s="324"/>
      <c r="HA209" s="324"/>
      <c r="HB209" s="324"/>
      <c r="HC209" s="324"/>
      <c r="HD209" s="324"/>
      <c r="HE209" s="324"/>
      <c r="HF209" s="324"/>
      <c r="HG209" s="324"/>
      <c r="HH209" s="324"/>
      <c r="HI209" s="324"/>
      <c r="HJ209" s="324"/>
      <c r="HK209" s="324"/>
      <c r="HL209" s="324"/>
      <c r="HM209" s="324"/>
      <c r="HN209" s="324"/>
      <c r="HO209" s="324"/>
      <c r="HP209" s="324"/>
      <c r="HQ209" s="324"/>
      <c r="HR209" s="324"/>
      <c r="HS209" s="324"/>
      <c r="HT209" s="324"/>
      <c r="HU209" s="324"/>
      <c r="HV209" s="324"/>
      <c r="HW209" s="324"/>
      <c r="HX209" s="324"/>
      <c r="HY209" s="324"/>
      <c r="HZ209" s="324"/>
      <c r="IA209" s="324"/>
      <c r="IB209" s="324"/>
      <c r="IC209" s="324"/>
      <c r="ID209" s="324"/>
      <c r="IE209" s="324"/>
      <c r="IF209" s="324"/>
      <c r="IG209" s="324"/>
      <c r="IH209" s="324"/>
      <c r="II209" s="324"/>
      <c r="IJ209" s="324"/>
      <c r="IK209" s="324"/>
      <c r="IL209" s="324"/>
      <c r="IM209" s="324"/>
    </row>
    <row r="210" spans="1:247" x14ac:dyDescent="0.35">
      <c r="A210" s="356">
        <v>8114</v>
      </c>
      <c r="B210" s="357" t="s">
        <v>213</v>
      </c>
      <c r="C210" s="172" t="s">
        <v>210</v>
      </c>
      <c r="D210" s="358" t="s">
        <v>2051</v>
      </c>
      <c r="E210" s="336"/>
      <c r="F210" s="331">
        <f t="shared" si="57"/>
        <v>1.0209999999999999</v>
      </c>
      <c r="G210" s="337">
        <f>+$G$3</f>
        <v>1.0269999999999999</v>
      </c>
      <c r="H210" s="336"/>
      <c r="I210" s="338"/>
      <c r="J210" s="338"/>
      <c r="K210" s="338"/>
      <c r="L210" s="338"/>
      <c r="M210" s="338"/>
      <c r="N210" s="337"/>
      <c r="O210" s="339"/>
      <c r="P210" s="336">
        <f t="shared" si="59"/>
        <v>1.032</v>
      </c>
      <c r="Q210" s="337">
        <f t="shared" si="60"/>
        <v>1.0349999999999999</v>
      </c>
      <c r="R210" s="340">
        <f t="shared" si="58"/>
        <v>1.1199953840399997</v>
      </c>
      <c r="S210" s="324"/>
      <c r="T210" s="324"/>
      <c r="U210" s="324"/>
      <c r="V210" s="324"/>
      <c r="W210" s="324"/>
      <c r="X210" s="324"/>
      <c r="Y210" s="324"/>
      <c r="Z210" s="324"/>
      <c r="AA210" s="324"/>
      <c r="AB210" s="324"/>
      <c r="AC210" s="324"/>
      <c r="AD210" s="324"/>
      <c r="AE210" s="324"/>
      <c r="AF210" s="324"/>
      <c r="AG210" s="324"/>
      <c r="AH210" s="324"/>
      <c r="AI210" s="324"/>
      <c r="AJ210" s="324"/>
      <c r="AK210" s="324"/>
      <c r="AL210" s="324"/>
      <c r="AM210" s="324"/>
      <c r="AN210" s="324"/>
      <c r="AO210" s="324"/>
      <c r="AP210" s="324"/>
      <c r="AQ210" s="324"/>
      <c r="AR210" s="324"/>
      <c r="AS210" s="324"/>
      <c r="AT210" s="324"/>
      <c r="AU210" s="324"/>
      <c r="AV210" s="324"/>
      <c r="AW210" s="324"/>
      <c r="AX210" s="324"/>
      <c r="AY210" s="324"/>
      <c r="AZ210" s="324"/>
      <c r="BA210" s="324"/>
      <c r="BB210" s="324"/>
      <c r="BC210" s="324"/>
      <c r="BD210" s="324"/>
      <c r="BE210" s="324"/>
      <c r="BF210" s="324"/>
      <c r="BG210" s="324"/>
      <c r="BH210" s="324"/>
      <c r="BI210" s="324"/>
      <c r="BJ210" s="324"/>
      <c r="BK210" s="324"/>
      <c r="BL210" s="324"/>
      <c r="BM210" s="324"/>
      <c r="BN210" s="324"/>
      <c r="BO210" s="324"/>
      <c r="BP210" s="324"/>
      <c r="BQ210" s="324"/>
      <c r="BR210" s="324"/>
      <c r="BS210" s="324"/>
      <c r="BT210" s="324"/>
      <c r="BU210" s="324"/>
      <c r="BV210" s="324"/>
      <c r="BW210" s="324"/>
      <c r="BX210" s="324"/>
      <c r="BY210" s="324"/>
      <c r="BZ210" s="324"/>
      <c r="CA210" s="324"/>
      <c r="CB210" s="324"/>
      <c r="CC210" s="324"/>
      <c r="CD210" s="324"/>
      <c r="CE210" s="324"/>
      <c r="CF210" s="324"/>
      <c r="CG210" s="324"/>
      <c r="CH210" s="324"/>
      <c r="CI210" s="324"/>
      <c r="CJ210" s="324"/>
      <c r="CK210" s="324"/>
      <c r="CL210" s="324"/>
      <c r="CM210" s="324"/>
      <c r="CN210" s="324"/>
      <c r="CO210" s="324"/>
      <c r="CP210" s="324"/>
      <c r="CQ210" s="324"/>
      <c r="CR210" s="324"/>
      <c r="CS210" s="324"/>
      <c r="CT210" s="324"/>
      <c r="CU210" s="324"/>
      <c r="CV210" s="324"/>
      <c r="CW210" s="324"/>
      <c r="CX210" s="324"/>
      <c r="CY210" s="324"/>
      <c r="CZ210" s="324"/>
      <c r="DA210" s="324"/>
      <c r="DB210" s="324"/>
      <c r="DC210" s="324"/>
      <c r="DD210" s="324"/>
      <c r="DE210" s="324"/>
      <c r="DF210" s="324"/>
      <c r="DG210" s="324"/>
      <c r="DH210" s="324"/>
      <c r="DI210" s="324"/>
      <c r="DJ210" s="324"/>
      <c r="DK210" s="324"/>
      <c r="DL210" s="324"/>
      <c r="DM210" s="324"/>
      <c r="DN210" s="324"/>
      <c r="DO210" s="324"/>
      <c r="DP210" s="324"/>
      <c r="DQ210" s="324"/>
      <c r="DR210" s="324"/>
      <c r="DS210" s="324"/>
      <c r="DT210" s="324"/>
      <c r="DU210" s="324"/>
      <c r="DV210" s="324"/>
      <c r="DW210" s="324"/>
      <c r="DX210" s="324"/>
      <c r="DY210" s="324"/>
      <c r="DZ210" s="324"/>
      <c r="EA210" s="324"/>
      <c r="EB210" s="324"/>
      <c r="EC210" s="324"/>
      <c r="ED210" s="324"/>
      <c r="EE210" s="324"/>
      <c r="EF210" s="324"/>
      <c r="EG210" s="324"/>
      <c r="EH210" s="324"/>
      <c r="EI210" s="324"/>
      <c r="EJ210" s="324"/>
      <c r="EK210" s="324"/>
      <c r="EL210" s="324"/>
      <c r="EM210" s="324"/>
      <c r="EN210" s="324"/>
      <c r="EO210" s="324"/>
      <c r="EP210" s="324"/>
      <c r="EQ210" s="324"/>
      <c r="ER210" s="324"/>
      <c r="ES210" s="324"/>
      <c r="ET210" s="324"/>
      <c r="EU210" s="324"/>
      <c r="EV210" s="324"/>
      <c r="EW210" s="324"/>
      <c r="EX210" s="324"/>
      <c r="EY210" s="324"/>
      <c r="EZ210" s="324"/>
      <c r="FA210" s="324"/>
      <c r="FB210" s="324"/>
      <c r="FC210" s="324"/>
      <c r="FD210" s="324"/>
      <c r="FE210" s="324"/>
      <c r="FF210" s="324"/>
      <c r="FG210" s="324"/>
      <c r="FH210" s="324"/>
      <c r="FI210" s="324"/>
      <c r="FJ210" s="324"/>
      <c r="FK210" s="324"/>
      <c r="FL210" s="324"/>
      <c r="FM210" s="324"/>
      <c r="FN210" s="324"/>
      <c r="FO210" s="324"/>
      <c r="FP210" s="324"/>
      <c r="FQ210" s="324"/>
      <c r="FR210" s="324"/>
      <c r="FS210" s="324"/>
      <c r="FT210" s="324"/>
      <c r="FU210" s="324"/>
      <c r="FV210" s="324"/>
      <c r="FW210" s="324"/>
      <c r="FX210" s="324"/>
      <c r="FY210" s="324"/>
      <c r="FZ210" s="324"/>
      <c r="GA210" s="324"/>
      <c r="GB210" s="324"/>
      <c r="GC210" s="324"/>
      <c r="GD210" s="324"/>
      <c r="GE210" s="324"/>
      <c r="GF210" s="324"/>
      <c r="GG210" s="324"/>
      <c r="GH210" s="324"/>
      <c r="GI210" s="324"/>
      <c r="GJ210" s="324"/>
      <c r="GK210" s="324"/>
      <c r="GL210" s="324"/>
      <c r="GM210" s="324"/>
      <c r="GN210" s="324"/>
      <c r="GO210" s="324"/>
      <c r="GP210" s="324"/>
      <c r="GQ210" s="324"/>
      <c r="GR210" s="324"/>
      <c r="GS210" s="324"/>
      <c r="GT210" s="324"/>
      <c r="GU210" s="324"/>
      <c r="GV210" s="324"/>
      <c r="GW210" s="324"/>
      <c r="GX210" s="324"/>
      <c r="GY210" s="324"/>
      <c r="GZ210" s="324"/>
      <c r="HA210" s="324"/>
      <c r="HB210" s="324"/>
      <c r="HC210" s="324"/>
      <c r="HD210" s="324"/>
      <c r="HE210" s="324"/>
      <c r="HF210" s="324"/>
      <c r="HG210" s="324"/>
      <c r="HH210" s="324"/>
      <c r="HI210" s="324"/>
      <c r="HJ210" s="324"/>
      <c r="HK210" s="324"/>
      <c r="HL210" s="324"/>
      <c r="HM210" s="324"/>
      <c r="HN210" s="324"/>
      <c r="HO210" s="324"/>
      <c r="HP210" s="324"/>
      <c r="HQ210" s="324"/>
      <c r="HR210" s="324"/>
      <c r="HS210" s="324"/>
      <c r="HT210" s="324"/>
      <c r="HU210" s="324"/>
      <c r="HV210" s="324"/>
      <c r="HW210" s="324"/>
      <c r="HX210" s="324"/>
      <c r="HY210" s="324"/>
      <c r="HZ210" s="324"/>
      <c r="IA210" s="324"/>
      <c r="IB210" s="324"/>
      <c r="IC210" s="324"/>
      <c r="ID210" s="324"/>
      <c r="IE210" s="324"/>
      <c r="IF210" s="324"/>
      <c r="IG210" s="324"/>
      <c r="IH210" s="324"/>
      <c r="II210" s="324"/>
      <c r="IJ210" s="324"/>
      <c r="IK210" s="324"/>
      <c r="IL210" s="324"/>
      <c r="IM210" s="324"/>
    </row>
    <row r="211" spans="1:247" x14ac:dyDescent="0.35">
      <c r="A211" s="356">
        <v>8115</v>
      </c>
      <c r="B211" s="357" t="s">
        <v>214</v>
      </c>
      <c r="C211" s="172" t="s">
        <v>210</v>
      </c>
      <c r="D211" s="358" t="s">
        <v>2051</v>
      </c>
      <c r="E211" s="336"/>
      <c r="F211" s="331">
        <f t="shared" si="57"/>
        <v>1.0209999999999999</v>
      </c>
      <c r="G211" s="337">
        <f>+$G$3</f>
        <v>1.0269999999999999</v>
      </c>
      <c r="H211" s="336"/>
      <c r="I211" s="338"/>
      <c r="J211" s="338"/>
      <c r="K211" s="338"/>
      <c r="L211" s="338"/>
      <c r="M211" s="338"/>
      <c r="N211" s="337"/>
      <c r="O211" s="339"/>
      <c r="P211" s="336">
        <f t="shared" si="59"/>
        <v>1.032</v>
      </c>
      <c r="Q211" s="337">
        <f t="shared" si="60"/>
        <v>1.0349999999999999</v>
      </c>
      <c r="R211" s="340">
        <f>PRODUCT(E211:Q211)</f>
        <v>1.1199953840399997</v>
      </c>
      <c r="S211" s="324"/>
      <c r="T211" s="324"/>
      <c r="U211" s="324"/>
      <c r="V211" s="324"/>
      <c r="W211" s="324"/>
      <c r="X211" s="324"/>
      <c r="Y211" s="324"/>
      <c r="Z211" s="324"/>
      <c r="AA211" s="324"/>
      <c r="AB211" s="324"/>
      <c r="AC211" s="324"/>
      <c r="AD211" s="324"/>
      <c r="AE211" s="324"/>
      <c r="AF211" s="324"/>
      <c r="AG211" s="324"/>
      <c r="AH211" s="324"/>
      <c r="AI211" s="324"/>
      <c r="AJ211" s="324"/>
      <c r="AK211" s="324"/>
      <c r="AL211" s="324"/>
      <c r="AM211" s="324"/>
      <c r="AN211" s="324"/>
      <c r="AO211" s="324"/>
      <c r="AP211" s="324"/>
      <c r="AQ211" s="324"/>
      <c r="AR211" s="324"/>
      <c r="AS211" s="324"/>
      <c r="AT211" s="324"/>
      <c r="AU211" s="324"/>
      <c r="AV211" s="324"/>
      <c r="AW211" s="324"/>
      <c r="AX211" s="324"/>
      <c r="AY211" s="324"/>
      <c r="AZ211" s="324"/>
      <c r="BA211" s="324"/>
      <c r="BB211" s="324"/>
      <c r="BC211" s="324"/>
      <c r="BD211" s="324"/>
      <c r="BE211" s="324"/>
      <c r="BF211" s="324"/>
      <c r="BG211" s="324"/>
      <c r="BH211" s="324"/>
      <c r="BI211" s="324"/>
      <c r="BJ211" s="324"/>
      <c r="BK211" s="324"/>
      <c r="BL211" s="324"/>
      <c r="BM211" s="324"/>
      <c r="BN211" s="324"/>
      <c r="BO211" s="324"/>
      <c r="BP211" s="324"/>
      <c r="BQ211" s="324"/>
      <c r="BR211" s="324"/>
      <c r="BS211" s="324"/>
      <c r="BT211" s="324"/>
      <c r="BU211" s="324"/>
      <c r="BV211" s="324"/>
      <c r="BW211" s="324"/>
      <c r="BX211" s="324"/>
      <c r="BY211" s="324"/>
      <c r="BZ211" s="324"/>
      <c r="CA211" s="324"/>
      <c r="CB211" s="324"/>
      <c r="CC211" s="324"/>
      <c r="CD211" s="324"/>
      <c r="CE211" s="324"/>
      <c r="CF211" s="324"/>
      <c r="CG211" s="324"/>
      <c r="CH211" s="324"/>
      <c r="CI211" s="324"/>
      <c r="CJ211" s="324"/>
      <c r="CK211" s="324"/>
      <c r="CL211" s="324"/>
      <c r="CM211" s="324"/>
      <c r="CN211" s="324"/>
      <c r="CO211" s="324"/>
      <c r="CP211" s="324"/>
      <c r="CQ211" s="324"/>
      <c r="CR211" s="324"/>
      <c r="CS211" s="324"/>
      <c r="CT211" s="324"/>
      <c r="CU211" s="324"/>
      <c r="CV211" s="324"/>
      <c r="CW211" s="324"/>
      <c r="CX211" s="324"/>
      <c r="CY211" s="324"/>
      <c r="CZ211" s="324"/>
      <c r="DA211" s="324"/>
      <c r="DB211" s="324"/>
      <c r="DC211" s="324"/>
      <c r="DD211" s="324"/>
      <c r="DE211" s="324"/>
      <c r="DF211" s="324"/>
      <c r="DG211" s="324"/>
      <c r="DH211" s="324"/>
      <c r="DI211" s="324"/>
      <c r="DJ211" s="324"/>
      <c r="DK211" s="324"/>
      <c r="DL211" s="324"/>
      <c r="DM211" s="324"/>
      <c r="DN211" s="324"/>
      <c r="DO211" s="324"/>
      <c r="DP211" s="324"/>
      <c r="DQ211" s="324"/>
      <c r="DR211" s="324"/>
      <c r="DS211" s="324"/>
      <c r="DT211" s="324"/>
      <c r="DU211" s="324"/>
      <c r="DV211" s="324"/>
      <c r="DW211" s="324"/>
      <c r="DX211" s="324"/>
      <c r="DY211" s="324"/>
      <c r="DZ211" s="324"/>
      <c r="EA211" s="324"/>
      <c r="EB211" s="324"/>
      <c r="EC211" s="324"/>
      <c r="ED211" s="324"/>
      <c r="EE211" s="324"/>
      <c r="EF211" s="324"/>
      <c r="EG211" s="324"/>
      <c r="EH211" s="324"/>
      <c r="EI211" s="324"/>
      <c r="EJ211" s="324"/>
      <c r="EK211" s="324"/>
      <c r="EL211" s="324"/>
      <c r="EM211" s="324"/>
      <c r="EN211" s="324"/>
      <c r="EO211" s="324"/>
      <c r="EP211" s="324"/>
      <c r="EQ211" s="324"/>
      <c r="ER211" s="324"/>
      <c r="ES211" s="324"/>
      <c r="ET211" s="324"/>
      <c r="EU211" s="324"/>
      <c r="EV211" s="324"/>
      <c r="EW211" s="324"/>
      <c r="EX211" s="324"/>
      <c r="EY211" s="324"/>
      <c r="EZ211" s="324"/>
      <c r="FA211" s="324"/>
      <c r="FB211" s="324"/>
      <c r="FC211" s="324"/>
      <c r="FD211" s="324"/>
      <c r="FE211" s="324"/>
      <c r="FF211" s="324"/>
      <c r="FG211" s="324"/>
      <c r="FH211" s="324"/>
      <c r="FI211" s="324"/>
      <c r="FJ211" s="324"/>
      <c r="FK211" s="324"/>
      <c r="FL211" s="324"/>
      <c r="FM211" s="324"/>
      <c r="FN211" s="324"/>
      <c r="FO211" s="324"/>
      <c r="FP211" s="324"/>
      <c r="FQ211" s="324"/>
      <c r="FR211" s="324"/>
      <c r="FS211" s="324"/>
      <c r="FT211" s="324"/>
      <c r="FU211" s="324"/>
      <c r="FV211" s="324"/>
      <c r="FW211" s="324"/>
      <c r="FX211" s="324"/>
      <c r="FY211" s="324"/>
      <c r="FZ211" s="324"/>
      <c r="GA211" s="324"/>
      <c r="GB211" s="324"/>
      <c r="GC211" s="324"/>
      <c r="GD211" s="324"/>
      <c r="GE211" s="324"/>
      <c r="GF211" s="324"/>
      <c r="GG211" s="324"/>
      <c r="GH211" s="324"/>
      <c r="GI211" s="324"/>
      <c r="GJ211" s="324"/>
      <c r="GK211" s="324"/>
      <c r="GL211" s="324"/>
      <c r="GM211" s="324"/>
      <c r="GN211" s="324"/>
      <c r="GO211" s="324"/>
      <c r="GP211" s="324"/>
      <c r="GQ211" s="324"/>
      <c r="GR211" s="324"/>
      <c r="GS211" s="324"/>
      <c r="GT211" s="324"/>
      <c r="GU211" s="324"/>
      <c r="GV211" s="324"/>
      <c r="GW211" s="324"/>
      <c r="GX211" s="324"/>
      <c r="GY211" s="324"/>
      <c r="GZ211" s="324"/>
      <c r="HA211" s="324"/>
      <c r="HB211" s="324"/>
      <c r="HC211" s="324"/>
      <c r="HD211" s="324"/>
      <c r="HE211" s="324"/>
      <c r="HF211" s="324"/>
      <c r="HG211" s="324"/>
      <c r="HH211" s="324"/>
      <c r="HI211" s="324"/>
      <c r="HJ211" s="324"/>
      <c r="HK211" s="324"/>
      <c r="HL211" s="324"/>
      <c r="HM211" s="324"/>
      <c r="HN211" s="324"/>
      <c r="HO211" s="324"/>
      <c r="HP211" s="324"/>
      <c r="HQ211" s="324"/>
      <c r="HR211" s="324"/>
      <c r="HS211" s="324"/>
      <c r="HT211" s="324"/>
      <c r="HU211" s="324"/>
      <c r="HV211" s="324"/>
      <c r="HW211" s="324"/>
      <c r="HX211" s="324"/>
      <c r="HY211" s="324"/>
      <c r="HZ211" s="324"/>
      <c r="IA211" s="324"/>
      <c r="IB211" s="324"/>
      <c r="IC211" s="324"/>
      <c r="ID211" s="324"/>
      <c r="IE211" s="324"/>
      <c r="IF211" s="324"/>
      <c r="IG211" s="324"/>
      <c r="IH211" s="324"/>
      <c r="II211" s="324"/>
      <c r="IJ211" s="324"/>
      <c r="IK211" s="324"/>
      <c r="IL211" s="324"/>
      <c r="IM211" s="324"/>
    </row>
    <row r="212" spans="1:247" x14ac:dyDescent="0.35">
      <c r="A212" s="356">
        <v>8122</v>
      </c>
      <c r="B212" s="357" t="s">
        <v>215</v>
      </c>
      <c r="C212" s="172" t="s">
        <v>10</v>
      </c>
      <c r="D212" s="358" t="s">
        <v>2051</v>
      </c>
      <c r="E212" s="336"/>
      <c r="F212" s="331">
        <f t="shared" si="57"/>
        <v>1.0209999999999999</v>
      </c>
      <c r="G212" s="337"/>
      <c r="H212" s="336"/>
      <c r="I212" s="338"/>
      <c r="J212" s="338"/>
      <c r="K212" s="338"/>
      <c r="L212" s="338"/>
      <c r="M212" s="338"/>
      <c r="N212" s="337"/>
      <c r="O212" s="339"/>
      <c r="P212" s="336">
        <f t="shared" si="59"/>
        <v>1.032</v>
      </c>
      <c r="Q212" s="337">
        <f t="shared" si="60"/>
        <v>1.0349999999999999</v>
      </c>
      <c r="R212" s="340">
        <f t="shared" si="58"/>
        <v>1.0905505199999999</v>
      </c>
      <c r="S212" s="324"/>
      <c r="T212" s="324"/>
      <c r="U212" s="324"/>
      <c r="V212" s="324"/>
      <c r="W212" s="324"/>
      <c r="X212" s="324"/>
      <c r="Y212" s="324"/>
      <c r="Z212" s="324"/>
      <c r="AA212" s="324"/>
      <c r="AB212" s="324"/>
      <c r="AC212" s="324"/>
      <c r="AD212" s="324"/>
      <c r="AE212" s="324"/>
      <c r="AF212" s="324"/>
      <c r="AG212" s="324"/>
      <c r="AH212" s="324"/>
      <c r="AI212" s="324"/>
      <c r="AJ212" s="324"/>
      <c r="AK212" s="324"/>
      <c r="AL212" s="324"/>
      <c r="AM212" s="324"/>
      <c r="AN212" s="324"/>
      <c r="AO212" s="324"/>
      <c r="AP212" s="324"/>
      <c r="AQ212" s="324"/>
      <c r="AR212" s="324"/>
      <c r="AS212" s="324"/>
      <c r="AT212" s="324"/>
      <c r="AU212" s="324"/>
      <c r="AV212" s="324"/>
      <c r="AW212" s="324"/>
      <c r="AX212" s="324"/>
      <c r="AY212" s="324"/>
      <c r="AZ212" s="324"/>
      <c r="BA212" s="324"/>
      <c r="BB212" s="324"/>
      <c r="BC212" s="324"/>
      <c r="BD212" s="324"/>
      <c r="BE212" s="324"/>
      <c r="BF212" s="324"/>
      <c r="BG212" s="324"/>
      <c r="BH212" s="324"/>
      <c r="BI212" s="324"/>
      <c r="BJ212" s="324"/>
      <c r="BK212" s="324"/>
      <c r="BL212" s="324"/>
      <c r="BM212" s="324"/>
      <c r="BN212" s="324"/>
      <c r="BO212" s="324"/>
      <c r="BP212" s="324"/>
      <c r="BQ212" s="324"/>
      <c r="BR212" s="324"/>
      <c r="BS212" s="324"/>
      <c r="BT212" s="324"/>
      <c r="BU212" s="324"/>
      <c r="BV212" s="324"/>
      <c r="BW212" s="324"/>
      <c r="BX212" s="324"/>
      <c r="BY212" s="324"/>
      <c r="BZ212" s="324"/>
      <c r="CA212" s="324"/>
      <c r="CB212" s="324"/>
      <c r="CC212" s="324"/>
      <c r="CD212" s="324"/>
      <c r="CE212" s="324"/>
      <c r="CF212" s="324"/>
      <c r="CG212" s="324"/>
      <c r="CH212" s="324"/>
      <c r="CI212" s="324"/>
      <c r="CJ212" s="324"/>
      <c r="CK212" s="324"/>
      <c r="CL212" s="324"/>
      <c r="CM212" s="324"/>
      <c r="CN212" s="324"/>
      <c r="CO212" s="324"/>
      <c r="CP212" s="324"/>
      <c r="CQ212" s="324"/>
      <c r="CR212" s="324"/>
      <c r="CS212" s="324"/>
      <c r="CT212" s="324"/>
      <c r="CU212" s="324"/>
      <c r="CV212" s="324"/>
      <c r="CW212" s="324"/>
      <c r="CX212" s="324"/>
      <c r="CY212" s="324"/>
      <c r="CZ212" s="324"/>
      <c r="DA212" s="324"/>
      <c r="DB212" s="324"/>
      <c r="DC212" s="324"/>
      <c r="DD212" s="324"/>
      <c r="DE212" s="324"/>
      <c r="DF212" s="324"/>
      <c r="DG212" s="324"/>
      <c r="DH212" s="324"/>
      <c r="DI212" s="324"/>
      <c r="DJ212" s="324"/>
      <c r="DK212" s="324"/>
      <c r="DL212" s="324"/>
      <c r="DM212" s="324"/>
      <c r="DN212" s="324"/>
      <c r="DO212" s="324"/>
      <c r="DP212" s="324"/>
      <c r="DQ212" s="324"/>
      <c r="DR212" s="324"/>
      <c r="DS212" s="324"/>
      <c r="DT212" s="324"/>
      <c r="DU212" s="324"/>
      <c r="DV212" s="324"/>
      <c r="DW212" s="324"/>
      <c r="DX212" s="324"/>
      <c r="DY212" s="324"/>
      <c r="DZ212" s="324"/>
      <c r="EA212" s="324"/>
      <c r="EB212" s="324"/>
      <c r="EC212" s="324"/>
      <c r="ED212" s="324"/>
      <c r="EE212" s="324"/>
      <c r="EF212" s="324"/>
      <c r="EG212" s="324"/>
      <c r="EH212" s="324"/>
      <c r="EI212" s="324"/>
      <c r="EJ212" s="324"/>
      <c r="EK212" s="324"/>
      <c r="EL212" s="324"/>
      <c r="EM212" s="324"/>
      <c r="EN212" s="324"/>
      <c r="EO212" s="324"/>
      <c r="EP212" s="324"/>
      <c r="EQ212" s="324"/>
      <c r="ER212" s="324"/>
      <c r="ES212" s="324"/>
      <c r="ET212" s="324"/>
      <c r="EU212" s="324"/>
      <c r="EV212" s="324"/>
      <c r="EW212" s="324"/>
      <c r="EX212" s="324"/>
      <c r="EY212" s="324"/>
      <c r="EZ212" s="324"/>
      <c r="FA212" s="324"/>
      <c r="FB212" s="324"/>
      <c r="FC212" s="324"/>
      <c r="FD212" s="324"/>
      <c r="FE212" s="324"/>
      <c r="FF212" s="324"/>
      <c r="FG212" s="324"/>
      <c r="FH212" s="324"/>
      <c r="FI212" s="324"/>
      <c r="FJ212" s="324"/>
      <c r="FK212" s="324"/>
      <c r="FL212" s="324"/>
      <c r="FM212" s="324"/>
      <c r="FN212" s="324"/>
      <c r="FO212" s="324"/>
      <c r="FP212" s="324"/>
      <c r="FQ212" s="324"/>
      <c r="FR212" s="324"/>
      <c r="FS212" s="324"/>
      <c r="FT212" s="324"/>
      <c r="FU212" s="324"/>
      <c r="FV212" s="324"/>
      <c r="FW212" s="324"/>
      <c r="FX212" s="324"/>
      <c r="FY212" s="324"/>
      <c r="FZ212" s="324"/>
      <c r="GA212" s="324"/>
      <c r="GB212" s="324"/>
      <c r="GC212" s="324"/>
      <c r="GD212" s="324"/>
      <c r="GE212" s="324"/>
      <c r="GF212" s="324"/>
      <c r="GG212" s="324"/>
      <c r="GH212" s="324"/>
      <c r="GI212" s="324"/>
      <c r="GJ212" s="324"/>
      <c r="GK212" s="324"/>
      <c r="GL212" s="324"/>
      <c r="GM212" s="324"/>
      <c r="GN212" s="324"/>
      <c r="GO212" s="324"/>
      <c r="GP212" s="324"/>
      <c r="GQ212" s="324"/>
      <c r="GR212" s="324"/>
      <c r="GS212" s="324"/>
      <c r="GT212" s="324"/>
      <c r="GU212" s="324"/>
      <c r="GV212" s="324"/>
      <c r="GW212" s="324"/>
      <c r="GX212" s="324"/>
      <c r="GY212" s="324"/>
      <c r="GZ212" s="324"/>
      <c r="HA212" s="324"/>
      <c r="HB212" s="324"/>
      <c r="HC212" s="324"/>
      <c r="HD212" s="324"/>
      <c r="HE212" s="324"/>
      <c r="HF212" s="324"/>
      <c r="HG212" s="324"/>
      <c r="HH212" s="324"/>
      <c r="HI212" s="324"/>
      <c r="HJ212" s="324"/>
      <c r="HK212" s="324"/>
      <c r="HL212" s="324"/>
      <c r="HM212" s="324"/>
      <c r="HN212" s="324"/>
      <c r="HO212" s="324"/>
      <c r="HP212" s="324"/>
      <c r="HQ212" s="324"/>
      <c r="HR212" s="324"/>
      <c r="HS212" s="324"/>
      <c r="HT212" s="324"/>
      <c r="HU212" s="324"/>
      <c r="HV212" s="324"/>
      <c r="HW212" s="324"/>
      <c r="HX212" s="324"/>
      <c r="HY212" s="324"/>
      <c r="HZ212" s="324"/>
      <c r="IA212" s="324"/>
      <c r="IB212" s="324"/>
      <c r="IC212" s="324"/>
      <c r="ID212" s="324"/>
      <c r="IE212" s="324"/>
      <c r="IF212" s="324"/>
      <c r="IG212" s="324"/>
      <c r="IH212" s="324"/>
      <c r="II212" s="324"/>
      <c r="IJ212" s="324"/>
      <c r="IK212" s="324"/>
      <c r="IL212" s="324"/>
      <c r="IM212" s="324"/>
    </row>
    <row r="213" spans="1:247" x14ac:dyDescent="0.35">
      <c r="A213" s="356">
        <v>8134</v>
      </c>
      <c r="B213" s="357" t="s">
        <v>2060</v>
      </c>
      <c r="C213" s="172" t="s">
        <v>10</v>
      </c>
      <c r="D213" s="358" t="s">
        <v>2051</v>
      </c>
      <c r="E213" s="336"/>
      <c r="F213" s="331">
        <f t="shared" si="57"/>
        <v>1.0209999999999999</v>
      </c>
      <c r="G213" s="337"/>
      <c r="H213" s="336"/>
      <c r="I213" s="338"/>
      <c r="J213" s="338"/>
      <c r="K213" s="338"/>
      <c r="L213" s="338"/>
      <c r="M213" s="338"/>
      <c r="N213" s="337"/>
      <c r="O213" s="339"/>
      <c r="P213" s="336">
        <f t="shared" si="59"/>
        <v>1.032</v>
      </c>
      <c r="Q213" s="337">
        <f t="shared" si="60"/>
        <v>1.0349999999999999</v>
      </c>
      <c r="R213" s="340">
        <f>PRODUCT(E213:Q213)</f>
        <v>1.0905505199999999</v>
      </c>
      <c r="S213" s="324"/>
      <c r="T213" s="324"/>
      <c r="U213" s="324"/>
      <c r="V213" s="324"/>
      <c r="W213" s="324"/>
      <c r="X213" s="324"/>
      <c r="Y213" s="324"/>
      <c r="Z213" s="324"/>
      <c r="AA213" s="324"/>
      <c r="AB213" s="324"/>
      <c r="AC213" s="324"/>
      <c r="AD213" s="324"/>
      <c r="AE213" s="324"/>
      <c r="AF213" s="324"/>
      <c r="AG213" s="324"/>
      <c r="AH213" s="324"/>
      <c r="AI213" s="324"/>
      <c r="AJ213" s="324"/>
      <c r="AK213" s="324"/>
      <c r="AL213" s="324"/>
      <c r="AM213" s="324"/>
      <c r="AN213" s="324"/>
      <c r="AO213" s="324"/>
      <c r="AP213" s="324"/>
      <c r="AQ213" s="324"/>
      <c r="AR213" s="324"/>
      <c r="AS213" s="324"/>
      <c r="AT213" s="324"/>
      <c r="AU213" s="324"/>
      <c r="AV213" s="324"/>
      <c r="AW213" s="324"/>
      <c r="AX213" s="324"/>
      <c r="AY213" s="324"/>
      <c r="AZ213" s="324"/>
      <c r="BA213" s="324"/>
      <c r="BB213" s="324"/>
      <c r="BC213" s="324"/>
      <c r="BD213" s="324"/>
      <c r="BE213" s="324"/>
      <c r="BF213" s="324"/>
      <c r="BG213" s="324"/>
      <c r="BH213" s="324"/>
      <c r="BI213" s="324"/>
      <c r="BJ213" s="324"/>
      <c r="BK213" s="324"/>
      <c r="BL213" s="324"/>
      <c r="BM213" s="324"/>
      <c r="BN213" s="324"/>
      <c r="BO213" s="324"/>
      <c r="BP213" s="324"/>
      <c r="BQ213" s="324"/>
      <c r="BR213" s="324"/>
      <c r="BS213" s="324"/>
      <c r="BT213" s="324"/>
      <c r="BU213" s="324"/>
      <c r="BV213" s="324"/>
      <c r="BW213" s="324"/>
      <c r="BX213" s="324"/>
      <c r="BY213" s="324"/>
      <c r="BZ213" s="324"/>
      <c r="CA213" s="324"/>
      <c r="CB213" s="324"/>
      <c r="CC213" s="324"/>
      <c r="CD213" s="324"/>
      <c r="CE213" s="324"/>
      <c r="CF213" s="324"/>
      <c r="CG213" s="324"/>
      <c r="CH213" s="324"/>
      <c r="CI213" s="324"/>
      <c r="CJ213" s="324"/>
      <c r="CK213" s="324"/>
      <c r="CL213" s="324"/>
      <c r="CM213" s="324"/>
      <c r="CN213" s="324"/>
      <c r="CO213" s="324"/>
      <c r="CP213" s="324"/>
      <c r="CQ213" s="324"/>
      <c r="CR213" s="324"/>
      <c r="CS213" s="324"/>
      <c r="CT213" s="324"/>
      <c r="CU213" s="324"/>
      <c r="CV213" s="324"/>
      <c r="CW213" s="324"/>
      <c r="CX213" s="324"/>
      <c r="CY213" s="324"/>
      <c r="CZ213" s="324"/>
      <c r="DA213" s="324"/>
      <c r="DB213" s="324"/>
      <c r="DC213" s="324"/>
      <c r="DD213" s="324"/>
      <c r="DE213" s="324"/>
      <c r="DF213" s="324"/>
      <c r="DG213" s="324"/>
      <c r="DH213" s="324"/>
      <c r="DI213" s="324"/>
      <c r="DJ213" s="324"/>
      <c r="DK213" s="324"/>
      <c r="DL213" s="324"/>
      <c r="DM213" s="324"/>
      <c r="DN213" s="324"/>
      <c r="DO213" s="324"/>
      <c r="DP213" s="324"/>
      <c r="DQ213" s="324"/>
      <c r="DR213" s="324"/>
      <c r="DS213" s="324"/>
      <c r="DT213" s="324"/>
      <c r="DU213" s="324"/>
      <c r="DV213" s="324"/>
      <c r="DW213" s="324"/>
      <c r="DX213" s="324"/>
      <c r="DY213" s="324"/>
      <c r="DZ213" s="324"/>
      <c r="EA213" s="324"/>
      <c r="EB213" s="324"/>
      <c r="EC213" s="324"/>
      <c r="ED213" s="324"/>
      <c r="EE213" s="324"/>
      <c r="EF213" s="324"/>
      <c r="EG213" s="324"/>
      <c r="EH213" s="324"/>
      <c r="EI213" s="324"/>
      <c r="EJ213" s="324"/>
      <c r="EK213" s="324"/>
      <c r="EL213" s="324"/>
      <c r="EM213" s="324"/>
      <c r="EN213" s="324"/>
      <c r="EO213" s="324"/>
      <c r="EP213" s="324"/>
      <c r="EQ213" s="324"/>
      <c r="ER213" s="324"/>
      <c r="ES213" s="324"/>
      <c r="ET213" s="324"/>
      <c r="EU213" s="324"/>
      <c r="EV213" s="324"/>
      <c r="EW213" s="324"/>
      <c r="EX213" s="324"/>
      <c r="EY213" s="324"/>
      <c r="EZ213" s="324"/>
      <c r="FA213" s="324"/>
      <c r="FB213" s="324"/>
      <c r="FC213" s="324"/>
      <c r="FD213" s="324"/>
      <c r="FE213" s="324"/>
      <c r="FF213" s="324"/>
      <c r="FG213" s="324"/>
      <c r="FH213" s="324"/>
      <c r="FI213" s="324"/>
      <c r="FJ213" s="324"/>
      <c r="FK213" s="324"/>
      <c r="FL213" s="324"/>
      <c r="FM213" s="324"/>
      <c r="FN213" s="324"/>
      <c r="FO213" s="324"/>
      <c r="FP213" s="324"/>
      <c r="FQ213" s="324"/>
      <c r="FR213" s="324"/>
      <c r="FS213" s="324"/>
      <c r="FT213" s="324"/>
      <c r="FU213" s="324"/>
      <c r="FV213" s="324"/>
      <c r="FW213" s="324"/>
      <c r="FX213" s="324"/>
      <c r="FY213" s="324"/>
      <c r="FZ213" s="324"/>
      <c r="GA213" s="324"/>
      <c r="GB213" s="324"/>
      <c r="GC213" s="324"/>
      <c r="GD213" s="324"/>
      <c r="GE213" s="324"/>
      <c r="GF213" s="324"/>
      <c r="GG213" s="324"/>
      <c r="GH213" s="324"/>
      <c r="GI213" s="324"/>
      <c r="GJ213" s="324"/>
      <c r="GK213" s="324"/>
      <c r="GL213" s="324"/>
      <c r="GM213" s="324"/>
      <c r="GN213" s="324"/>
      <c r="GO213" s="324"/>
      <c r="GP213" s="324"/>
      <c r="GQ213" s="324"/>
      <c r="GR213" s="324"/>
      <c r="GS213" s="324"/>
      <c r="GT213" s="324"/>
      <c r="GU213" s="324"/>
      <c r="GV213" s="324"/>
      <c r="GW213" s="324"/>
      <c r="GX213" s="324"/>
      <c r="GY213" s="324"/>
      <c r="GZ213" s="324"/>
      <c r="HA213" s="324"/>
      <c r="HB213" s="324"/>
      <c r="HC213" s="324"/>
      <c r="HD213" s="324"/>
      <c r="HE213" s="324"/>
      <c r="HF213" s="324"/>
      <c r="HG213" s="324"/>
      <c r="HH213" s="324"/>
      <c r="HI213" s="324"/>
      <c r="HJ213" s="324"/>
      <c r="HK213" s="324"/>
      <c r="HL213" s="324"/>
      <c r="HM213" s="324"/>
      <c r="HN213" s="324"/>
      <c r="HO213" s="324"/>
      <c r="HP213" s="324"/>
      <c r="HQ213" s="324"/>
      <c r="HR213" s="324"/>
      <c r="HS213" s="324"/>
      <c r="HT213" s="324"/>
      <c r="HU213" s="324"/>
      <c r="HV213" s="324"/>
      <c r="HW213" s="324"/>
      <c r="HX213" s="324"/>
      <c r="HY213" s="324"/>
      <c r="HZ213" s="324"/>
      <c r="IA213" s="324"/>
      <c r="IB213" s="324"/>
      <c r="IC213" s="324"/>
      <c r="ID213" s="324"/>
      <c r="IE213" s="324"/>
      <c r="IF213" s="324"/>
      <c r="IG213" s="324"/>
      <c r="IH213" s="324"/>
      <c r="II213" s="324"/>
      <c r="IJ213" s="324"/>
      <c r="IK213" s="324"/>
      <c r="IL213" s="324"/>
      <c r="IM213" s="324"/>
    </row>
    <row r="214" spans="1:247" x14ac:dyDescent="0.35">
      <c r="A214" s="356">
        <v>8211</v>
      </c>
      <c r="B214" s="357" t="s">
        <v>217</v>
      </c>
      <c r="C214" s="172" t="s">
        <v>2061</v>
      </c>
      <c r="D214" s="358" t="s">
        <v>2051</v>
      </c>
      <c r="E214" s="336"/>
      <c r="F214" s="331">
        <f t="shared" si="57"/>
        <v>1.0209999999999999</v>
      </c>
      <c r="G214" s="337"/>
      <c r="H214" s="336"/>
      <c r="I214" s="338"/>
      <c r="J214" s="338"/>
      <c r="K214" s="338"/>
      <c r="L214" s="338"/>
      <c r="M214" s="338"/>
      <c r="N214" s="337"/>
      <c r="O214" s="339"/>
      <c r="P214" s="336">
        <f t="shared" si="59"/>
        <v>1.032</v>
      </c>
      <c r="Q214" s="337">
        <f t="shared" si="60"/>
        <v>1.0349999999999999</v>
      </c>
      <c r="R214" s="340">
        <f t="shared" si="58"/>
        <v>1.0905505199999999</v>
      </c>
      <c r="S214" s="324"/>
      <c r="T214" s="324"/>
      <c r="U214" s="324"/>
      <c r="V214" s="324"/>
      <c r="W214" s="324"/>
      <c r="X214" s="324"/>
      <c r="Y214" s="324"/>
      <c r="Z214" s="324"/>
      <c r="AA214" s="324"/>
      <c r="AB214" s="324"/>
      <c r="AC214" s="324"/>
      <c r="AD214" s="324"/>
      <c r="AE214" s="324"/>
      <c r="AF214" s="324"/>
      <c r="AG214" s="324"/>
      <c r="AH214" s="324"/>
      <c r="AI214" s="324"/>
      <c r="AJ214" s="324"/>
      <c r="AK214" s="324"/>
      <c r="AL214" s="324"/>
      <c r="AM214" s="324"/>
      <c r="AN214" s="324"/>
      <c r="AO214" s="324"/>
      <c r="AP214" s="324"/>
      <c r="AQ214" s="324"/>
      <c r="AR214" s="324"/>
      <c r="AS214" s="324"/>
      <c r="AT214" s="324"/>
      <c r="AU214" s="324"/>
      <c r="AV214" s="324"/>
      <c r="AW214" s="324"/>
      <c r="AX214" s="324"/>
      <c r="AY214" s="324"/>
      <c r="AZ214" s="324"/>
      <c r="BA214" s="324"/>
      <c r="BB214" s="324"/>
      <c r="BC214" s="324"/>
      <c r="BD214" s="324"/>
      <c r="BE214" s="324"/>
      <c r="BF214" s="324"/>
      <c r="BG214" s="324"/>
      <c r="BH214" s="324"/>
      <c r="BI214" s="324"/>
      <c r="BJ214" s="324"/>
      <c r="BK214" s="324"/>
      <c r="BL214" s="324"/>
      <c r="BM214" s="324"/>
      <c r="BN214" s="324"/>
      <c r="BO214" s="324"/>
      <c r="BP214" s="324"/>
      <c r="BQ214" s="324"/>
      <c r="BR214" s="324"/>
      <c r="BS214" s="324"/>
      <c r="BT214" s="324"/>
      <c r="BU214" s="324"/>
      <c r="BV214" s="324"/>
      <c r="BW214" s="324"/>
      <c r="BX214" s="324"/>
      <c r="BY214" s="324"/>
      <c r="BZ214" s="324"/>
      <c r="CA214" s="324"/>
      <c r="CB214" s="324"/>
      <c r="CC214" s="324"/>
      <c r="CD214" s="324"/>
      <c r="CE214" s="324"/>
      <c r="CF214" s="324"/>
      <c r="CG214" s="324"/>
      <c r="CH214" s="324"/>
      <c r="CI214" s="324"/>
      <c r="CJ214" s="324"/>
      <c r="CK214" s="324"/>
      <c r="CL214" s="324"/>
      <c r="CM214" s="324"/>
      <c r="CN214" s="324"/>
      <c r="CO214" s="324"/>
      <c r="CP214" s="324"/>
      <c r="CQ214" s="324"/>
      <c r="CR214" s="324"/>
      <c r="CS214" s="324"/>
      <c r="CT214" s="324"/>
      <c r="CU214" s="324"/>
      <c r="CV214" s="324"/>
      <c r="CW214" s="324"/>
      <c r="CX214" s="324"/>
      <c r="CY214" s="324"/>
      <c r="CZ214" s="324"/>
      <c r="DA214" s="324"/>
      <c r="DB214" s="324"/>
      <c r="DC214" s="324"/>
      <c r="DD214" s="324"/>
      <c r="DE214" s="324"/>
      <c r="DF214" s="324"/>
      <c r="DG214" s="324"/>
      <c r="DH214" s="324"/>
      <c r="DI214" s="324"/>
      <c r="DJ214" s="324"/>
      <c r="DK214" s="324"/>
      <c r="DL214" s="324"/>
      <c r="DM214" s="324"/>
      <c r="DN214" s="324"/>
      <c r="DO214" s="324"/>
      <c r="DP214" s="324"/>
      <c r="DQ214" s="324"/>
      <c r="DR214" s="324"/>
      <c r="DS214" s="324"/>
      <c r="DT214" s="324"/>
      <c r="DU214" s="324"/>
      <c r="DV214" s="324"/>
      <c r="DW214" s="324"/>
      <c r="DX214" s="324"/>
      <c r="DY214" s="324"/>
      <c r="DZ214" s="324"/>
      <c r="EA214" s="324"/>
      <c r="EB214" s="324"/>
      <c r="EC214" s="324"/>
      <c r="ED214" s="324"/>
      <c r="EE214" s="324"/>
      <c r="EF214" s="324"/>
      <c r="EG214" s="324"/>
      <c r="EH214" s="324"/>
      <c r="EI214" s="324"/>
      <c r="EJ214" s="324"/>
      <c r="EK214" s="324"/>
      <c r="EL214" s="324"/>
      <c r="EM214" s="324"/>
      <c r="EN214" s="324"/>
      <c r="EO214" s="324"/>
      <c r="EP214" s="324"/>
      <c r="EQ214" s="324"/>
      <c r="ER214" s="324"/>
      <c r="ES214" s="324"/>
      <c r="ET214" s="324"/>
      <c r="EU214" s="324"/>
      <c r="EV214" s="324"/>
      <c r="EW214" s="324"/>
      <c r="EX214" s="324"/>
      <c r="EY214" s="324"/>
      <c r="EZ214" s="324"/>
      <c r="FA214" s="324"/>
      <c r="FB214" s="324"/>
      <c r="FC214" s="324"/>
      <c r="FD214" s="324"/>
      <c r="FE214" s="324"/>
      <c r="FF214" s="324"/>
      <c r="FG214" s="324"/>
      <c r="FH214" s="324"/>
      <c r="FI214" s="324"/>
      <c r="FJ214" s="324"/>
      <c r="FK214" s="324"/>
      <c r="FL214" s="324"/>
      <c r="FM214" s="324"/>
      <c r="FN214" s="324"/>
      <c r="FO214" s="324"/>
      <c r="FP214" s="324"/>
      <c r="FQ214" s="324"/>
      <c r="FR214" s="324"/>
      <c r="FS214" s="324"/>
      <c r="FT214" s="324"/>
      <c r="FU214" s="324"/>
      <c r="FV214" s="324"/>
      <c r="FW214" s="324"/>
      <c r="FX214" s="324"/>
      <c r="FY214" s="324"/>
      <c r="FZ214" s="324"/>
      <c r="GA214" s="324"/>
      <c r="GB214" s="324"/>
      <c r="GC214" s="324"/>
      <c r="GD214" s="324"/>
      <c r="GE214" s="324"/>
      <c r="GF214" s="324"/>
      <c r="GG214" s="324"/>
      <c r="GH214" s="324"/>
      <c r="GI214" s="324"/>
      <c r="GJ214" s="324"/>
      <c r="GK214" s="324"/>
      <c r="GL214" s="324"/>
      <c r="GM214" s="324"/>
      <c r="GN214" s="324"/>
      <c r="GO214" s="324"/>
      <c r="GP214" s="324"/>
      <c r="GQ214" s="324"/>
      <c r="GR214" s="324"/>
      <c r="GS214" s="324"/>
      <c r="GT214" s="324"/>
      <c r="GU214" s="324"/>
      <c r="GV214" s="324"/>
      <c r="GW214" s="324"/>
      <c r="GX214" s="324"/>
      <c r="GY214" s="324"/>
      <c r="GZ214" s="324"/>
      <c r="HA214" s="324"/>
      <c r="HB214" s="324"/>
      <c r="HC214" s="324"/>
      <c r="HD214" s="324"/>
      <c r="HE214" s="324"/>
      <c r="HF214" s="324"/>
      <c r="HG214" s="324"/>
      <c r="HH214" s="324"/>
      <c r="HI214" s="324"/>
      <c r="HJ214" s="324"/>
      <c r="HK214" s="324"/>
      <c r="HL214" s="324"/>
      <c r="HM214" s="324"/>
      <c r="HN214" s="324"/>
      <c r="HO214" s="324"/>
      <c r="HP214" s="324"/>
      <c r="HQ214" s="324"/>
      <c r="HR214" s="324"/>
      <c r="HS214" s="324"/>
      <c r="HT214" s="324"/>
      <c r="HU214" s="324"/>
      <c r="HV214" s="324"/>
      <c r="HW214" s="324"/>
      <c r="HX214" s="324"/>
      <c r="HY214" s="324"/>
      <c r="HZ214" s="324"/>
      <c r="IA214" s="324"/>
      <c r="IB214" s="324"/>
      <c r="IC214" s="324"/>
      <c r="ID214" s="324"/>
      <c r="IE214" s="324"/>
      <c r="IF214" s="324"/>
      <c r="IG214" s="324"/>
      <c r="IH214" s="324"/>
      <c r="II214" s="324"/>
      <c r="IJ214" s="324"/>
      <c r="IK214" s="324"/>
      <c r="IL214" s="324"/>
      <c r="IM214" s="324"/>
    </row>
    <row r="215" spans="1:247" x14ac:dyDescent="0.35">
      <c r="A215" s="356">
        <v>8231</v>
      </c>
      <c r="B215" s="357" t="s">
        <v>219</v>
      </c>
      <c r="C215" s="172" t="s">
        <v>2061</v>
      </c>
      <c r="D215" s="358" t="s">
        <v>2051</v>
      </c>
      <c r="E215" s="336"/>
      <c r="F215" s="331">
        <f t="shared" si="57"/>
        <v>1.0209999999999999</v>
      </c>
      <c r="G215" s="337"/>
      <c r="H215" s="336"/>
      <c r="I215" s="338"/>
      <c r="J215" s="338"/>
      <c r="K215" s="338"/>
      <c r="L215" s="338"/>
      <c r="M215" s="338"/>
      <c r="N215" s="337"/>
      <c r="O215" s="339"/>
      <c r="P215" s="336">
        <f t="shared" si="59"/>
        <v>1.032</v>
      </c>
      <c r="Q215" s="337">
        <f t="shared" si="60"/>
        <v>1.0349999999999999</v>
      </c>
      <c r="R215" s="340">
        <f t="shared" si="58"/>
        <v>1.0905505199999999</v>
      </c>
      <c r="S215" s="324"/>
      <c r="T215" s="324"/>
      <c r="U215" s="324"/>
      <c r="V215" s="324"/>
      <c r="W215" s="324"/>
      <c r="X215" s="324"/>
      <c r="Y215" s="324"/>
      <c r="Z215" s="324"/>
      <c r="AA215" s="324"/>
      <c r="AB215" s="324"/>
      <c r="AC215" s="324"/>
      <c r="AD215" s="324"/>
      <c r="AE215" s="324"/>
      <c r="AF215" s="324"/>
      <c r="AG215" s="324"/>
      <c r="AH215" s="324"/>
      <c r="AI215" s="324"/>
      <c r="AJ215" s="324"/>
      <c r="AK215" s="324"/>
      <c r="AL215" s="324"/>
      <c r="AM215" s="324"/>
      <c r="AN215" s="324"/>
      <c r="AO215" s="324"/>
      <c r="AP215" s="324"/>
      <c r="AQ215" s="324"/>
      <c r="AR215" s="324"/>
      <c r="AS215" s="324"/>
      <c r="AT215" s="324"/>
      <c r="AU215" s="324"/>
      <c r="AV215" s="324"/>
      <c r="AW215" s="324"/>
      <c r="AX215" s="324"/>
      <c r="AY215" s="324"/>
      <c r="AZ215" s="324"/>
      <c r="BA215" s="324"/>
      <c r="BB215" s="324"/>
      <c r="BC215" s="324"/>
      <c r="BD215" s="324"/>
      <c r="BE215" s="324"/>
      <c r="BF215" s="324"/>
      <c r="BG215" s="324"/>
      <c r="BH215" s="324"/>
      <c r="BI215" s="324"/>
      <c r="BJ215" s="324"/>
      <c r="BK215" s="324"/>
      <c r="BL215" s="324"/>
      <c r="BM215" s="324"/>
      <c r="BN215" s="324"/>
      <c r="BO215" s="324"/>
      <c r="BP215" s="324"/>
      <c r="BQ215" s="324"/>
      <c r="BR215" s="324"/>
      <c r="BS215" s="324"/>
      <c r="BT215" s="324"/>
      <c r="BU215" s="324"/>
      <c r="BV215" s="324"/>
      <c r="BW215" s="324"/>
      <c r="BX215" s="324"/>
      <c r="BY215" s="324"/>
      <c r="BZ215" s="324"/>
      <c r="CA215" s="324"/>
      <c r="CB215" s="324"/>
      <c r="CC215" s="324"/>
      <c r="CD215" s="324"/>
      <c r="CE215" s="324"/>
      <c r="CF215" s="324"/>
      <c r="CG215" s="324"/>
      <c r="CH215" s="324"/>
      <c r="CI215" s="324"/>
      <c r="CJ215" s="324"/>
      <c r="CK215" s="324"/>
      <c r="CL215" s="324"/>
      <c r="CM215" s="324"/>
      <c r="CN215" s="324"/>
      <c r="CO215" s="324"/>
      <c r="CP215" s="324"/>
      <c r="CQ215" s="324"/>
      <c r="CR215" s="324"/>
      <c r="CS215" s="324"/>
      <c r="CT215" s="324"/>
      <c r="CU215" s="324"/>
      <c r="CV215" s="324"/>
      <c r="CW215" s="324"/>
      <c r="CX215" s="324"/>
      <c r="CY215" s="324"/>
      <c r="CZ215" s="324"/>
      <c r="DA215" s="324"/>
      <c r="DB215" s="324"/>
      <c r="DC215" s="324"/>
      <c r="DD215" s="324"/>
      <c r="DE215" s="324"/>
      <c r="DF215" s="324"/>
      <c r="DG215" s="324"/>
      <c r="DH215" s="324"/>
      <c r="DI215" s="324"/>
      <c r="DJ215" s="324"/>
      <c r="DK215" s="324"/>
      <c r="DL215" s="324"/>
      <c r="DM215" s="324"/>
      <c r="DN215" s="324"/>
      <c r="DO215" s="324"/>
      <c r="DP215" s="324"/>
      <c r="DQ215" s="324"/>
      <c r="DR215" s="324"/>
      <c r="DS215" s="324"/>
      <c r="DT215" s="324"/>
      <c r="DU215" s="324"/>
      <c r="DV215" s="324"/>
      <c r="DW215" s="324"/>
      <c r="DX215" s="324"/>
      <c r="DY215" s="324"/>
      <c r="DZ215" s="324"/>
      <c r="EA215" s="324"/>
      <c r="EB215" s="324"/>
      <c r="EC215" s="324"/>
      <c r="ED215" s="324"/>
      <c r="EE215" s="324"/>
      <c r="EF215" s="324"/>
      <c r="EG215" s="324"/>
      <c r="EH215" s="324"/>
      <c r="EI215" s="324"/>
      <c r="EJ215" s="324"/>
      <c r="EK215" s="324"/>
      <c r="EL215" s="324"/>
      <c r="EM215" s="324"/>
      <c r="EN215" s="324"/>
      <c r="EO215" s="324"/>
      <c r="EP215" s="324"/>
      <c r="EQ215" s="324"/>
      <c r="ER215" s="324"/>
      <c r="ES215" s="324"/>
      <c r="ET215" s="324"/>
      <c r="EU215" s="324"/>
      <c r="EV215" s="324"/>
      <c r="EW215" s="324"/>
      <c r="EX215" s="324"/>
      <c r="EY215" s="324"/>
      <c r="EZ215" s="324"/>
      <c r="FA215" s="324"/>
      <c r="FB215" s="324"/>
      <c r="FC215" s="324"/>
      <c r="FD215" s="324"/>
      <c r="FE215" s="324"/>
      <c r="FF215" s="324"/>
      <c r="FG215" s="324"/>
      <c r="FH215" s="324"/>
      <c r="FI215" s="324"/>
      <c r="FJ215" s="324"/>
      <c r="FK215" s="324"/>
      <c r="FL215" s="324"/>
      <c r="FM215" s="324"/>
      <c r="FN215" s="324"/>
      <c r="FO215" s="324"/>
      <c r="FP215" s="324"/>
      <c r="FQ215" s="324"/>
      <c r="FR215" s="324"/>
      <c r="FS215" s="324"/>
      <c r="FT215" s="324"/>
      <c r="FU215" s="324"/>
      <c r="FV215" s="324"/>
      <c r="FW215" s="324"/>
      <c r="FX215" s="324"/>
      <c r="FY215" s="324"/>
      <c r="FZ215" s="324"/>
      <c r="GA215" s="324"/>
      <c r="GB215" s="324"/>
      <c r="GC215" s="324"/>
      <c r="GD215" s="324"/>
      <c r="GE215" s="324"/>
      <c r="GF215" s="324"/>
      <c r="GG215" s="324"/>
      <c r="GH215" s="324"/>
      <c r="GI215" s="324"/>
      <c r="GJ215" s="324"/>
      <c r="GK215" s="324"/>
      <c r="GL215" s="324"/>
      <c r="GM215" s="324"/>
      <c r="GN215" s="324"/>
      <c r="GO215" s="324"/>
      <c r="GP215" s="324"/>
      <c r="GQ215" s="324"/>
      <c r="GR215" s="324"/>
      <c r="GS215" s="324"/>
      <c r="GT215" s="324"/>
      <c r="GU215" s="324"/>
      <c r="GV215" s="324"/>
      <c r="GW215" s="324"/>
      <c r="GX215" s="324"/>
      <c r="GY215" s="324"/>
      <c r="GZ215" s="324"/>
      <c r="HA215" s="324"/>
      <c r="HB215" s="324"/>
      <c r="HC215" s="324"/>
      <c r="HD215" s="324"/>
      <c r="HE215" s="324"/>
      <c r="HF215" s="324"/>
      <c r="HG215" s="324"/>
      <c r="HH215" s="324"/>
      <c r="HI215" s="324"/>
      <c r="HJ215" s="324"/>
      <c r="HK215" s="324"/>
      <c r="HL215" s="324"/>
      <c r="HM215" s="324"/>
      <c r="HN215" s="324"/>
      <c r="HO215" s="324"/>
      <c r="HP215" s="324"/>
      <c r="HQ215" s="324"/>
      <c r="HR215" s="324"/>
      <c r="HS215" s="324"/>
      <c r="HT215" s="324"/>
      <c r="HU215" s="324"/>
      <c r="HV215" s="324"/>
      <c r="HW215" s="324"/>
      <c r="HX215" s="324"/>
      <c r="HY215" s="324"/>
      <c r="HZ215" s="324"/>
      <c r="IA215" s="324"/>
      <c r="IB215" s="324"/>
      <c r="IC215" s="324"/>
      <c r="ID215" s="324"/>
      <c r="IE215" s="324"/>
      <c r="IF215" s="324"/>
      <c r="IG215" s="324"/>
      <c r="IH215" s="324"/>
      <c r="II215" s="324"/>
      <c r="IJ215" s="324"/>
      <c r="IK215" s="324"/>
      <c r="IL215" s="324"/>
      <c r="IM215" s="324"/>
    </row>
    <row r="216" spans="1:247" x14ac:dyDescent="0.35">
      <c r="A216" s="356">
        <v>8232</v>
      </c>
      <c r="B216" s="357" t="s">
        <v>220</v>
      </c>
      <c r="C216" s="172" t="s">
        <v>10</v>
      </c>
      <c r="D216" s="358" t="s">
        <v>2051</v>
      </c>
      <c r="E216" s="336"/>
      <c r="F216" s="331">
        <f t="shared" si="57"/>
        <v>1.0209999999999999</v>
      </c>
      <c r="G216" s="337"/>
      <c r="H216" s="336"/>
      <c r="I216" s="338"/>
      <c r="J216" s="338"/>
      <c r="K216" s="338"/>
      <c r="L216" s="338"/>
      <c r="M216" s="338"/>
      <c r="N216" s="337"/>
      <c r="O216" s="339"/>
      <c r="P216" s="336">
        <f t="shared" si="59"/>
        <v>1.032</v>
      </c>
      <c r="Q216" s="337">
        <f t="shared" si="60"/>
        <v>1.0349999999999999</v>
      </c>
      <c r="R216" s="340">
        <f t="shared" si="58"/>
        <v>1.0905505199999999</v>
      </c>
      <c r="S216" s="324"/>
      <c r="T216" s="324"/>
      <c r="U216" s="324"/>
      <c r="V216" s="324"/>
      <c r="W216" s="324"/>
      <c r="X216" s="324"/>
      <c r="Y216" s="324"/>
      <c r="Z216" s="324"/>
      <c r="AA216" s="324"/>
      <c r="AB216" s="324"/>
      <c r="AC216" s="324"/>
      <c r="AD216" s="324"/>
      <c r="AE216" s="324"/>
      <c r="AF216" s="324"/>
      <c r="AG216" s="324"/>
      <c r="AH216" s="324"/>
      <c r="AI216" s="324"/>
      <c r="AJ216" s="324"/>
      <c r="AK216" s="324"/>
      <c r="AL216" s="324"/>
      <c r="AM216" s="324"/>
      <c r="AN216" s="324"/>
      <c r="AO216" s="324"/>
      <c r="AP216" s="324"/>
      <c r="AQ216" s="324"/>
      <c r="AR216" s="324"/>
      <c r="AS216" s="324"/>
      <c r="AT216" s="324"/>
      <c r="AU216" s="324"/>
      <c r="AV216" s="324"/>
      <c r="AW216" s="324"/>
      <c r="AX216" s="324"/>
      <c r="AY216" s="324"/>
      <c r="AZ216" s="324"/>
      <c r="BA216" s="324"/>
      <c r="BB216" s="324"/>
      <c r="BC216" s="324"/>
      <c r="BD216" s="324"/>
      <c r="BE216" s="324"/>
      <c r="BF216" s="324"/>
      <c r="BG216" s="324"/>
      <c r="BH216" s="324"/>
      <c r="BI216" s="324"/>
      <c r="BJ216" s="324"/>
      <c r="BK216" s="324"/>
      <c r="BL216" s="324"/>
      <c r="BM216" s="324"/>
      <c r="BN216" s="324"/>
      <c r="BO216" s="324"/>
      <c r="BP216" s="324"/>
      <c r="BQ216" s="324"/>
      <c r="BR216" s="324"/>
      <c r="BS216" s="324"/>
      <c r="BT216" s="324"/>
      <c r="BU216" s="324"/>
      <c r="BV216" s="324"/>
      <c r="BW216" s="324"/>
      <c r="BX216" s="324"/>
      <c r="BY216" s="324"/>
      <c r="BZ216" s="324"/>
      <c r="CA216" s="324"/>
      <c r="CB216" s="324"/>
      <c r="CC216" s="324"/>
      <c r="CD216" s="324"/>
      <c r="CE216" s="324"/>
      <c r="CF216" s="324"/>
      <c r="CG216" s="324"/>
      <c r="CH216" s="324"/>
      <c r="CI216" s="324"/>
      <c r="CJ216" s="324"/>
      <c r="CK216" s="324"/>
      <c r="CL216" s="324"/>
      <c r="CM216" s="324"/>
      <c r="CN216" s="324"/>
      <c r="CO216" s="324"/>
      <c r="CP216" s="324"/>
      <c r="CQ216" s="324"/>
      <c r="CR216" s="324"/>
      <c r="CS216" s="324"/>
      <c r="CT216" s="324"/>
      <c r="CU216" s="324"/>
      <c r="CV216" s="324"/>
      <c r="CW216" s="324"/>
      <c r="CX216" s="324"/>
      <c r="CY216" s="324"/>
      <c r="CZ216" s="324"/>
      <c r="DA216" s="324"/>
      <c r="DB216" s="324"/>
      <c r="DC216" s="324"/>
      <c r="DD216" s="324"/>
      <c r="DE216" s="324"/>
      <c r="DF216" s="324"/>
      <c r="DG216" s="324"/>
      <c r="DH216" s="324"/>
      <c r="DI216" s="324"/>
      <c r="DJ216" s="324"/>
      <c r="DK216" s="324"/>
      <c r="DL216" s="324"/>
      <c r="DM216" s="324"/>
      <c r="DN216" s="324"/>
      <c r="DO216" s="324"/>
      <c r="DP216" s="324"/>
      <c r="DQ216" s="324"/>
      <c r="DR216" s="324"/>
      <c r="DS216" s="324"/>
      <c r="DT216" s="324"/>
      <c r="DU216" s="324"/>
      <c r="DV216" s="324"/>
      <c r="DW216" s="324"/>
      <c r="DX216" s="324"/>
      <c r="DY216" s="324"/>
      <c r="DZ216" s="324"/>
      <c r="EA216" s="324"/>
      <c r="EB216" s="324"/>
      <c r="EC216" s="324"/>
      <c r="ED216" s="324"/>
      <c r="EE216" s="324"/>
      <c r="EF216" s="324"/>
      <c r="EG216" s="324"/>
      <c r="EH216" s="324"/>
      <c r="EI216" s="324"/>
      <c r="EJ216" s="324"/>
      <c r="EK216" s="324"/>
      <c r="EL216" s="324"/>
      <c r="EM216" s="324"/>
      <c r="EN216" s="324"/>
      <c r="EO216" s="324"/>
      <c r="EP216" s="324"/>
      <c r="EQ216" s="324"/>
      <c r="ER216" s="324"/>
      <c r="ES216" s="324"/>
      <c r="ET216" s="324"/>
      <c r="EU216" s="324"/>
      <c r="EV216" s="324"/>
      <c r="EW216" s="324"/>
      <c r="EX216" s="324"/>
      <c r="EY216" s="324"/>
      <c r="EZ216" s="324"/>
      <c r="FA216" s="324"/>
      <c r="FB216" s="324"/>
      <c r="FC216" s="324"/>
      <c r="FD216" s="324"/>
      <c r="FE216" s="324"/>
      <c r="FF216" s="324"/>
      <c r="FG216" s="324"/>
      <c r="FH216" s="324"/>
      <c r="FI216" s="324"/>
      <c r="FJ216" s="324"/>
      <c r="FK216" s="324"/>
      <c r="FL216" s="324"/>
      <c r="FM216" s="324"/>
      <c r="FN216" s="324"/>
      <c r="FO216" s="324"/>
      <c r="FP216" s="324"/>
      <c r="FQ216" s="324"/>
      <c r="FR216" s="324"/>
      <c r="FS216" s="324"/>
      <c r="FT216" s="324"/>
      <c r="FU216" s="324"/>
      <c r="FV216" s="324"/>
      <c r="FW216" s="324"/>
      <c r="FX216" s="324"/>
      <c r="FY216" s="324"/>
      <c r="FZ216" s="324"/>
      <c r="GA216" s="324"/>
      <c r="GB216" s="324"/>
      <c r="GC216" s="324"/>
      <c r="GD216" s="324"/>
      <c r="GE216" s="324"/>
      <c r="GF216" s="324"/>
      <c r="GG216" s="324"/>
      <c r="GH216" s="324"/>
      <c r="GI216" s="324"/>
      <c r="GJ216" s="324"/>
      <c r="GK216" s="324"/>
      <c r="GL216" s="324"/>
      <c r="GM216" s="324"/>
      <c r="GN216" s="324"/>
      <c r="GO216" s="324"/>
      <c r="GP216" s="324"/>
      <c r="GQ216" s="324"/>
      <c r="GR216" s="324"/>
      <c r="GS216" s="324"/>
      <c r="GT216" s="324"/>
      <c r="GU216" s="324"/>
      <c r="GV216" s="324"/>
      <c r="GW216" s="324"/>
      <c r="GX216" s="324"/>
      <c r="GY216" s="324"/>
      <c r="GZ216" s="324"/>
      <c r="HA216" s="324"/>
      <c r="HB216" s="324"/>
      <c r="HC216" s="324"/>
      <c r="HD216" s="324"/>
      <c r="HE216" s="324"/>
      <c r="HF216" s="324"/>
      <c r="HG216" s="324"/>
      <c r="HH216" s="324"/>
      <c r="HI216" s="324"/>
      <c r="HJ216" s="324"/>
      <c r="HK216" s="324"/>
      <c r="HL216" s="324"/>
      <c r="HM216" s="324"/>
      <c r="HN216" s="324"/>
      <c r="HO216" s="324"/>
      <c r="HP216" s="324"/>
      <c r="HQ216" s="324"/>
      <c r="HR216" s="324"/>
      <c r="HS216" s="324"/>
      <c r="HT216" s="324"/>
      <c r="HU216" s="324"/>
      <c r="HV216" s="324"/>
      <c r="HW216" s="324"/>
      <c r="HX216" s="324"/>
      <c r="HY216" s="324"/>
      <c r="HZ216" s="324"/>
      <c r="IA216" s="324"/>
      <c r="IB216" s="324"/>
      <c r="IC216" s="324"/>
      <c r="ID216" s="324"/>
      <c r="IE216" s="324"/>
      <c r="IF216" s="324"/>
      <c r="IG216" s="324"/>
      <c r="IH216" s="324"/>
      <c r="II216" s="324"/>
      <c r="IJ216" s="324"/>
      <c r="IK216" s="324"/>
      <c r="IL216" s="324"/>
      <c r="IM216" s="324"/>
    </row>
    <row r="217" spans="1:247" x14ac:dyDescent="0.35">
      <c r="A217" s="356">
        <v>8241</v>
      </c>
      <c r="B217" s="357" t="s">
        <v>221</v>
      </c>
      <c r="C217" s="172" t="s">
        <v>6</v>
      </c>
      <c r="D217" s="358" t="s">
        <v>2052</v>
      </c>
      <c r="E217" s="336"/>
      <c r="F217" s="331">
        <f t="shared" si="57"/>
        <v>1.0209999999999999</v>
      </c>
      <c r="G217" s="337"/>
      <c r="H217" s="336"/>
      <c r="I217" s="338"/>
      <c r="J217" s="338"/>
      <c r="K217" s="338"/>
      <c r="L217" s="338"/>
      <c r="M217" s="338"/>
      <c r="N217" s="337"/>
      <c r="O217" s="339"/>
      <c r="P217" s="336">
        <f t="shared" si="59"/>
        <v>1.032</v>
      </c>
      <c r="Q217" s="337">
        <f t="shared" si="60"/>
        <v>1.0349999999999999</v>
      </c>
      <c r="R217" s="340">
        <f t="shared" si="58"/>
        <v>1.0905505199999999</v>
      </c>
      <c r="S217" s="324"/>
      <c r="T217" s="324"/>
      <c r="U217" s="324"/>
      <c r="V217" s="324"/>
      <c r="W217" s="324"/>
      <c r="X217" s="324"/>
      <c r="Y217" s="324"/>
      <c r="Z217" s="324"/>
      <c r="AA217" s="324"/>
      <c r="AB217" s="324"/>
      <c r="AC217" s="324"/>
      <c r="AD217" s="324"/>
      <c r="AE217" s="324"/>
      <c r="AF217" s="324"/>
      <c r="AG217" s="324"/>
      <c r="AH217" s="324"/>
      <c r="AI217" s="324"/>
      <c r="AJ217" s="324"/>
      <c r="AK217" s="324"/>
      <c r="AL217" s="324"/>
      <c r="AM217" s="324"/>
      <c r="AN217" s="324"/>
      <c r="AO217" s="324"/>
      <c r="AP217" s="324"/>
      <c r="AQ217" s="324"/>
      <c r="AR217" s="324"/>
      <c r="AS217" s="324"/>
      <c r="AT217" s="324"/>
      <c r="AU217" s="324"/>
      <c r="AV217" s="324"/>
      <c r="AW217" s="324"/>
      <c r="AX217" s="324"/>
      <c r="AY217" s="324"/>
      <c r="AZ217" s="324"/>
      <c r="BA217" s="324"/>
      <c r="BB217" s="324"/>
      <c r="BC217" s="324"/>
      <c r="BD217" s="324"/>
      <c r="BE217" s="324"/>
      <c r="BF217" s="324"/>
      <c r="BG217" s="324"/>
      <c r="BH217" s="324"/>
      <c r="BI217" s="324"/>
      <c r="BJ217" s="324"/>
      <c r="BK217" s="324"/>
      <c r="BL217" s="324"/>
      <c r="BM217" s="324"/>
      <c r="BN217" s="324"/>
      <c r="BO217" s="324"/>
      <c r="BP217" s="324"/>
      <c r="BQ217" s="324"/>
      <c r="BR217" s="324"/>
      <c r="BS217" s="324"/>
      <c r="BT217" s="324"/>
      <c r="BU217" s="324"/>
      <c r="BV217" s="324"/>
      <c r="BW217" s="324"/>
      <c r="BX217" s="324"/>
      <c r="BY217" s="324"/>
      <c r="BZ217" s="324"/>
      <c r="CA217" s="324"/>
      <c r="CB217" s="324"/>
      <c r="CC217" s="324"/>
      <c r="CD217" s="324"/>
      <c r="CE217" s="324"/>
      <c r="CF217" s="324"/>
      <c r="CG217" s="324"/>
      <c r="CH217" s="324"/>
      <c r="CI217" s="324"/>
      <c r="CJ217" s="324"/>
      <c r="CK217" s="324"/>
      <c r="CL217" s="324"/>
      <c r="CM217" s="324"/>
      <c r="CN217" s="324"/>
      <c r="CO217" s="324"/>
      <c r="CP217" s="324"/>
      <c r="CQ217" s="324"/>
      <c r="CR217" s="324"/>
      <c r="CS217" s="324"/>
      <c r="CT217" s="324"/>
      <c r="CU217" s="324"/>
      <c r="CV217" s="324"/>
      <c r="CW217" s="324"/>
      <c r="CX217" s="324"/>
      <c r="CY217" s="324"/>
      <c r="CZ217" s="324"/>
      <c r="DA217" s="324"/>
      <c r="DB217" s="324"/>
      <c r="DC217" s="324"/>
      <c r="DD217" s="324"/>
      <c r="DE217" s="324"/>
      <c r="DF217" s="324"/>
      <c r="DG217" s="324"/>
      <c r="DH217" s="324"/>
      <c r="DI217" s="324"/>
      <c r="DJ217" s="324"/>
      <c r="DK217" s="324"/>
      <c r="DL217" s="324"/>
      <c r="DM217" s="324"/>
      <c r="DN217" s="324"/>
      <c r="DO217" s="324"/>
      <c r="DP217" s="324"/>
      <c r="DQ217" s="324"/>
      <c r="DR217" s="324"/>
      <c r="DS217" s="324"/>
      <c r="DT217" s="324"/>
      <c r="DU217" s="324"/>
      <c r="DV217" s="324"/>
      <c r="DW217" s="324"/>
      <c r="DX217" s="324"/>
      <c r="DY217" s="324"/>
      <c r="DZ217" s="324"/>
      <c r="EA217" s="324"/>
      <c r="EB217" s="324"/>
      <c r="EC217" s="324"/>
      <c r="ED217" s="324"/>
      <c r="EE217" s="324"/>
      <c r="EF217" s="324"/>
      <c r="EG217" s="324"/>
      <c r="EH217" s="324"/>
      <c r="EI217" s="324"/>
      <c r="EJ217" s="324"/>
      <c r="EK217" s="324"/>
      <c r="EL217" s="324"/>
      <c r="EM217" s="324"/>
      <c r="EN217" s="324"/>
      <c r="EO217" s="324"/>
      <c r="EP217" s="324"/>
      <c r="EQ217" s="324"/>
      <c r="ER217" s="324"/>
      <c r="ES217" s="324"/>
      <c r="ET217" s="324"/>
      <c r="EU217" s="324"/>
      <c r="EV217" s="324"/>
      <c r="EW217" s="324"/>
      <c r="EX217" s="324"/>
      <c r="EY217" s="324"/>
      <c r="EZ217" s="324"/>
      <c r="FA217" s="324"/>
      <c r="FB217" s="324"/>
      <c r="FC217" s="324"/>
      <c r="FD217" s="324"/>
      <c r="FE217" s="324"/>
      <c r="FF217" s="324"/>
      <c r="FG217" s="324"/>
      <c r="FH217" s="324"/>
      <c r="FI217" s="324"/>
      <c r="FJ217" s="324"/>
      <c r="FK217" s="324"/>
      <c r="FL217" s="324"/>
      <c r="FM217" s="324"/>
      <c r="FN217" s="324"/>
      <c r="FO217" s="324"/>
      <c r="FP217" s="324"/>
      <c r="FQ217" s="324"/>
      <c r="FR217" s="324"/>
      <c r="FS217" s="324"/>
      <c r="FT217" s="324"/>
      <c r="FU217" s="324"/>
      <c r="FV217" s="324"/>
      <c r="FW217" s="324"/>
      <c r="FX217" s="324"/>
      <c r="FY217" s="324"/>
      <c r="FZ217" s="324"/>
      <c r="GA217" s="324"/>
      <c r="GB217" s="324"/>
      <c r="GC217" s="324"/>
      <c r="GD217" s="324"/>
      <c r="GE217" s="324"/>
      <c r="GF217" s="324"/>
      <c r="GG217" s="324"/>
      <c r="GH217" s="324"/>
      <c r="GI217" s="324"/>
      <c r="GJ217" s="324"/>
      <c r="GK217" s="324"/>
      <c r="GL217" s="324"/>
      <c r="GM217" s="324"/>
      <c r="GN217" s="324"/>
      <c r="GO217" s="324"/>
      <c r="GP217" s="324"/>
      <c r="GQ217" s="324"/>
      <c r="GR217" s="324"/>
      <c r="GS217" s="324"/>
      <c r="GT217" s="324"/>
      <c r="GU217" s="324"/>
      <c r="GV217" s="324"/>
      <c r="GW217" s="324"/>
      <c r="GX217" s="324"/>
      <c r="GY217" s="324"/>
      <c r="GZ217" s="324"/>
      <c r="HA217" s="324"/>
      <c r="HB217" s="324"/>
      <c r="HC217" s="324"/>
      <c r="HD217" s="324"/>
      <c r="HE217" s="324"/>
      <c r="HF217" s="324"/>
      <c r="HG217" s="324"/>
      <c r="HH217" s="324"/>
      <c r="HI217" s="324"/>
      <c r="HJ217" s="324"/>
      <c r="HK217" s="324"/>
      <c r="HL217" s="324"/>
      <c r="HM217" s="324"/>
      <c r="HN217" s="324"/>
      <c r="HO217" s="324"/>
      <c r="HP217" s="324"/>
      <c r="HQ217" s="324"/>
      <c r="HR217" s="324"/>
      <c r="HS217" s="324"/>
      <c r="HT217" s="324"/>
      <c r="HU217" s="324"/>
      <c r="HV217" s="324"/>
      <c r="HW217" s="324"/>
      <c r="HX217" s="324"/>
      <c r="HY217" s="324"/>
      <c r="HZ217" s="324"/>
      <c r="IA217" s="324"/>
      <c r="IB217" s="324"/>
      <c r="IC217" s="324"/>
      <c r="ID217" s="324"/>
      <c r="IE217" s="324"/>
      <c r="IF217" s="324"/>
      <c r="IG217" s="324"/>
      <c r="IH217" s="324"/>
      <c r="II217" s="324"/>
      <c r="IJ217" s="324"/>
      <c r="IK217" s="324"/>
      <c r="IL217" s="324"/>
      <c r="IM217" s="324"/>
    </row>
    <row r="218" spans="1:247" x14ac:dyDescent="0.35">
      <c r="A218" s="356">
        <v>8261</v>
      </c>
      <c r="B218" s="357" t="s">
        <v>222</v>
      </c>
      <c r="C218" s="172" t="s">
        <v>223</v>
      </c>
      <c r="D218" s="358" t="s">
        <v>2051</v>
      </c>
      <c r="E218" s="336"/>
      <c r="F218" s="331">
        <f t="shared" si="57"/>
        <v>1.0209999999999999</v>
      </c>
      <c r="G218" s="337"/>
      <c r="H218" s="336"/>
      <c r="I218" s="338"/>
      <c r="J218" s="338"/>
      <c r="K218" s="338"/>
      <c r="L218" s="338"/>
      <c r="M218" s="338"/>
      <c r="N218" s="337"/>
      <c r="O218" s="339"/>
      <c r="P218" s="336">
        <f t="shared" si="59"/>
        <v>1.032</v>
      </c>
      <c r="Q218" s="337">
        <f t="shared" si="60"/>
        <v>1.0349999999999999</v>
      </c>
      <c r="R218" s="340">
        <f t="shared" si="58"/>
        <v>1.0905505199999999</v>
      </c>
      <c r="S218" s="324"/>
      <c r="T218" s="324"/>
      <c r="U218" s="324"/>
      <c r="V218" s="324"/>
      <c r="W218" s="324"/>
      <c r="X218" s="324"/>
      <c r="Y218" s="324"/>
      <c r="Z218" s="324"/>
      <c r="AA218" s="324"/>
      <c r="AB218" s="324"/>
      <c r="AC218" s="324"/>
      <c r="AD218" s="324"/>
      <c r="AE218" s="324"/>
      <c r="AF218" s="324"/>
      <c r="AG218" s="324"/>
      <c r="AH218" s="324"/>
      <c r="AI218" s="324"/>
      <c r="AJ218" s="324"/>
      <c r="AK218" s="324"/>
      <c r="AL218" s="324"/>
      <c r="AM218" s="324"/>
      <c r="AN218" s="324"/>
      <c r="AO218" s="324"/>
      <c r="AP218" s="324"/>
      <c r="AQ218" s="324"/>
      <c r="AR218" s="324"/>
      <c r="AS218" s="324"/>
      <c r="AT218" s="324"/>
      <c r="AU218" s="324"/>
      <c r="AV218" s="324"/>
      <c r="AW218" s="324"/>
      <c r="AX218" s="324"/>
      <c r="AY218" s="324"/>
      <c r="AZ218" s="324"/>
      <c r="BA218" s="324"/>
      <c r="BB218" s="324"/>
      <c r="BC218" s="324"/>
      <c r="BD218" s="324"/>
      <c r="BE218" s="324"/>
      <c r="BF218" s="324"/>
      <c r="BG218" s="324"/>
      <c r="BH218" s="324"/>
      <c r="BI218" s="324"/>
      <c r="BJ218" s="324"/>
      <c r="BK218" s="324"/>
      <c r="BL218" s="324"/>
      <c r="BM218" s="324"/>
      <c r="BN218" s="324"/>
      <c r="BO218" s="324"/>
      <c r="BP218" s="324"/>
      <c r="BQ218" s="324"/>
      <c r="BR218" s="324"/>
      <c r="BS218" s="324"/>
      <c r="BT218" s="324"/>
      <c r="BU218" s="324"/>
      <c r="BV218" s="324"/>
      <c r="BW218" s="324"/>
      <c r="BX218" s="324"/>
      <c r="BY218" s="324"/>
      <c r="BZ218" s="324"/>
      <c r="CA218" s="324"/>
      <c r="CB218" s="324"/>
      <c r="CC218" s="324"/>
      <c r="CD218" s="324"/>
      <c r="CE218" s="324"/>
      <c r="CF218" s="324"/>
      <c r="CG218" s="324"/>
      <c r="CH218" s="324"/>
      <c r="CI218" s="324"/>
      <c r="CJ218" s="324"/>
      <c r="CK218" s="324"/>
      <c r="CL218" s="324"/>
      <c r="CM218" s="324"/>
      <c r="CN218" s="324"/>
      <c r="CO218" s="324"/>
      <c r="CP218" s="324"/>
      <c r="CQ218" s="324"/>
      <c r="CR218" s="324"/>
      <c r="CS218" s="324"/>
      <c r="CT218" s="324"/>
      <c r="CU218" s="324"/>
      <c r="CV218" s="324"/>
      <c r="CW218" s="324"/>
      <c r="CX218" s="324"/>
      <c r="CY218" s="324"/>
      <c r="CZ218" s="324"/>
      <c r="DA218" s="324"/>
      <c r="DB218" s="324"/>
      <c r="DC218" s="324"/>
      <c r="DD218" s="324"/>
      <c r="DE218" s="324"/>
      <c r="DF218" s="324"/>
      <c r="DG218" s="324"/>
      <c r="DH218" s="324"/>
      <c r="DI218" s="324"/>
      <c r="DJ218" s="324"/>
      <c r="DK218" s="324"/>
      <c r="DL218" s="324"/>
      <c r="DM218" s="324"/>
      <c r="DN218" s="324"/>
      <c r="DO218" s="324"/>
      <c r="DP218" s="324"/>
      <c r="DQ218" s="324"/>
      <c r="DR218" s="324"/>
      <c r="DS218" s="324"/>
      <c r="DT218" s="324"/>
      <c r="DU218" s="324"/>
      <c r="DV218" s="324"/>
      <c r="DW218" s="324"/>
      <c r="DX218" s="324"/>
      <c r="DY218" s="324"/>
      <c r="DZ218" s="324"/>
      <c r="EA218" s="324"/>
      <c r="EB218" s="324"/>
      <c r="EC218" s="324"/>
      <c r="ED218" s="324"/>
      <c r="EE218" s="324"/>
      <c r="EF218" s="324"/>
      <c r="EG218" s="324"/>
      <c r="EH218" s="324"/>
      <c r="EI218" s="324"/>
      <c r="EJ218" s="324"/>
      <c r="EK218" s="324"/>
      <c r="EL218" s="324"/>
      <c r="EM218" s="324"/>
      <c r="EN218" s="324"/>
      <c r="EO218" s="324"/>
      <c r="EP218" s="324"/>
      <c r="EQ218" s="324"/>
      <c r="ER218" s="324"/>
      <c r="ES218" s="324"/>
      <c r="ET218" s="324"/>
      <c r="EU218" s="324"/>
      <c r="EV218" s="324"/>
      <c r="EW218" s="324"/>
      <c r="EX218" s="324"/>
      <c r="EY218" s="324"/>
      <c r="EZ218" s="324"/>
      <c r="FA218" s="324"/>
      <c r="FB218" s="324"/>
      <c r="FC218" s="324"/>
      <c r="FD218" s="324"/>
      <c r="FE218" s="324"/>
      <c r="FF218" s="324"/>
      <c r="FG218" s="324"/>
      <c r="FH218" s="324"/>
      <c r="FI218" s="324"/>
      <c r="FJ218" s="324"/>
      <c r="FK218" s="324"/>
      <c r="FL218" s="324"/>
      <c r="FM218" s="324"/>
      <c r="FN218" s="324"/>
      <c r="FO218" s="324"/>
      <c r="FP218" s="324"/>
      <c r="FQ218" s="324"/>
      <c r="FR218" s="324"/>
      <c r="FS218" s="324"/>
      <c r="FT218" s="324"/>
      <c r="FU218" s="324"/>
      <c r="FV218" s="324"/>
      <c r="FW218" s="324"/>
      <c r="FX218" s="324"/>
      <c r="FY218" s="324"/>
      <c r="FZ218" s="324"/>
      <c r="GA218" s="324"/>
      <c r="GB218" s="324"/>
      <c r="GC218" s="324"/>
      <c r="GD218" s="324"/>
      <c r="GE218" s="324"/>
      <c r="GF218" s="324"/>
      <c r="GG218" s="324"/>
      <c r="GH218" s="324"/>
      <c r="GI218" s="324"/>
      <c r="GJ218" s="324"/>
      <c r="GK218" s="324"/>
      <c r="GL218" s="324"/>
      <c r="GM218" s="324"/>
      <c r="GN218" s="324"/>
      <c r="GO218" s="324"/>
      <c r="GP218" s="324"/>
      <c r="GQ218" s="324"/>
      <c r="GR218" s="324"/>
      <c r="GS218" s="324"/>
      <c r="GT218" s="324"/>
      <c r="GU218" s="324"/>
      <c r="GV218" s="324"/>
      <c r="GW218" s="324"/>
      <c r="GX218" s="324"/>
      <c r="GY218" s="324"/>
      <c r="GZ218" s="324"/>
      <c r="HA218" s="324"/>
      <c r="HB218" s="324"/>
      <c r="HC218" s="324"/>
      <c r="HD218" s="324"/>
      <c r="HE218" s="324"/>
      <c r="HF218" s="324"/>
      <c r="HG218" s="324"/>
      <c r="HH218" s="324"/>
      <c r="HI218" s="324"/>
      <c r="HJ218" s="324"/>
      <c r="HK218" s="324"/>
      <c r="HL218" s="324"/>
      <c r="HM218" s="324"/>
      <c r="HN218" s="324"/>
      <c r="HO218" s="324"/>
      <c r="HP218" s="324"/>
      <c r="HQ218" s="324"/>
      <c r="HR218" s="324"/>
      <c r="HS218" s="324"/>
      <c r="HT218" s="324"/>
      <c r="HU218" s="324"/>
      <c r="HV218" s="324"/>
      <c r="HW218" s="324"/>
      <c r="HX218" s="324"/>
      <c r="HY218" s="324"/>
      <c r="HZ218" s="324"/>
      <c r="IA218" s="324"/>
      <c r="IB218" s="324"/>
      <c r="IC218" s="324"/>
      <c r="ID218" s="324"/>
      <c r="IE218" s="324"/>
      <c r="IF218" s="324"/>
      <c r="IG218" s="324"/>
      <c r="IH218" s="324"/>
      <c r="II218" s="324"/>
      <c r="IJ218" s="324"/>
      <c r="IK218" s="324"/>
      <c r="IL218" s="324"/>
      <c r="IM218" s="324"/>
    </row>
    <row r="219" spans="1:247" x14ac:dyDescent="0.35">
      <c r="A219" s="356">
        <v>8271</v>
      </c>
      <c r="B219" s="357" t="s">
        <v>224</v>
      </c>
      <c r="C219" s="172" t="s">
        <v>6</v>
      </c>
      <c r="D219" s="358" t="s">
        <v>2052</v>
      </c>
      <c r="E219" s="336"/>
      <c r="F219" s="331">
        <f t="shared" si="57"/>
        <v>1.0209999999999999</v>
      </c>
      <c r="G219" s="337"/>
      <c r="H219" s="336"/>
      <c r="I219" s="338"/>
      <c r="J219" s="338"/>
      <c r="K219" s="338"/>
      <c r="L219" s="338"/>
      <c r="M219" s="338"/>
      <c r="N219" s="337"/>
      <c r="O219" s="339"/>
      <c r="P219" s="336">
        <f t="shared" si="59"/>
        <v>1.032</v>
      </c>
      <c r="Q219" s="337">
        <f t="shared" si="60"/>
        <v>1.0349999999999999</v>
      </c>
      <c r="R219" s="340">
        <f t="shared" si="58"/>
        <v>1.0905505199999999</v>
      </c>
      <c r="S219" s="324"/>
      <c r="T219" s="324"/>
      <c r="U219" s="324"/>
      <c r="V219" s="324"/>
      <c r="W219" s="324"/>
      <c r="X219" s="324"/>
      <c r="Y219" s="324"/>
      <c r="Z219" s="324"/>
      <c r="AA219" s="324"/>
      <c r="AB219" s="324"/>
      <c r="AC219" s="324"/>
      <c r="AD219" s="324"/>
      <c r="AE219" s="324"/>
      <c r="AF219" s="324"/>
      <c r="AG219" s="324"/>
      <c r="AH219" s="324"/>
      <c r="AI219" s="324"/>
      <c r="AJ219" s="324"/>
      <c r="AK219" s="324"/>
      <c r="AL219" s="324"/>
      <c r="AM219" s="324"/>
      <c r="AN219" s="324"/>
      <c r="AO219" s="324"/>
      <c r="AP219" s="324"/>
      <c r="AQ219" s="324"/>
      <c r="AR219" s="324"/>
      <c r="AS219" s="324"/>
      <c r="AT219" s="324"/>
      <c r="AU219" s="324"/>
      <c r="AV219" s="324"/>
      <c r="AW219" s="324"/>
      <c r="AX219" s="324"/>
      <c r="AY219" s="324"/>
      <c r="AZ219" s="324"/>
      <c r="BA219" s="324"/>
      <c r="BB219" s="324"/>
      <c r="BC219" s="324"/>
      <c r="BD219" s="324"/>
      <c r="BE219" s="324"/>
      <c r="BF219" s="324"/>
      <c r="BG219" s="324"/>
      <c r="BH219" s="324"/>
      <c r="BI219" s="324"/>
      <c r="BJ219" s="324"/>
      <c r="BK219" s="324"/>
      <c r="BL219" s="324"/>
      <c r="BM219" s="324"/>
      <c r="BN219" s="324"/>
      <c r="BO219" s="324"/>
      <c r="BP219" s="324"/>
      <c r="BQ219" s="324"/>
      <c r="BR219" s="324"/>
      <c r="BS219" s="324"/>
      <c r="BT219" s="324"/>
      <c r="BU219" s="324"/>
      <c r="BV219" s="324"/>
      <c r="BW219" s="324"/>
      <c r="BX219" s="324"/>
      <c r="BY219" s="324"/>
      <c r="BZ219" s="324"/>
      <c r="CA219" s="324"/>
      <c r="CB219" s="324"/>
      <c r="CC219" s="324"/>
      <c r="CD219" s="324"/>
      <c r="CE219" s="324"/>
      <c r="CF219" s="324"/>
      <c r="CG219" s="324"/>
      <c r="CH219" s="324"/>
      <c r="CI219" s="324"/>
      <c r="CJ219" s="324"/>
      <c r="CK219" s="324"/>
      <c r="CL219" s="324"/>
      <c r="CM219" s="324"/>
      <c r="CN219" s="324"/>
      <c r="CO219" s="324"/>
      <c r="CP219" s="324"/>
      <c r="CQ219" s="324"/>
      <c r="CR219" s="324"/>
      <c r="CS219" s="324"/>
      <c r="CT219" s="324"/>
      <c r="CU219" s="324"/>
      <c r="CV219" s="324"/>
      <c r="CW219" s="324"/>
      <c r="CX219" s="324"/>
      <c r="CY219" s="324"/>
      <c r="CZ219" s="324"/>
      <c r="DA219" s="324"/>
      <c r="DB219" s="324"/>
      <c r="DC219" s="324"/>
      <c r="DD219" s="324"/>
      <c r="DE219" s="324"/>
      <c r="DF219" s="324"/>
      <c r="DG219" s="324"/>
      <c r="DH219" s="324"/>
      <c r="DI219" s="324"/>
      <c r="DJ219" s="324"/>
      <c r="DK219" s="324"/>
      <c r="DL219" s="324"/>
      <c r="DM219" s="324"/>
      <c r="DN219" s="324"/>
      <c r="DO219" s="324"/>
      <c r="DP219" s="324"/>
      <c r="DQ219" s="324"/>
      <c r="DR219" s="324"/>
      <c r="DS219" s="324"/>
      <c r="DT219" s="324"/>
      <c r="DU219" s="324"/>
      <c r="DV219" s="324"/>
      <c r="DW219" s="324"/>
      <c r="DX219" s="324"/>
      <c r="DY219" s="324"/>
      <c r="DZ219" s="324"/>
      <c r="EA219" s="324"/>
      <c r="EB219" s="324"/>
      <c r="EC219" s="324"/>
      <c r="ED219" s="324"/>
      <c r="EE219" s="324"/>
      <c r="EF219" s="324"/>
      <c r="EG219" s="324"/>
      <c r="EH219" s="324"/>
      <c r="EI219" s="324"/>
      <c r="EJ219" s="324"/>
      <c r="EK219" s="324"/>
      <c r="EL219" s="324"/>
      <c r="EM219" s="324"/>
      <c r="EN219" s="324"/>
      <c r="EO219" s="324"/>
      <c r="EP219" s="324"/>
      <c r="EQ219" s="324"/>
      <c r="ER219" s="324"/>
      <c r="ES219" s="324"/>
      <c r="ET219" s="324"/>
      <c r="EU219" s="324"/>
      <c r="EV219" s="324"/>
      <c r="EW219" s="324"/>
      <c r="EX219" s="324"/>
      <c r="EY219" s="324"/>
      <c r="EZ219" s="324"/>
      <c r="FA219" s="324"/>
      <c r="FB219" s="324"/>
      <c r="FC219" s="324"/>
      <c r="FD219" s="324"/>
      <c r="FE219" s="324"/>
      <c r="FF219" s="324"/>
      <c r="FG219" s="324"/>
      <c r="FH219" s="324"/>
      <c r="FI219" s="324"/>
      <c r="FJ219" s="324"/>
      <c r="FK219" s="324"/>
      <c r="FL219" s="324"/>
      <c r="FM219" s="324"/>
      <c r="FN219" s="324"/>
      <c r="FO219" s="324"/>
      <c r="FP219" s="324"/>
      <c r="FQ219" s="324"/>
      <c r="FR219" s="324"/>
      <c r="FS219" s="324"/>
      <c r="FT219" s="324"/>
      <c r="FU219" s="324"/>
      <c r="FV219" s="324"/>
      <c r="FW219" s="324"/>
      <c r="FX219" s="324"/>
      <c r="FY219" s="324"/>
      <c r="FZ219" s="324"/>
      <c r="GA219" s="324"/>
      <c r="GB219" s="324"/>
      <c r="GC219" s="324"/>
      <c r="GD219" s="324"/>
      <c r="GE219" s="324"/>
      <c r="GF219" s="324"/>
      <c r="GG219" s="324"/>
      <c r="GH219" s="324"/>
      <c r="GI219" s="324"/>
      <c r="GJ219" s="324"/>
      <c r="GK219" s="324"/>
      <c r="GL219" s="324"/>
      <c r="GM219" s="324"/>
      <c r="GN219" s="324"/>
      <c r="GO219" s="324"/>
      <c r="GP219" s="324"/>
      <c r="GQ219" s="324"/>
      <c r="GR219" s="324"/>
      <c r="GS219" s="324"/>
      <c r="GT219" s="324"/>
      <c r="GU219" s="324"/>
      <c r="GV219" s="324"/>
      <c r="GW219" s="324"/>
      <c r="GX219" s="324"/>
      <c r="GY219" s="324"/>
      <c r="GZ219" s="324"/>
      <c r="HA219" s="324"/>
      <c r="HB219" s="324"/>
      <c r="HC219" s="324"/>
      <c r="HD219" s="324"/>
      <c r="HE219" s="324"/>
      <c r="HF219" s="324"/>
      <c r="HG219" s="324"/>
      <c r="HH219" s="324"/>
      <c r="HI219" s="324"/>
      <c r="HJ219" s="324"/>
      <c r="HK219" s="324"/>
      <c r="HL219" s="324"/>
      <c r="HM219" s="324"/>
      <c r="HN219" s="324"/>
      <c r="HO219" s="324"/>
      <c r="HP219" s="324"/>
      <c r="HQ219" s="324"/>
      <c r="HR219" s="324"/>
      <c r="HS219" s="324"/>
      <c r="HT219" s="324"/>
      <c r="HU219" s="324"/>
      <c r="HV219" s="324"/>
      <c r="HW219" s="324"/>
      <c r="HX219" s="324"/>
      <c r="HY219" s="324"/>
      <c r="HZ219" s="324"/>
      <c r="IA219" s="324"/>
      <c r="IB219" s="324"/>
      <c r="IC219" s="324"/>
      <c r="ID219" s="324"/>
      <c r="IE219" s="324"/>
      <c r="IF219" s="324"/>
      <c r="IG219" s="324"/>
      <c r="IH219" s="324"/>
      <c r="II219" s="324"/>
      <c r="IJ219" s="324"/>
      <c r="IK219" s="324"/>
      <c r="IL219" s="324"/>
      <c r="IM219" s="324"/>
    </row>
    <row r="220" spans="1:247" x14ac:dyDescent="0.35">
      <c r="A220" s="356">
        <v>8311</v>
      </c>
      <c r="B220" s="357" t="s">
        <v>225</v>
      </c>
      <c r="C220" s="172" t="s">
        <v>226</v>
      </c>
      <c r="D220" s="358" t="s">
        <v>2051</v>
      </c>
      <c r="E220" s="336"/>
      <c r="F220" s="331">
        <f t="shared" si="57"/>
        <v>1.0209999999999999</v>
      </c>
      <c r="G220" s="337">
        <f>+$G$3</f>
        <v>1.0269999999999999</v>
      </c>
      <c r="H220" s="336"/>
      <c r="I220" s="338"/>
      <c r="J220" s="338"/>
      <c r="K220" s="338"/>
      <c r="L220" s="338"/>
      <c r="M220" s="338"/>
      <c r="N220" s="337"/>
      <c r="O220" s="339"/>
      <c r="P220" s="336">
        <f t="shared" si="59"/>
        <v>1.032</v>
      </c>
      <c r="Q220" s="337">
        <f t="shared" si="60"/>
        <v>1.0349999999999999</v>
      </c>
      <c r="R220" s="340">
        <f t="shared" si="58"/>
        <v>1.1199953840399997</v>
      </c>
      <c r="S220" s="324"/>
      <c r="T220" s="324"/>
      <c r="U220" s="324"/>
      <c r="V220" s="324"/>
      <c r="W220" s="324"/>
      <c r="X220" s="324"/>
      <c r="Y220" s="324"/>
      <c r="Z220" s="324"/>
      <c r="AA220" s="324"/>
      <c r="AB220" s="324"/>
      <c r="AC220" s="324"/>
      <c r="AD220" s="324"/>
      <c r="AE220" s="324"/>
      <c r="AF220" s="324"/>
      <c r="AG220" s="324"/>
      <c r="AH220" s="324"/>
      <c r="AI220" s="324"/>
      <c r="AJ220" s="324"/>
      <c r="AK220" s="324"/>
      <c r="AL220" s="324"/>
      <c r="AM220" s="324"/>
      <c r="AN220" s="324"/>
      <c r="AO220" s="324"/>
      <c r="AP220" s="324"/>
      <c r="AQ220" s="324"/>
      <c r="AR220" s="324"/>
      <c r="AS220" s="324"/>
      <c r="AT220" s="324"/>
      <c r="AU220" s="324"/>
      <c r="AV220" s="324"/>
      <c r="AW220" s="324"/>
      <c r="AX220" s="324"/>
      <c r="AY220" s="324"/>
      <c r="AZ220" s="324"/>
      <c r="BA220" s="324"/>
      <c r="BB220" s="324"/>
      <c r="BC220" s="324"/>
      <c r="BD220" s="324"/>
      <c r="BE220" s="324"/>
      <c r="BF220" s="324"/>
      <c r="BG220" s="324"/>
      <c r="BH220" s="324"/>
      <c r="BI220" s="324"/>
      <c r="BJ220" s="324"/>
      <c r="BK220" s="324"/>
      <c r="BL220" s="324"/>
      <c r="BM220" s="324"/>
      <c r="BN220" s="324"/>
      <c r="BO220" s="324"/>
      <c r="BP220" s="324"/>
      <c r="BQ220" s="324"/>
      <c r="BR220" s="324"/>
      <c r="BS220" s="324"/>
      <c r="BT220" s="324"/>
      <c r="BU220" s="324"/>
      <c r="BV220" s="324"/>
      <c r="BW220" s="324"/>
      <c r="BX220" s="324"/>
      <c r="BY220" s="324"/>
      <c r="BZ220" s="324"/>
      <c r="CA220" s="324"/>
      <c r="CB220" s="324"/>
      <c r="CC220" s="324"/>
      <c r="CD220" s="324"/>
      <c r="CE220" s="324"/>
      <c r="CF220" s="324"/>
      <c r="CG220" s="324"/>
      <c r="CH220" s="324"/>
      <c r="CI220" s="324"/>
      <c r="CJ220" s="324"/>
      <c r="CK220" s="324"/>
      <c r="CL220" s="324"/>
      <c r="CM220" s="324"/>
      <c r="CN220" s="324"/>
      <c r="CO220" s="324"/>
      <c r="CP220" s="324"/>
      <c r="CQ220" s="324"/>
      <c r="CR220" s="324"/>
      <c r="CS220" s="324"/>
      <c r="CT220" s="324"/>
      <c r="CU220" s="324"/>
      <c r="CV220" s="324"/>
      <c r="CW220" s="324"/>
      <c r="CX220" s="324"/>
      <c r="CY220" s="324"/>
      <c r="CZ220" s="324"/>
      <c r="DA220" s="324"/>
      <c r="DB220" s="324"/>
      <c r="DC220" s="324"/>
      <c r="DD220" s="324"/>
      <c r="DE220" s="324"/>
      <c r="DF220" s="324"/>
      <c r="DG220" s="324"/>
      <c r="DH220" s="324"/>
      <c r="DI220" s="324"/>
      <c r="DJ220" s="324"/>
      <c r="DK220" s="324"/>
      <c r="DL220" s="324"/>
      <c r="DM220" s="324"/>
      <c r="DN220" s="324"/>
      <c r="DO220" s="324"/>
      <c r="DP220" s="324"/>
      <c r="DQ220" s="324"/>
      <c r="DR220" s="324"/>
      <c r="DS220" s="324"/>
      <c r="DT220" s="324"/>
      <c r="DU220" s="324"/>
      <c r="DV220" s="324"/>
      <c r="DW220" s="324"/>
      <c r="DX220" s="324"/>
      <c r="DY220" s="324"/>
      <c r="DZ220" s="324"/>
      <c r="EA220" s="324"/>
      <c r="EB220" s="324"/>
      <c r="EC220" s="324"/>
      <c r="ED220" s="324"/>
      <c r="EE220" s="324"/>
      <c r="EF220" s="324"/>
      <c r="EG220" s="324"/>
      <c r="EH220" s="324"/>
      <c r="EI220" s="324"/>
      <c r="EJ220" s="324"/>
      <c r="EK220" s="324"/>
      <c r="EL220" s="324"/>
      <c r="EM220" s="324"/>
      <c r="EN220" s="324"/>
      <c r="EO220" s="324"/>
      <c r="EP220" s="324"/>
      <c r="EQ220" s="324"/>
      <c r="ER220" s="324"/>
      <c r="ES220" s="324"/>
      <c r="ET220" s="324"/>
      <c r="EU220" s="324"/>
      <c r="EV220" s="324"/>
      <c r="EW220" s="324"/>
      <c r="EX220" s="324"/>
      <c r="EY220" s="324"/>
      <c r="EZ220" s="324"/>
      <c r="FA220" s="324"/>
      <c r="FB220" s="324"/>
      <c r="FC220" s="324"/>
      <c r="FD220" s="324"/>
      <c r="FE220" s="324"/>
      <c r="FF220" s="324"/>
      <c r="FG220" s="324"/>
      <c r="FH220" s="324"/>
      <c r="FI220" s="324"/>
      <c r="FJ220" s="324"/>
      <c r="FK220" s="324"/>
      <c r="FL220" s="324"/>
      <c r="FM220" s="324"/>
      <c r="FN220" s="324"/>
      <c r="FO220" s="324"/>
      <c r="FP220" s="324"/>
      <c r="FQ220" s="324"/>
      <c r="FR220" s="324"/>
      <c r="FS220" s="324"/>
      <c r="FT220" s="324"/>
      <c r="FU220" s="324"/>
      <c r="FV220" s="324"/>
      <c r="FW220" s="324"/>
      <c r="FX220" s="324"/>
      <c r="FY220" s="324"/>
      <c r="FZ220" s="324"/>
      <c r="GA220" s="324"/>
      <c r="GB220" s="324"/>
      <c r="GC220" s="324"/>
      <c r="GD220" s="324"/>
      <c r="GE220" s="324"/>
      <c r="GF220" s="324"/>
      <c r="GG220" s="324"/>
      <c r="GH220" s="324"/>
      <c r="GI220" s="324"/>
      <c r="GJ220" s="324"/>
      <c r="GK220" s="324"/>
      <c r="GL220" s="324"/>
      <c r="GM220" s="324"/>
      <c r="GN220" s="324"/>
      <c r="GO220" s="324"/>
      <c r="GP220" s="324"/>
      <c r="GQ220" s="324"/>
      <c r="GR220" s="324"/>
      <c r="GS220" s="324"/>
      <c r="GT220" s="324"/>
      <c r="GU220" s="324"/>
      <c r="GV220" s="324"/>
      <c r="GW220" s="324"/>
      <c r="GX220" s="324"/>
      <c r="GY220" s="324"/>
      <c r="GZ220" s="324"/>
      <c r="HA220" s="324"/>
      <c r="HB220" s="324"/>
      <c r="HC220" s="324"/>
      <c r="HD220" s="324"/>
      <c r="HE220" s="324"/>
      <c r="HF220" s="324"/>
      <c r="HG220" s="324"/>
      <c r="HH220" s="324"/>
      <c r="HI220" s="324"/>
      <c r="HJ220" s="324"/>
      <c r="HK220" s="324"/>
      <c r="HL220" s="324"/>
      <c r="HM220" s="324"/>
      <c r="HN220" s="324"/>
      <c r="HO220" s="324"/>
      <c r="HP220" s="324"/>
      <c r="HQ220" s="324"/>
      <c r="HR220" s="324"/>
      <c r="HS220" s="324"/>
      <c r="HT220" s="324"/>
      <c r="HU220" s="324"/>
      <c r="HV220" s="324"/>
      <c r="HW220" s="324"/>
      <c r="HX220" s="324"/>
      <c r="HY220" s="324"/>
      <c r="HZ220" s="324"/>
      <c r="IA220" s="324"/>
      <c r="IB220" s="324"/>
      <c r="IC220" s="324"/>
      <c r="ID220" s="324"/>
      <c r="IE220" s="324"/>
      <c r="IF220" s="324"/>
      <c r="IG220" s="324"/>
      <c r="IH220" s="324"/>
      <c r="II220" s="324"/>
      <c r="IJ220" s="324"/>
      <c r="IK220" s="324"/>
      <c r="IL220" s="324"/>
      <c r="IM220" s="324"/>
    </row>
    <row r="221" spans="1:247" x14ac:dyDescent="0.35">
      <c r="A221" s="356">
        <v>8312</v>
      </c>
      <c r="B221" s="357" t="s">
        <v>227</v>
      </c>
      <c r="C221" s="172" t="s">
        <v>226</v>
      </c>
      <c r="D221" s="358" t="s">
        <v>2051</v>
      </c>
      <c r="E221" s="336"/>
      <c r="F221" s="331">
        <f t="shared" si="57"/>
        <v>1.0209999999999999</v>
      </c>
      <c r="G221" s="337">
        <f>+$G$3</f>
        <v>1.0269999999999999</v>
      </c>
      <c r="H221" s="336"/>
      <c r="I221" s="338"/>
      <c r="J221" s="338"/>
      <c r="K221" s="338"/>
      <c r="L221" s="338"/>
      <c r="M221" s="338"/>
      <c r="N221" s="337"/>
      <c r="O221" s="339"/>
      <c r="P221" s="336">
        <f t="shared" si="59"/>
        <v>1.032</v>
      </c>
      <c r="Q221" s="337">
        <f t="shared" si="60"/>
        <v>1.0349999999999999</v>
      </c>
      <c r="R221" s="340">
        <f t="shared" si="58"/>
        <v>1.1199953840399997</v>
      </c>
      <c r="S221" s="324"/>
      <c r="T221" s="324"/>
      <c r="U221" s="324"/>
      <c r="V221" s="324"/>
      <c r="W221" s="324"/>
      <c r="X221" s="324"/>
      <c r="Y221" s="324"/>
      <c r="Z221" s="324"/>
      <c r="AA221" s="324"/>
      <c r="AB221" s="324"/>
      <c r="AC221" s="324"/>
      <c r="AD221" s="324"/>
      <c r="AE221" s="324"/>
      <c r="AF221" s="324"/>
      <c r="AG221" s="324"/>
      <c r="AH221" s="324"/>
      <c r="AI221" s="324"/>
      <c r="AJ221" s="324"/>
      <c r="AK221" s="324"/>
      <c r="AL221" s="324"/>
      <c r="AM221" s="324"/>
      <c r="AN221" s="324"/>
      <c r="AO221" s="324"/>
      <c r="AP221" s="324"/>
      <c r="AQ221" s="324"/>
      <c r="AR221" s="324"/>
      <c r="AS221" s="324"/>
      <c r="AT221" s="324"/>
      <c r="AU221" s="324"/>
      <c r="AV221" s="324"/>
      <c r="AW221" s="324"/>
      <c r="AX221" s="324"/>
      <c r="AY221" s="324"/>
      <c r="AZ221" s="324"/>
      <c r="BA221" s="324"/>
      <c r="BB221" s="324"/>
      <c r="BC221" s="324"/>
      <c r="BD221" s="324"/>
      <c r="BE221" s="324"/>
      <c r="BF221" s="324"/>
      <c r="BG221" s="324"/>
      <c r="BH221" s="324"/>
      <c r="BI221" s="324"/>
      <c r="BJ221" s="324"/>
      <c r="BK221" s="324"/>
      <c r="BL221" s="324"/>
      <c r="BM221" s="324"/>
      <c r="BN221" s="324"/>
      <c r="BO221" s="324"/>
      <c r="BP221" s="324"/>
      <c r="BQ221" s="324"/>
      <c r="BR221" s="324"/>
      <c r="BS221" s="324"/>
      <c r="BT221" s="324"/>
      <c r="BU221" s="324"/>
      <c r="BV221" s="324"/>
      <c r="BW221" s="324"/>
      <c r="BX221" s="324"/>
      <c r="BY221" s="324"/>
      <c r="BZ221" s="324"/>
      <c r="CA221" s="324"/>
      <c r="CB221" s="324"/>
      <c r="CC221" s="324"/>
      <c r="CD221" s="324"/>
      <c r="CE221" s="324"/>
      <c r="CF221" s="324"/>
      <c r="CG221" s="324"/>
      <c r="CH221" s="324"/>
      <c r="CI221" s="324"/>
      <c r="CJ221" s="324"/>
      <c r="CK221" s="324"/>
      <c r="CL221" s="324"/>
      <c r="CM221" s="324"/>
      <c r="CN221" s="324"/>
      <c r="CO221" s="324"/>
      <c r="CP221" s="324"/>
      <c r="CQ221" s="324"/>
      <c r="CR221" s="324"/>
      <c r="CS221" s="324"/>
      <c r="CT221" s="324"/>
      <c r="CU221" s="324"/>
      <c r="CV221" s="324"/>
      <c r="CW221" s="324"/>
      <c r="CX221" s="324"/>
      <c r="CY221" s="324"/>
      <c r="CZ221" s="324"/>
      <c r="DA221" s="324"/>
      <c r="DB221" s="324"/>
      <c r="DC221" s="324"/>
      <c r="DD221" s="324"/>
      <c r="DE221" s="324"/>
      <c r="DF221" s="324"/>
      <c r="DG221" s="324"/>
      <c r="DH221" s="324"/>
      <c r="DI221" s="324"/>
      <c r="DJ221" s="324"/>
      <c r="DK221" s="324"/>
      <c r="DL221" s="324"/>
      <c r="DM221" s="324"/>
      <c r="DN221" s="324"/>
      <c r="DO221" s="324"/>
      <c r="DP221" s="324"/>
      <c r="DQ221" s="324"/>
      <c r="DR221" s="324"/>
      <c r="DS221" s="324"/>
      <c r="DT221" s="324"/>
      <c r="DU221" s="324"/>
      <c r="DV221" s="324"/>
      <c r="DW221" s="324"/>
      <c r="DX221" s="324"/>
      <c r="DY221" s="324"/>
      <c r="DZ221" s="324"/>
      <c r="EA221" s="324"/>
      <c r="EB221" s="324"/>
      <c r="EC221" s="324"/>
      <c r="ED221" s="324"/>
      <c r="EE221" s="324"/>
      <c r="EF221" s="324"/>
      <c r="EG221" s="324"/>
      <c r="EH221" s="324"/>
      <c r="EI221" s="324"/>
      <c r="EJ221" s="324"/>
      <c r="EK221" s="324"/>
      <c r="EL221" s="324"/>
      <c r="EM221" s="324"/>
      <c r="EN221" s="324"/>
      <c r="EO221" s="324"/>
      <c r="EP221" s="324"/>
      <c r="EQ221" s="324"/>
      <c r="ER221" s="324"/>
      <c r="ES221" s="324"/>
      <c r="ET221" s="324"/>
      <c r="EU221" s="324"/>
      <c r="EV221" s="324"/>
      <c r="EW221" s="324"/>
      <c r="EX221" s="324"/>
      <c r="EY221" s="324"/>
      <c r="EZ221" s="324"/>
      <c r="FA221" s="324"/>
      <c r="FB221" s="324"/>
      <c r="FC221" s="324"/>
      <c r="FD221" s="324"/>
      <c r="FE221" s="324"/>
      <c r="FF221" s="324"/>
      <c r="FG221" s="324"/>
      <c r="FH221" s="324"/>
      <c r="FI221" s="324"/>
      <c r="FJ221" s="324"/>
      <c r="FK221" s="324"/>
      <c r="FL221" s="324"/>
      <c r="FM221" s="324"/>
      <c r="FN221" s="324"/>
      <c r="FO221" s="324"/>
      <c r="FP221" s="324"/>
      <c r="FQ221" s="324"/>
      <c r="FR221" s="324"/>
      <c r="FS221" s="324"/>
      <c r="FT221" s="324"/>
      <c r="FU221" s="324"/>
      <c r="FV221" s="324"/>
      <c r="FW221" s="324"/>
      <c r="FX221" s="324"/>
      <c r="FY221" s="324"/>
      <c r="FZ221" s="324"/>
      <c r="GA221" s="324"/>
      <c r="GB221" s="324"/>
      <c r="GC221" s="324"/>
      <c r="GD221" s="324"/>
      <c r="GE221" s="324"/>
      <c r="GF221" s="324"/>
      <c r="GG221" s="324"/>
      <c r="GH221" s="324"/>
      <c r="GI221" s="324"/>
      <c r="GJ221" s="324"/>
      <c r="GK221" s="324"/>
      <c r="GL221" s="324"/>
      <c r="GM221" s="324"/>
      <c r="GN221" s="324"/>
      <c r="GO221" s="324"/>
      <c r="GP221" s="324"/>
      <c r="GQ221" s="324"/>
      <c r="GR221" s="324"/>
      <c r="GS221" s="324"/>
      <c r="GT221" s="324"/>
      <c r="GU221" s="324"/>
      <c r="GV221" s="324"/>
      <c r="GW221" s="324"/>
      <c r="GX221" s="324"/>
      <c r="GY221" s="324"/>
      <c r="GZ221" s="324"/>
      <c r="HA221" s="324"/>
      <c r="HB221" s="324"/>
      <c r="HC221" s="324"/>
      <c r="HD221" s="324"/>
      <c r="HE221" s="324"/>
      <c r="HF221" s="324"/>
      <c r="HG221" s="324"/>
      <c r="HH221" s="324"/>
      <c r="HI221" s="324"/>
      <c r="HJ221" s="324"/>
      <c r="HK221" s="324"/>
      <c r="HL221" s="324"/>
      <c r="HM221" s="324"/>
      <c r="HN221" s="324"/>
      <c r="HO221" s="324"/>
      <c r="HP221" s="324"/>
      <c r="HQ221" s="324"/>
      <c r="HR221" s="324"/>
      <c r="HS221" s="324"/>
      <c r="HT221" s="324"/>
      <c r="HU221" s="324"/>
      <c r="HV221" s="324"/>
      <c r="HW221" s="324"/>
      <c r="HX221" s="324"/>
      <c r="HY221" s="324"/>
      <c r="HZ221" s="324"/>
      <c r="IA221" s="324"/>
      <c r="IB221" s="324"/>
      <c r="IC221" s="324"/>
      <c r="ID221" s="324"/>
      <c r="IE221" s="324"/>
      <c r="IF221" s="324"/>
      <c r="IG221" s="324"/>
      <c r="IH221" s="324"/>
      <c r="II221" s="324"/>
      <c r="IJ221" s="324"/>
      <c r="IK221" s="324"/>
      <c r="IL221" s="324"/>
      <c r="IM221" s="324"/>
    </row>
    <row r="222" spans="1:247" x14ac:dyDescent="0.35">
      <c r="A222" s="356">
        <v>8313</v>
      </c>
      <c r="B222" s="357" t="s">
        <v>228</v>
      </c>
      <c r="C222" s="172" t="s">
        <v>226</v>
      </c>
      <c r="D222" s="358" t="s">
        <v>2051</v>
      </c>
      <c r="E222" s="336"/>
      <c r="F222" s="331">
        <f t="shared" si="57"/>
        <v>1.0209999999999999</v>
      </c>
      <c r="G222" s="337">
        <f>+$G$3</f>
        <v>1.0269999999999999</v>
      </c>
      <c r="H222" s="336"/>
      <c r="I222" s="338"/>
      <c r="J222" s="338"/>
      <c r="K222" s="338"/>
      <c r="L222" s="338"/>
      <c r="M222" s="338"/>
      <c r="N222" s="337"/>
      <c r="O222" s="339"/>
      <c r="P222" s="336">
        <f t="shared" si="59"/>
        <v>1.032</v>
      </c>
      <c r="Q222" s="337">
        <f t="shared" si="60"/>
        <v>1.0349999999999999</v>
      </c>
      <c r="R222" s="340">
        <f t="shared" si="58"/>
        <v>1.1199953840399997</v>
      </c>
      <c r="S222" s="324"/>
      <c r="T222" s="324"/>
      <c r="U222" s="324"/>
      <c r="V222" s="324"/>
      <c r="W222" s="324"/>
      <c r="X222" s="324"/>
      <c r="Y222" s="324"/>
      <c r="Z222" s="324"/>
      <c r="AA222" s="324"/>
      <c r="AB222" s="324"/>
      <c r="AC222" s="324"/>
      <c r="AD222" s="324"/>
      <c r="AE222" s="324"/>
      <c r="AF222" s="324"/>
      <c r="AG222" s="324"/>
      <c r="AH222" s="324"/>
      <c r="AI222" s="324"/>
      <c r="AJ222" s="324"/>
      <c r="AK222" s="324"/>
      <c r="AL222" s="324"/>
      <c r="AM222" s="324"/>
      <c r="AN222" s="324"/>
      <c r="AO222" s="324"/>
      <c r="AP222" s="324"/>
      <c r="AQ222" s="324"/>
      <c r="AR222" s="324"/>
      <c r="AS222" s="324"/>
      <c r="AT222" s="324"/>
      <c r="AU222" s="324"/>
      <c r="AV222" s="324"/>
      <c r="AW222" s="324"/>
      <c r="AX222" s="324"/>
      <c r="AY222" s="324"/>
      <c r="AZ222" s="324"/>
      <c r="BA222" s="324"/>
      <c r="BB222" s="324"/>
      <c r="BC222" s="324"/>
      <c r="BD222" s="324"/>
      <c r="BE222" s="324"/>
      <c r="BF222" s="324"/>
      <c r="BG222" s="324"/>
      <c r="BH222" s="324"/>
      <c r="BI222" s="324"/>
      <c r="BJ222" s="324"/>
      <c r="BK222" s="324"/>
      <c r="BL222" s="324"/>
      <c r="BM222" s="324"/>
      <c r="BN222" s="324"/>
      <c r="BO222" s="324"/>
      <c r="BP222" s="324"/>
      <c r="BQ222" s="324"/>
      <c r="BR222" s="324"/>
      <c r="BS222" s="324"/>
      <c r="BT222" s="324"/>
      <c r="BU222" s="324"/>
      <c r="BV222" s="324"/>
      <c r="BW222" s="324"/>
      <c r="BX222" s="324"/>
      <c r="BY222" s="324"/>
      <c r="BZ222" s="324"/>
      <c r="CA222" s="324"/>
      <c r="CB222" s="324"/>
      <c r="CC222" s="324"/>
      <c r="CD222" s="324"/>
      <c r="CE222" s="324"/>
      <c r="CF222" s="324"/>
      <c r="CG222" s="324"/>
      <c r="CH222" s="324"/>
      <c r="CI222" s="324"/>
      <c r="CJ222" s="324"/>
      <c r="CK222" s="324"/>
      <c r="CL222" s="324"/>
      <c r="CM222" s="324"/>
      <c r="CN222" s="324"/>
      <c r="CO222" s="324"/>
      <c r="CP222" s="324"/>
      <c r="CQ222" s="324"/>
      <c r="CR222" s="324"/>
      <c r="CS222" s="324"/>
      <c r="CT222" s="324"/>
      <c r="CU222" s="324"/>
      <c r="CV222" s="324"/>
      <c r="CW222" s="324"/>
      <c r="CX222" s="324"/>
      <c r="CY222" s="324"/>
      <c r="CZ222" s="324"/>
      <c r="DA222" s="324"/>
      <c r="DB222" s="324"/>
      <c r="DC222" s="324"/>
      <c r="DD222" s="324"/>
      <c r="DE222" s="324"/>
      <c r="DF222" s="324"/>
      <c r="DG222" s="324"/>
      <c r="DH222" s="324"/>
      <c r="DI222" s="324"/>
      <c r="DJ222" s="324"/>
      <c r="DK222" s="324"/>
      <c r="DL222" s="324"/>
      <c r="DM222" s="324"/>
      <c r="DN222" s="324"/>
      <c r="DO222" s="324"/>
      <c r="DP222" s="324"/>
      <c r="DQ222" s="324"/>
      <c r="DR222" s="324"/>
      <c r="DS222" s="324"/>
      <c r="DT222" s="324"/>
      <c r="DU222" s="324"/>
      <c r="DV222" s="324"/>
      <c r="DW222" s="324"/>
      <c r="DX222" s="324"/>
      <c r="DY222" s="324"/>
      <c r="DZ222" s="324"/>
      <c r="EA222" s="324"/>
      <c r="EB222" s="324"/>
      <c r="EC222" s="324"/>
      <c r="ED222" s="324"/>
      <c r="EE222" s="324"/>
      <c r="EF222" s="324"/>
      <c r="EG222" s="324"/>
      <c r="EH222" s="324"/>
      <c r="EI222" s="324"/>
      <c r="EJ222" s="324"/>
      <c r="EK222" s="324"/>
      <c r="EL222" s="324"/>
      <c r="EM222" s="324"/>
      <c r="EN222" s="324"/>
      <c r="EO222" s="324"/>
      <c r="EP222" s="324"/>
      <c r="EQ222" s="324"/>
      <c r="ER222" s="324"/>
      <c r="ES222" s="324"/>
      <c r="ET222" s="324"/>
      <c r="EU222" s="324"/>
      <c r="EV222" s="324"/>
      <c r="EW222" s="324"/>
      <c r="EX222" s="324"/>
      <c r="EY222" s="324"/>
      <c r="EZ222" s="324"/>
      <c r="FA222" s="324"/>
      <c r="FB222" s="324"/>
      <c r="FC222" s="324"/>
      <c r="FD222" s="324"/>
      <c r="FE222" s="324"/>
      <c r="FF222" s="324"/>
      <c r="FG222" s="324"/>
      <c r="FH222" s="324"/>
      <c r="FI222" s="324"/>
      <c r="FJ222" s="324"/>
      <c r="FK222" s="324"/>
      <c r="FL222" s="324"/>
      <c r="FM222" s="324"/>
      <c r="FN222" s="324"/>
      <c r="FO222" s="324"/>
      <c r="FP222" s="324"/>
      <c r="FQ222" s="324"/>
      <c r="FR222" s="324"/>
      <c r="FS222" s="324"/>
      <c r="FT222" s="324"/>
      <c r="FU222" s="324"/>
      <c r="FV222" s="324"/>
      <c r="FW222" s="324"/>
      <c r="FX222" s="324"/>
      <c r="FY222" s="324"/>
      <c r="FZ222" s="324"/>
      <c r="GA222" s="324"/>
      <c r="GB222" s="324"/>
      <c r="GC222" s="324"/>
      <c r="GD222" s="324"/>
      <c r="GE222" s="324"/>
      <c r="GF222" s="324"/>
      <c r="GG222" s="324"/>
      <c r="GH222" s="324"/>
      <c r="GI222" s="324"/>
      <c r="GJ222" s="324"/>
      <c r="GK222" s="324"/>
      <c r="GL222" s="324"/>
      <c r="GM222" s="324"/>
      <c r="GN222" s="324"/>
      <c r="GO222" s="324"/>
      <c r="GP222" s="324"/>
      <c r="GQ222" s="324"/>
      <c r="GR222" s="324"/>
      <c r="GS222" s="324"/>
      <c r="GT222" s="324"/>
      <c r="GU222" s="324"/>
      <c r="GV222" s="324"/>
      <c r="GW222" s="324"/>
      <c r="GX222" s="324"/>
      <c r="GY222" s="324"/>
      <c r="GZ222" s="324"/>
      <c r="HA222" s="324"/>
      <c r="HB222" s="324"/>
      <c r="HC222" s="324"/>
      <c r="HD222" s="324"/>
      <c r="HE222" s="324"/>
      <c r="HF222" s="324"/>
      <c r="HG222" s="324"/>
      <c r="HH222" s="324"/>
      <c r="HI222" s="324"/>
      <c r="HJ222" s="324"/>
      <c r="HK222" s="324"/>
      <c r="HL222" s="324"/>
      <c r="HM222" s="324"/>
      <c r="HN222" s="324"/>
      <c r="HO222" s="324"/>
      <c r="HP222" s="324"/>
      <c r="HQ222" s="324"/>
      <c r="HR222" s="324"/>
      <c r="HS222" s="324"/>
      <c r="HT222" s="324"/>
      <c r="HU222" s="324"/>
      <c r="HV222" s="324"/>
      <c r="HW222" s="324"/>
      <c r="HX222" s="324"/>
      <c r="HY222" s="324"/>
      <c r="HZ222" s="324"/>
      <c r="IA222" s="324"/>
      <c r="IB222" s="324"/>
      <c r="IC222" s="324"/>
      <c r="ID222" s="324"/>
      <c r="IE222" s="324"/>
      <c r="IF222" s="324"/>
      <c r="IG222" s="324"/>
      <c r="IH222" s="324"/>
      <c r="II222" s="324"/>
      <c r="IJ222" s="324"/>
      <c r="IK222" s="324"/>
      <c r="IL222" s="324"/>
      <c r="IM222" s="324"/>
    </row>
    <row r="223" spans="1:247" x14ac:dyDescent="0.35">
      <c r="A223" s="356">
        <v>8314</v>
      </c>
      <c r="B223" s="357" t="s">
        <v>229</v>
      </c>
      <c r="C223" s="172" t="s">
        <v>5</v>
      </c>
      <c r="D223" s="358" t="s">
        <v>2051</v>
      </c>
      <c r="E223" s="336"/>
      <c r="F223" s="331">
        <f t="shared" si="57"/>
        <v>1.0209999999999999</v>
      </c>
      <c r="G223" s="337"/>
      <c r="H223" s="336"/>
      <c r="I223" s="338"/>
      <c r="J223" s="338"/>
      <c r="K223" s="338"/>
      <c r="L223" s="338"/>
      <c r="M223" s="338"/>
      <c r="N223" s="337"/>
      <c r="O223" s="339"/>
      <c r="P223" s="336">
        <f t="shared" si="59"/>
        <v>1.032</v>
      </c>
      <c r="Q223" s="337">
        <f t="shared" si="60"/>
        <v>1.0349999999999999</v>
      </c>
      <c r="R223" s="340">
        <f t="shared" si="58"/>
        <v>1.0905505199999999</v>
      </c>
      <c r="S223" s="324"/>
      <c r="T223" s="324"/>
      <c r="U223" s="324"/>
      <c r="V223" s="324"/>
      <c r="W223" s="324"/>
      <c r="X223" s="324"/>
      <c r="Y223" s="324"/>
      <c r="Z223" s="324"/>
      <c r="AA223" s="324"/>
      <c r="AB223" s="324"/>
      <c r="AC223" s="324"/>
      <c r="AD223" s="324"/>
      <c r="AE223" s="324"/>
      <c r="AF223" s="324"/>
      <c r="AG223" s="324"/>
      <c r="AH223" s="324"/>
      <c r="AI223" s="324"/>
      <c r="AJ223" s="324"/>
      <c r="AK223" s="324"/>
      <c r="AL223" s="324"/>
      <c r="AM223" s="324"/>
      <c r="AN223" s="324"/>
      <c r="AO223" s="324"/>
      <c r="AP223" s="324"/>
      <c r="AQ223" s="324"/>
      <c r="AR223" s="324"/>
      <c r="AS223" s="324"/>
      <c r="AT223" s="324"/>
      <c r="AU223" s="324"/>
      <c r="AV223" s="324"/>
      <c r="AW223" s="324"/>
      <c r="AX223" s="324"/>
      <c r="AY223" s="324"/>
      <c r="AZ223" s="324"/>
      <c r="BA223" s="324"/>
      <c r="BB223" s="324"/>
      <c r="BC223" s="324"/>
      <c r="BD223" s="324"/>
      <c r="BE223" s="324"/>
      <c r="BF223" s="324"/>
      <c r="BG223" s="324"/>
      <c r="BH223" s="324"/>
      <c r="BI223" s="324"/>
      <c r="BJ223" s="324"/>
      <c r="BK223" s="324"/>
      <c r="BL223" s="324"/>
      <c r="BM223" s="324"/>
      <c r="BN223" s="324"/>
      <c r="BO223" s="324"/>
      <c r="BP223" s="324"/>
      <c r="BQ223" s="324"/>
      <c r="BR223" s="324"/>
      <c r="BS223" s="324"/>
      <c r="BT223" s="324"/>
      <c r="BU223" s="324"/>
      <c r="BV223" s="324"/>
      <c r="BW223" s="324"/>
      <c r="BX223" s="324"/>
      <c r="BY223" s="324"/>
      <c r="BZ223" s="324"/>
      <c r="CA223" s="324"/>
      <c r="CB223" s="324"/>
      <c r="CC223" s="324"/>
      <c r="CD223" s="324"/>
      <c r="CE223" s="324"/>
      <c r="CF223" s="324"/>
      <c r="CG223" s="324"/>
      <c r="CH223" s="324"/>
      <c r="CI223" s="324"/>
      <c r="CJ223" s="324"/>
      <c r="CK223" s="324"/>
      <c r="CL223" s="324"/>
      <c r="CM223" s="324"/>
      <c r="CN223" s="324"/>
      <c r="CO223" s="324"/>
      <c r="CP223" s="324"/>
      <c r="CQ223" s="324"/>
      <c r="CR223" s="324"/>
      <c r="CS223" s="324"/>
      <c r="CT223" s="324"/>
      <c r="CU223" s="324"/>
      <c r="CV223" s="324"/>
      <c r="CW223" s="324"/>
      <c r="CX223" s="324"/>
      <c r="CY223" s="324"/>
      <c r="CZ223" s="324"/>
      <c r="DA223" s="324"/>
      <c r="DB223" s="324"/>
      <c r="DC223" s="324"/>
      <c r="DD223" s="324"/>
      <c r="DE223" s="324"/>
      <c r="DF223" s="324"/>
      <c r="DG223" s="324"/>
      <c r="DH223" s="324"/>
      <c r="DI223" s="324"/>
      <c r="DJ223" s="324"/>
      <c r="DK223" s="324"/>
      <c r="DL223" s="324"/>
      <c r="DM223" s="324"/>
      <c r="DN223" s="324"/>
      <c r="DO223" s="324"/>
      <c r="DP223" s="324"/>
      <c r="DQ223" s="324"/>
      <c r="DR223" s="324"/>
      <c r="DS223" s="324"/>
      <c r="DT223" s="324"/>
      <c r="DU223" s="324"/>
      <c r="DV223" s="324"/>
      <c r="DW223" s="324"/>
      <c r="DX223" s="324"/>
      <c r="DY223" s="324"/>
      <c r="DZ223" s="324"/>
      <c r="EA223" s="324"/>
      <c r="EB223" s="324"/>
      <c r="EC223" s="324"/>
      <c r="ED223" s="324"/>
      <c r="EE223" s="324"/>
      <c r="EF223" s="324"/>
      <c r="EG223" s="324"/>
      <c r="EH223" s="324"/>
      <c r="EI223" s="324"/>
      <c r="EJ223" s="324"/>
      <c r="EK223" s="324"/>
      <c r="EL223" s="324"/>
      <c r="EM223" s="324"/>
      <c r="EN223" s="324"/>
      <c r="EO223" s="324"/>
      <c r="EP223" s="324"/>
      <c r="EQ223" s="324"/>
      <c r="ER223" s="324"/>
      <c r="ES223" s="324"/>
      <c r="ET223" s="324"/>
      <c r="EU223" s="324"/>
      <c r="EV223" s="324"/>
      <c r="EW223" s="324"/>
      <c r="EX223" s="324"/>
      <c r="EY223" s="324"/>
      <c r="EZ223" s="324"/>
      <c r="FA223" s="324"/>
      <c r="FB223" s="324"/>
      <c r="FC223" s="324"/>
      <c r="FD223" s="324"/>
      <c r="FE223" s="324"/>
      <c r="FF223" s="324"/>
      <c r="FG223" s="324"/>
      <c r="FH223" s="324"/>
      <c r="FI223" s="324"/>
      <c r="FJ223" s="324"/>
      <c r="FK223" s="324"/>
      <c r="FL223" s="324"/>
      <c r="FM223" s="324"/>
      <c r="FN223" s="324"/>
      <c r="FO223" s="324"/>
      <c r="FP223" s="324"/>
      <c r="FQ223" s="324"/>
      <c r="FR223" s="324"/>
      <c r="FS223" s="324"/>
      <c r="FT223" s="324"/>
      <c r="FU223" s="324"/>
      <c r="FV223" s="324"/>
      <c r="FW223" s="324"/>
      <c r="FX223" s="324"/>
      <c r="FY223" s="324"/>
      <c r="FZ223" s="324"/>
      <c r="GA223" s="324"/>
      <c r="GB223" s="324"/>
      <c r="GC223" s="324"/>
      <c r="GD223" s="324"/>
      <c r="GE223" s="324"/>
      <c r="GF223" s="324"/>
      <c r="GG223" s="324"/>
      <c r="GH223" s="324"/>
      <c r="GI223" s="324"/>
      <c r="GJ223" s="324"/>
      <c r="GK223" s="324"/>
      <c r="GL223" s="324"/>
      <c r="GM223" s="324"/>
      <c r="GN223" s="324"/>
      <c r="GO223" s="324"/>
      <c r="GP223" s="324"/>
      <c r="GQ223" s="324"/>
      <c r="GR223" s="324"/>
      <c r="GS223" s="324"/>
      <c r="GT223" s="324"/>
      <c r="GU223" s="324"/>
      <c r="GV223" s="324"/>
      <c r="GW223" s="324"/>
      <c r="GX223" s="324"/>
      <c r="GY223" s="324"/>
      <c r="GZ223" s="324"/>
      <c r="HA223" s="324"/>
      <c r="HB223" s="324"/>
      <c r="HC223" s="324"/>
      <c r="HD223" s="324"/>
      <c r="HE223" s="324"/>
      <c r="HF223" s="324"/>
      <c r="HG223" s="324"/>
      <c r="HH223" s="324"/>
      <c r="HI223" s="324"/>
      <c r="HJ223" s="324"/>
      <c r="HK223" s="324"/>
      <c r="HL223" s="324"/>
      <c r="HM223" s="324"/>
      <c r="HN223" s="324"/>
      <c r="HO223" s="324"/>
      <c r="HP223" s="324"/>
      <c r="HQ223" s="324"/>
      <c r="HR223" s="324"/>
      <c r="HS223" s="324"/>
      <c r="HT223" s="324"/>
      <c r="HU223" s="324"/>
      <c r="HV223" s="324"/>
      <c r="HW223" s="324"/>
      <c r="HX223" s="324"/>
      <c r="HY223" s="324"/>
      <c r="HZ223" s="324"/>
      <c r="IA223" s="324"/>
      <c r="IB223" s="324"/>
      <c r="IC223" s="324"/>
      <c r="ID223" s="324"/>
      <c r="IE223" s="324"/>
      <c r="IF223" s="324"/>
      <c r="IG223" s="324"/>
      <c r="IH223" s="324"/>
      <c r="II223" s="324"/>
      <c r="IJ223" s="324"/>
      <c r="IK223" s="324"/>
      <c r="IL223" s="324"/>
      <c r="IM223" s="324"/>
    </row>
    <row r="224" spans="1:247" x14ac:dyDescent="0.35">
      <c r="A224" s="356">
        <v>8315</v>
      </c>
      <c r="B224" s="357" t="s">
        <v>230</v>
      </c>
      <c r="C224" s="172" t="s">
        <v>5</v>
      </c>
      <c r="D224" s="358" t="s">
        <v>2051</v>
      </c>
      <c r="E224" s="336"/>
      <c r="F224" s="331">
        <f t="shared" si="57"/>
        <v>1.0209999999999999</v>
      </c>
      <c r="G224" s="337"/>
      <c r="H224" s="336"/>
      <c r="I224" s="338"/>
      <c r="J224" s="338"/>
      <c r="K224" s="338"/>
      <c r="L224" s="338"/>
      <c r="M224" s="338"/>
      <c r="N224" s="337"/>
      <c r="O224" s="339"/>
      <c r="P224" s="336">
        <f t="shared" si="59"/>
        <v>1.032</v>
      </c>
      <c r="Q224" s="337">
        <f t="shared" si="60"/>
        <v>1.0349999999999999</v>
      </c>
      <c r="R224" s="340">
        <f t="shared" si="58"/>
        <v>1.0905505199999999</v>
      </c>
      <c r="S224" s="324"/>
      <c r="T224" s="324"/>
      <c r="U224" s="324"/>
      <c r="V224" s="324"/>
      <c r="W224" s="324"/>
      <c r="X224" s="324"/>
      <c r="Y224" s="324"/>
      <c r="Z224" s="324"/>
      <c r="AA224" s="324"/>
      <c r="AB224" s="324"/>
      <c r="AC224" s="324"/>
      <c r="AD224" s="324"/>
      <c r="AE224" s="324"/>
      <c r="AF224" s="324"/>
      <c r="AG224" s="324"/>
      <c r="AH224" s="324"/>
      <c r="AI224" s="324"/>
      <c r="AJ224" s="324"/>
      <c r="AK224" s="324"/>
      <c r="AL224" s="324"/>
      <c r="AM224" s="324"/>
      <c r="AN224" s="324"/>
      <c r="AO224" s="324"/>
      <c r="AP224" s="324"/>
      <c r="AQ224" s="324"/>
      <c r="AR224" s="324"/>
      <c r="AS224" s="324"/>
      <c r="AT224" s="324"/>
      <c r="AU224" s="324"/>
      <c r="AV224" s="324"/>
      <c r="AW224" s="324"/>
      <c r="AX224" s="324"/>
      <c r="AY224" s="324"/>
      <c r="AZ224" s="324"/>
      <c r="BA224" s="324"/>
      <c r="BB224" s="324"/>
      <c r="BC224" s="324"/>
      <c r="BD224" s="324"/>
      <c r="BE224" s="324"/>
      <c r="BF224" s="324"/>
      <c r="BG224" s="324"/>
      <c r="BH224" s="324"/>
      <c r="BI224" s="324"/>
      <c r="BJ224" s="324"/>
      <c r="BK224" s="324"/>
      <c r="BL224" s="324"/>
      <c r="BM224" s="324"/>
      <c r="BN224" s="324"/>
      <c r="BO224" s="324"/>
      <c r="BP224" s="324"/>
      <c r="BQ224" s="324"/>
      <c r="BR224" s="324"/>
      <c r="BS224" s="324"/>
      <c r="BT224" s="324"/>
      <c r="BU224" s="324"/>
      <c r="BV224" s="324"/>
      <c r="BW224" s="324"/>
      <c r="BX224" s="324"/>
      <c r="BY224" s="324"/>
      <c r="BZ224" s="324"/>
      <c r="CA224" s="324"/>
      <c r="CB224" s="324"/>
      <c r="CC224" s="324"/>
      <c r="CD224" s="324"/>
      <c r="CE224" s="324"/>
      <c r="CF224" s="324"/>
      <c r="CG224" s="324"/>
      <c r="CH224" s="324"/>
      <c r="CI224" s="324"/>
      <c r="CJ224" s="324"/>
      <c r="CK224" s="324"/>
      <c r="CL224" s="324"/>
      <c r="CM224" s="324"/>
      <c r="CN224" s="324"/>
      <c r="CO224" s="324"/>
      <c r="CP224" s="324"/>
      <c r="CQ224" s="324"/>
      <c r="CR224" s="324"/>
      <c r="CS224" s="324"/>
      <c r="CT224" s="324"/>
      <c r="CU224" s="324"/>
      <c r="CV224" s="324"/>
      <c r="CW224" s="324"/>
      <c r="CX224" s="324"/>
      <c r="CY224" s="324"/>
      <c r="CZ224" s="324"/>
      <c r="DA224" s="324"/>
      <c r="DB224" s="324"/>
      <c r="DC224" s="324"/>
      <c r="DD224" s="324"/>
      <c r="DE224" s="324"/>
      <c r="DF224" s="324"/>
      <c r="DG224" s="324"/>
      <c r="DH224" s="324"/>
      <c r="DI224" s="324"/>
      <c r="DJ224" s="324"/>
      <c r="DK224" s="324"/>
      <c r="DL224" s="324"/>
      <c r="DM224" s="324"/>
      <c r="DN224" s="324"/>
      <c r="DO224" s="324"/>
      <c r="DP224" s="324"/>
      <c r="DQ224" s="324"/>
      <c r="DR224" s="324"/>
      <c r="DS224" s="324"/>
      <c r="DT224" s="324"/>
      <c r="DU224" s="324"/>
      <c r="DV224" s="324"/>
      <c r="DW224" s="324"/>
      <c r="DX224" s="324"/>
      <c r="DY224" s="324"/>
      <c r="DZ224" s="324"/>
      <c r="EA224" s="324"/>
      <c r="EB224" s="324"/>
      <c r="EC224" s="324"/>
      <c r="ED224" s="324"/>
      <c r="EE224" s="324"/>
      <c r="EF224" s="324"/>
      <c r="EG224" s="324"/>
      <c r="EH224" s="324"/>
      <c r="EI224" s="324"/>
      <c r="EJ224" s="324"/>
      <c r="EK224" s="324"/>
      <c r="EL224" s="324"/>
      <c r="EM224" s="324"/>
      <c r="EN224" s="324"/>
      <c r="EO224" s="324"/>
      <c r="EP224" s="324"/>
      <c r="EQ224" s="324"/>
      <c r="ER224" s="324"/>
      <c r="ES224" s="324"/>
      <c r="ET224" s="324"/>
      <c r="EU224" s="324"/>
      <c r="EV224" s="324"/>
      <c r="EW224" s="324"/>
      <c r="EX224" s="324"/>
      <c r="EY224" s="324"/>
      <c r="EZ224" s="324"/>
      <c r="FA224" s="324"/>
      <c r="FB224" s="324"/>
      <c r="FC224" s="324"/>
      <c r="FD224" s="324"/>
      <c r="FE224" s="324"/>
      <c r="FF224" s="324"/>
      <c r="FG224" s="324"/>
      <c r="FH224" s="324"/>
      <c r="FI224" s="324"/>
      <c r="FJ224" s="324"/>
      <c r="FK224" s="324"/>
      <c r="FL224" s="324"/>
      <c r="FM224" s="324"/>
      <c r="FN224" s="324"/>
      <c r="FO224" s="324"/>
      <c r="FP224" s="324"/>
      <c r="FQ224" s="324"/>
      <c r="FR224" s="324"/>
      <c r="FS224" s="324"/>
      <c r="FT224" s="324"/>
      <c r="FU224" s="324"/>
      <c r="FV224" s="324"/>
      <c r="FW224" s="324"/>
      <c r="FX224" s="324"/>
      <c r="FY224" s="324"/>
      <c r="FZ224" s="324"/>
      <c r="GA224" s="324"/>
      <c r="GB224" s="324"/>
      <c r="GC224" s="324"/>
      <c r="GD224" s="324"/>
      <c r="GE224" s="324"/>
      <c r="GF224" s="324"/>
      <c r="GG224" s="324"/>
      <c r="GH224" s="324"/>
      <c r="GI224" s="324"/>
      <c r="GJ224" s="324"/>
      <c r="GK224" s="324"/>
      <c r="GL224" s="324"/>
      <c r="GM224" s="324"/>
      <c r="GN224" s="324"/>
      <c r="GO224" s="324"/>
      <c r="GP224" s="324"/>
      <c r="GQ224" s="324"/>
      <c r="GR224" s="324"/>
      <c r="GS224" s="324"/>
      <c r="GT224" s="324"/>
      <c r="GU224" s="324"/>
      <c r="GV224" s="324"/>
      <c r="GW224" s="324"/>
      <c r="GX224" s="324"/>
      <c r="GY224" s="324"/>
      <c r="GZ224" s="324"/>
      <c r="HA224" s="324"/>
      <c r="HB224" s="324"/>
      <c r="HC224" s="324"/>
      <c r="HD224" s="324"/>
      <c r="HE224" s="324"/>
      <c r="HF224" s="324"/>
      <c r="HG224" s="324"/>
      <c r="HH224" s="324"/>
      <c r="HI224" s="324"/>
      <c r="HJ224" s="324"/>
      <c r="HK224" s="324"/>
      <c r="HL224" s="324"/>
      <c r="HM224" s="324"/>
      <c r="HN224" s="324"/>
      <c r="HO224" s="324"/>
      <c r="HP224" s="324"/>
      <c r="HQ224" s="324"/>
      <c r="HR224" s="324"/>
      <c r="HS224" s="324"/>
      <c r="HT224" s="324"/>
      <c r="HU224" s="324"/>
      <c r="HV224" s="324"/>
      <c r="HW224" s="324"/>
      <c r="HX224" s="324"/>
      <c r="HY224" s="324"/>
      <c r="HZ224" s="324"/>
      <c r="IA224" s="324"/>
      <c r="IB224" s="324"/>
      <c r="IC224" s="324"/>
      <c r="ID224" s="324"/>
      <c r="IE224" s="324"/>
      <c r="IF224" s="324"/>
      <c r="IG224" s="324"/>
      <c r="IH224" s="324"/>
      <c r="II224" s="324"/>
      <c r="IJ224" s="324"/>
      <c r="IK224" s="324"/>
      <c r="IL224" s="324"/>
      <c r="IM224" s="324"/>
    </row>
    <row r="225" spans="1:247" x14ac:dyDescent="0.35">
      <c r="A225" s="356">
        <v>8321</v>
      </c>
      <c r="B225" s="357" t="s">
        <v>231</v>
      </c>
      <c r="C225" s="172" t="s">
        <v>6</v>
      </c>
      <c r="D225" s="358" t="s">
        <v>2052</v>
      </c>
      <c r="E225" s="336"/>
      <c r="F225" s="331">
        <f t="shared" si="57"/>
        <v>1.0209999999999999</v>
      </c>
      <c r="G225" s="337"/>
      <c r="H225" s="336"/>
      <c r="I225" s="338"/>
      <c r="J225" s="338"/>
      <c r="K225" s="338"/>
      <c r="L225" s="338"/>
      <c r="M225" s="338"/>
      <c r="N225" s="337"/>
      <c r="O225" s="339"/>
      <c r="P225" s="336">
        <f t="shared" si="59"/>
        <v>1.032</v>
      </c>
      <c r="Q225" s="337">
        <f t="shared" si="60"/>
        <v>1.0349999999999999</v>
      </c>
      <c r="R225" s="340">
        <f t="shared" si="58"/>
        <v>1.0905505199999999</v>
      </c>
      <c r="S225" s="324"/>
      <c r="T225" s="324"/>
      <c r="U225" s="324"/>
      <c r="V225" s="324"/>
      <c r="W225" s="324"/>
      <c r="X225" s="324"/>
      <c r="Y225" s="324"/>
      <c r="Z225" s="324"/>
      <c r="AA225" s="324"/>
      <c r="AB225" s="324"/>
      <c r="AC225" s="324"/>
      <c r="AD225" s="324"/>
      <c r="AE225" s="324"/>
      <c r="AF225" s="324"/>
      <c r="AG225" s="324"/>
      <c r="AH225" s="324"/>
      <c r="AI225" s="324"/>
      <c r="AJ225" s="324"/>
      <c r="AK225" s="324"/>
      <c r="AL225" s="324"/>
      <c r="AM225" s="324"/>
      <c r="AN225" s="324"/>
      <c r="AO225" s="324"/>
      <c r="AP225" s="324"/>
      <c r="AQ225" s="324"/>
      <c r="AR225" s="324"/>
      <c r="AS225" s="324"/>
      <c r="AT225" s="324"/>
      <c r="AU225" s="324"/>
      <c r="AV225" s="324"/>
      <c r="AW225" s="324"/>
      <c r="AX225" s="324"/>
      <c r="AY225" s="324"/>
      <c r="AZ225" s="324"/>
      <c r="BA225" s="324"/>
      <c r="BB225" s="324"/>
      <c r="BC225" s="324"/>
      <c r="BD225" s="324"/>
      <c r="BE225" s="324"/>
      <c r="BF225" s="324"/>
      <c r="BG225" s="324"/>
      <c r="BH225" s="324"/>
      <c r="BI225" s="324"/>
      <c r="BJ225" s="324"/>
      <c r="BK225" s="324"/>
      <c r="BL225" s="324"/>
      <c r="BM225" s="324"/>
      <c r="BN225" s="324"/>
      <c r="BO225" s="324"/>
      <c r="BP225" s="324"/>
      <c r="BQ225" s="324"/>
      <c r="BR225" s="324"/>
      <c r="BS225" s="324"/>
      <c r="BT225" s="324"/>
      <c r="BU225" s="324"/>
      <c r="BV225" s="324"/>
      <c r="BW225" s="324"/>
      <c r="BX225" s="324"/>
      <c r="BY225" s="324"/>
      <c r="BZ225" s="324"/>
      <c r="CA225" s="324"/>
      <c r="CB225" s="324"/>
      <c r="CC225" s="324"/>
      <c r="CD225" s="324"/>
      <c r="CE225" s="324"/>
      <c r="CF225" s="324"/>
      <c r="CG225" s="324"/>
      <c r="CH225" s="324"/>
      <c r="CI225" s="324"/>
      <c r="CJ225" s="324"/>
      <c r="CK225" s="324"/>
      <c r="CL225" s="324"/>
      <c r="CM225" s="324"/>
      <c r="CN225" s="324"/>
      <c r="CO225" s="324"/>
      <c r="CP225" s="324"/>
      <c r="CQ225" s="324"/>
      <c r="CR225" s="324"/>
      <c r="CS225" s="324"/>
      <c r="CT225" s="324"/>
      <c r="CU225" s="324"/>
      <c r="CV225" s="324"/>
      <c r="CW225" s="324"/>
      <c r="CX225" s="324"/>
      <c r="CY225" s="324"/>
      <c r="CZ225" s="324"/>
      <c r="DA225" s="324"/>
      <c r="DB225" s="324"/>
      <c r="DC225" s="324"/>
      <c r="DD225" s="324"/>
      <c r="DE225" s="324"/>
      <c r="DF225" s="324"/>
      <c r="DG225" s="324"/>
      <c r="DH225" s="324"/>
      <c r="DI225" s="324"/>
      <c r="DJ225" s="324"/>
      <c r="DK225" s="324"/>
      <c r="DL225" s="324"/>
      <c r="DM225" s="324"/>
      <c r="DN225" s="324"/>
      <c r="DO225" s="324"/>
      <c r="DP225" s="324"/>
      <c r="DQ225" s="324"/>
      <c r="DR225" s="324"/>
      <c r="DS225" s="324"/>
      <c r="DT225" s="324"/>
      <c r="DU225" s="324"/>
      <c r="DV225" s="324"/>
      <c r="DW225" s="324"/>
      <c r="DX225" s="324"/>
      <c r="DY225" s="324"/>
      <c r="DZ225" s="324"/>
      <c r="EA225" s="324"/>
      <c r="EB225" s="324"/>
      <c r="EC225" s="324"/>
      <c r="ED225" s="324"/>
      <c r="EE225" s="324"/>
      <c r="EF225" s="324"/>
      <c r="EG225" s="324"/>
      <c r="EH225" s="324"/>
      <c r="EI225" s="324"/>
      <c r="EJ225" s="324"/>
      <c r="EK225" s="324"/>
      <c r="EL225" s="324"/>
      <c r="EM225" s="324"/>
      <c r="EN225" s="324"/>
      <c r="EO225" s="324"/>
      <c r="EP225" s="324"/>
      <c r="EQ225" s="324"/>
      <c r="ER225" s="324"/>
      <c r="ES225" s="324"/>
      <c r="ET225" s="324"/>
      <c r="EU225" s="324"/>
      <c r="EV225" s="324"/>
      <c r="EW225" s="324"/>
      <c r="EX225" s="324"/>
      <c r="EY225" s="324"/>
      <c r="EZ225" s="324"/>
      <c r="FA225" s="324"/>
      <c r="FB225" s="324"/>
      <c r="FC225" s="324"/>
      <c r="FD225" s="324"/>
      <c r="FE225" s="324"/>
      <c r="FF225" s="324"/>
      <c r="FG225" s="324"/>
      <c r="FH225" s="324"/>
      <c r="FI225" s="324"/>
      <c r="FJ225" s="324"/>
      <c r="FK225" s="324"/>
      <c r="FL225" s="324"/>
      <c r="FM225" s="324"/>
      <c r="FN225" s="324"/>
      <c r="FO225" s="324"/>
      <c r="FP225" s="324"/>
      <c r="FQ225" s="324"/>
      <c r="FR225" s="324"/>
      <c r="FS225" s="324"/>
      <c r="FT225" s="324"/>
      <c r="FU225" s="324"/>
      <c r="FV225" s="324"/>
      <c r="FW225" s="324"/>
      <c r="FX225" s="324"/>
      <c r="FY225" s="324"/>
      <c r="FZ225" s="324"/>
      <c r="GA225" s="324"/>
      <c r="GB225" s="324"/>
      <c r="GC225" s="324"/>
      <c r="GD225" s="324"/>
      <c r="GE225" s="324"/>
      <c r="GF225" s="324"/>
      <c r="GG225" s="324"/>
      <c r="GH225" s="324"/>
      <c r="GI225" s="324"/>
      <c r="GJ225" s="324"/>
      <c r="GK225" s="324"/>
      <c r="GL225" s="324"/>
      <c r="GM225" s="324"/>
      <c r="GN225" s="324"/>
      <c r="GO225" s="324"/>
      <c r="GP225" s="324"/>
      <c r="GQ225" s="324"/>
      <c r="GR225" s="324"/>
      <c r="GS225" s="324"/>
      <c r="GT225" s="324"/>
      <c r="GU225" s="324"/>
      <c r="GV225" s="324"/>
      <c r="GW225" s="324"/>
      <c r="GX225" s="324"/>
      <c r="GY225" s="324"/>
      <c r="GZ225" s="324"/>
      <c r="HA225" s="324"/>
      <c r="HB225" s="324"/>
      <c r="HC225" s="324"/>
      <c r="HD225" s="324"/>
      <c r="HE225" s="324"/>
      <c r="HF225" s="324"/>
      <c r="HG225" s="324"/>
      <c r="HH225" s="324"/>
      <c r="HI225" s="324"/>
      <c r="HJ225" s="324"/>
      <c r="HK225" s="324"/>
      <c r="HL225" s="324"/>
      <c r="HM225" s="324"/>
      <c r="HN225" s="324"/>
      <c r="HO225" s="324"/>
      <c r="HP225" s="324"/>
      <c r="HQ225" s="324"/>
      <c r="HR225" s="324"/>
      <c r="HS225" s="324"/>
      <c r="HT225" s="324"/>
      <c r="HU225" s="324"/>
      <c r="HV225" s="324"/>
      <c r="HW225" s="324"/>
      <c r="HX225" s="324"/>
      <c r="HY225" s="324"/>
      <c r="HZ225" s="324"/>
      <c r="IA225" s="324"/>
      <c r="IB225" s="324"/>
      <c r="IC225" s="324"/>
      <c r="ID225" s="324"/>
      <c r="IE225" s="324"/>
      <c r="IF225" s="324"/>
      <c r="IG225" s="324"/>
      <c r="IH225" s="324"/>
      <c r="II225" s="324"/>
      <c r="IJ225" s="324"/>
      <c r="IK225" s="324"/>
      <c r="IL225" s="324"/>
      <c r="IM225" s="324"/>
    </row>
    <row r="226" spans="1:247" x14ac:dyDescent="0.35">
      <c r="A226" s="356">
        <v>8331</v>
      </c>
      <c r="B226" s="357" t="s">
        <v>232</v>
      </c>
      <c r="C226" s="172" t="s">
        <v>10</v>
      </c>
      <c r="D226" s="358" t="s">
        <v>2051</v>
      </c>
      <c r="E226" s="336"/>
      <c r="F226" s="331">
        <f t="shared" si="57"/>
        <v>1.0209999999999999</v>
      </c>
      <c r="G226" s="337">
        <f>+$G$3</f>
        <v>1.0269999999999999</v>
      </c>
      <c r="H226" s="336"/>
      <c r="I226" s="338"/>
      <c r="J226" s="338"/>
      <c r="K226" s="338"/>
      <c r="L226" s="338"/>
      <c r="M226" s="338"/>
      <c r="N226" s="337"/>
      <c r="O226" s="339"/>
      <c r="P226" s="336"/>
      <c r="Q226" s="337"/>
      <c r="R226" s="340">
        <f t="shared" si="58"/>
        <v>1.0485669999999998</v>
      </c>
      <c r="S226" s="324"/>
      <c r="T226" s="324"/>
      <c r="U226" s="324"/>
      <c r="V226" s="324"/>
      <c r="W226" s="324"/>
      <c r="X226" s="324"/>
      <c r="Y226" s="324"/>
      <c r="Z226" s="324"/>
      <c r="AA226" s="324"/>
      <c r="AB226" s="324"/>
      <c r="AC226" s="324"/>
      <c r="AD226" s="324"/>
      <c r="AE226" s="324"/>
      <c r="AF226" s="324"/>
      <c r="AG226" s="324"/>
      <c r="AH226" s="324"/>
      <c r="AI226" s="324"/>
      <c r="AJ226" s="324"/>
      <c r="AK226" s="324"/>
      <c r="AL226" s="324"/>
      <c r="AM226" s="324"/>
      <c r="AN226" s="324"/>
      <c r="AO226" s="324"/>
      <c r="AP226" s="324"/>
      <c r="AQ226" s="324"/>
      <c r="AR226" s="324"/>
      <c r="AS226" s="324"/>
      <c r="AT226" s="324"/>
      <c r="AU226" s="324"/>
      <c r="AV226" s="324"/>
      <c r="AW226" s="324"/>
      <c r="AX226" s="324"/>
      <c r="AY226" s="324"/>
      <c r="AZ226" s="324"/>
      <c r="BA226" s="324"/>
      <c r="BB226" s="324"/>
      <c r="BC226" s="324"/>
      <c r="BD226" s="324"/>
      <c r="BE226" s="324"/>
      <c r="BF226" s="324"/>
      <c r="BG226" s="324"/>
      <c r="BH226" s="324"/>
      <c r="BI226" s="324"/>
      <c r="BJ226" s="324"/>
      <c r="BK226" s="324"/>
      <c r="BL226" s="324"/>
      <c r="BM226" s="324"/>
      <c r="BN226" s="324"/>
      <c r="BO226" s="324"/>
      <c r="BP226" s="324"/>
      <c r="BQ226" s="324"/>
      <c r="BR226" s="324"/>
      <c r="BS226" s="324"/>
      <c r="BT226" s="324"/>
      <c r="BU226" s="324"/>
      <c r="BV226" s="324"/>
      <c r="BW226" s="324"/>
      <c r="BX226" s="324"/>
      <c r="BY226" s="324"/>
      <c r="BZ226" s="324"/>
      <c r="CA226" s="324"/>
      <c r="CB226" s="324"/>
      <c r="CC226" s="324"/>
      <c r="CD226" s="324"/>
      <c r="CE226" s="324"/>
      <c r="CF226" s="324"/>
      <c r="CG226" s="324"/>
      <c r="CH226" s="324"/>
      <c r="CI226" s="324"/>
      <c r="CJ226" s="324"/>
      <c r="CK226" s="324"/>
      <c r="CL226" s="324"/>
      <c r="CM226" s="324"/>
      <c r="CN226" s="324"/>
      <c r="CO226" s="324"/>
      <c r="CP226" s="324"/>
      <c r="CQ226" s="324"/>
      <c r="CR226" s="324"/>
      <c r="CS226" s="324"/>
      <c r="CT226" s="324"/>
      <c r="CU226" s="324"/>
      <c r="CV226" s="324"/>
      <c r="CW226" s="324"/>
      <c r="CX226" s="324"/>
      <c r="CY226" s="324"/>
      <c r="CZ226" s="324"/>
      <c r="DA226" s="324"/>
      <c r="DB226" s="324"/>
      <c r="DC226" s="324"/>
      <c r="DD226" s="324"/>
      <c r="DE226" s="324"/>
      <c r="DF226" s="324"/>
      <c r="DG226" s="324"/>
      <c r="DH226" s="324"/>
      <c r="DI226" s="324"/>
      <c r="DJ226" s="324"/>
      <c r="DK226" s="324"/>
      <c r="DL226" s="324"/>
      <c r="DM226" s="324"/>
      <c r="DN226" s="324"/>
      <c r="DO226" s="324"/>
      <c r="DP226" s="324"/>
      <c r="DQ226" s="324"/>
      <c r="DR226" s="324"/>
      <c r="DS226" s="324"/>
      <c r="DT226" s="324"/>
      <c r="DU226" s="324"/>
      <c r="DV226" s="324"/>
      <c r="DW226" s="324"/>
      <c r="DX226" s="324"/>
      <c r="DY226" s="324"/>
      <c r="DZ226" s="324"/>
      <c r="EA226" s="324"/>
      <c r="EB226" s="324"/>
      <c r="EC226" s="324"/>
      <c r="ED226" s="324"/>
      <c r="EE226" s="324"/>
      <c r="EF226" s="324"/>
      <c r="EG226" s="324"/>
      <c r="EH226" s="324"/>
      <c r="EI226" s="324"/>
      <c r="EJ226" s="324"/>
      <c r="EK226" s="324"/>
      <c r="EL226" s="324"/>
      <c r="EM226" s="324"/>
      <c r="EN226" s="324"/>
      <c r="EO226" s="324"/>
      <c r="EP226" s="324"/>
      <c r="EQ226" s="324"/>
      <c r="ER226" s="324"/>
      <c r="ES226" s="324"/>
      <c r="ET226" s="324"/>
      <c r="EU226" s="324"/>
      <c r="EV226" s="324"/>
      <c r="EW226" s="324"/>
      <c r="EX226" s="324"/>
      <c r="EY226" s="324"/>
      <c r="EZ226" s="324"/>
      <c r="FA226" s="324"/>
      <c r="FB226" s="324"/>
      <c r="FC226" s="324"/>
      <c r="FD226" s="324"/>
      <c r="FE226" s="324"/>
      <c r="FF226" s="324"/>
      <c r="FG226" s="324"/>
      <c r="FH226" s="324"/>
      <c r="FI226" s="324"/>
      <c r="FJ226" s="324"/>
      <c r="FK226" s="324"/>
      <c r="FL226" s="324"/>
      <c r="FM226" s="324"/>
      <c r="FN226" s="324"/>
      <c r="FO226" s="324"/>
      <c r="FP226" s="324"/>
      <c r="FQ226" s="324"/>
      <c r="FR226" s="324"/>
      <c r="FS226" s="324"/>
      <c r="FT226" s="324"/>
      <c r="FU226" s="324"/>
      <c r="FV226" s="324"/>
      <c r="FW226" s="324"/>
      <c r="FX226" s="324"/>
      <c r="FY226" s="324"/>
      <c r="FZ226" s="324"/>
      <c r="GA226" s="324"/>
      <c r="GB226" s="324"/>
      <c r="GC226" s="324"/>
      <c r="GD226" s="324"/>
      <c r="GE226" s="324"/>
      <c r="GF226" s="324"/>
      <c r="GG226" s="324"/>
      <c r="GH226" s="324"/>
      <c r="GI226" s="324"/>
      <c r="GJ226" s="324"/>
      <c r="GK226" s="324"/>
      <c r="GL226" s="324"/>
      <c r="GM226" s="324"/>
      <c r="GN226" s="324"/>
      <c r="GO226" s="324"/>
      <c r="GP226" s="324"/>
      <c r="GQ226" s="324"/>
      <c r="GR226" s="324"/>
      <c r="GS226" s="324"/>
      <c r="GT226" s="324"/>
      <c r="GU226" s="324"/>
      <c r="GV226" s="324"/>
      <c r="GW226" s="324"/>
      <c r="GX226" s="324"/>
      <c r="GY226" s="324"/>
      <c r="GZ226" s="324"/>
      <c r="HA226" s="324"/>
      <c r="HB226" s="324"/>
      <c r="HC226" s="324"/>
      <c r="HD226" s="324"/>
      <c r="HE226" s="324"/>
      <c r="HF226" s="324"/>
      <c r="HG226" s="324"/>
      <c r="HH226" s="324"/>
      <c r="HI226" s="324"/>
      <c r="HJ226" s="324"/>
      <c r="HK226" s="324"/>
      <c r="HL226" s="324"/>
      <c r="HM226" s="324"/>
      <c r="HN226" s="324"/>
      <c r="HO226" s="324"/>
      <c r="HP226" s="324"/>
      <c r="HQ226" s="324"/>
      <c r="HR226" s="324"/>
      <c r="HS226" s="324"/>
      <c r="HT226" s="324"/>
      <c r="HU226" s="324"/>
      <c r="HV226" s="324"/>
      <c r="HW226" s="324"/>
      <c r="HX226" s="324"/>
      <c r="HY226" s="324"/>
      <c r="HZ226" s="324"/>
      <c r="IA226" s="324"/>
      <c r="IB226" s="324"/>
      <c r="IC226" s="324"/>
      <c r="ID226" s="324"/>
      <c r="IE226" s="324"/>
      <c r="IF226" s="324"/>
      <c r="IG226" s="324"/>
      <c r="IH226" s="324"/>
      <c r="II226" s="324"/>
      <c r="IJ226" s="324"/>
      <c r="IK226" s="324"/>
      <c r="IL226" s="324"/>
      <c r="IM226" s="324"/>
    </row>
    <row r="227" spans="1:247" x14ac:dyDescent="0.35">
      <c r="A227" s="356">
        <v>8332</v>
      </c>
      <c r="B227" s="357" t="s">
        <v>233</v>
      </c>
      <c r="C227" s="172" t="s">
        <v>234</v>
      </c>
      <c r="D227" s="358" t="s">
        <v>2051</v>
      </c>
      <c r="E227" s="336"/>
      <c r="F227" s="331">
        <f t="shared" si="57"/>
        <v>1.0209999999999999</v>
      </c>
      <c r="G227" s="337">
        <f>+$G$3</f>
        <v>1.0269999999999999</v>
      </c>
      <c r="H227" s="336"/>
      <c r="I227" s="338"/>
      <c r="J227" s="338"/>
      <c r="K227" s="338"/>
      <c r="L227" s="338"/>
      <c r="M227" s="338"/>
      <c r="N227" s="337"/>
      <c r="O227" s="339"/>
      <c r="P227" s="336">
        <f>+$P$3</f>
        <v>1.032</v>
      </c>
      <c r="Q227" s="337">
        <f>+$Q$3</f>
        <v>1.0349999999999999</v>
      </c>
      <c r="R227" s="340">
        <f t="shared" si="58"/>
        <v>1.1199953840399997</v>
      </c>
      <c r="S227" s="324"/>
      <c r="T227" s="324"/>
      <c r="U227" s="324"/>
      <c r="V227" s="324"/>
      <c r="W227" s="324"/>
      <c r="X227" s="324"/>
      <c r="Y227" s="324"/>
      <c r="Z227" s="324"/>
      <c r="AA227" s="324"/>
      <c r="AB227" s="324"/>
      <c r="AC227" s="324"/>
      <c r="AD227" s="324"/>
      <c r="AE227" s="324"/>
      <c r="AF227" s="324"/>
      <c r="AG227" s="324"/>
      <c r="AH227" s="324"/>
      <c r="AI227" s="324"/>
      <c r="AJ227" s="324"/>
      <c r="AK227" s="324"/>
      <c r="AL227" s="324"/>
      <c r="AM227" s="324"/>
      <c r="AN227" s="324"/>
      <c r="AO227" s="324"/>
      <c r="AP227" s="324"/>
      <c r="AQ227" s="324"/>
      <c r="AR227" s="324"/>
      <c r="AS227" s="324"/>
      <c r="AT227" s="324"/>
      <c r="AU227" s="324"/>
      <c r="AV227" s="324"/>
      <c r="AW227" s="324"/>
      <c r="AX227" s="324"/>
      <c r="AY227" s="324"/>
      <c r="AZ227" s="324"/>
      <c r="BA227" s="324"/>
      <c r="BB227" s="324"/>
      <c r="BC227" s="324"/>
      <c r="BD227" s="324"/>
      <c r="BE227" s="324"/>
      <c r="BF227" s="324"/>
      <c r="BG227" s="324"/>
      <c r="BH227" s="324"/>
      <c r="BI227" s="324"/>
      <c r="BJ227" s="324"/>
      <c r="BK227" s="324"/>
      <c r="BL227" s="324"/>
      <c r="BM227" s="324"/>
      <c r="BN227" s="324"/>
      <c r="BO227" s="324"/>
      <c r="BP227" s="324"/>
      <c r="BQ227" s="324"/>
      <c r="BR227" s="324"/>
      <c r="BS227" s="324"/>
      <c r="BT227" s="324"/>
      <c r="BU227" s="324"/>
      <c r="BV227" s="324"/>
      <c r="BW227" s="324"/>
      <c r="BX227" s="324"/>
      <c r="BY227" s="324"/>
      <c r="BZ227" s="324"/>
      <c r="CA227" s="324"/>
      <c r="CB227" s="324"/>
      <c r="CC227" s="324"/>
      <c r="CD227" s="324"/>
      <c r="CE227" s="324"/>
      <c r="CF227" s="324"/>
      <c r="CG227" s="324"/>
      <c r="CH227" s="324"/>
      <c r="CI227" s="324"/>
      <c r="CJ227" s="324"/>
      <c r="CK227" s="324"/>
      <c r="CL227" s="324"/>
      <c r="CM227" s="324"/>
      <c r="CN227" s="324"/>
      <c r="CO227" s="324"/>
      <c r="CP227" s="324"/>
      <c r="CQ227" s="324"/>
      <c r="CR227" s="324"/>
      <c r="CS227" s="324"/>
      <c r="CT227" s="324"/>
      <c r="CU227" s="324"/>
      <c r="CV227" s="324"/>
      <c r="CW227" s="324"/>
      <c r="CX227" s="324"/>
      <c r="CY227" s="324"/>
      <c r="CZ227" s="324"/>
      <c r="DA227" s="324"/>
      <c r="DB227" s="324"/>
      <c r="DC227" s="324"/>
      <c r="DD227" s="324"/>
      <c r="DE227" s="324"/>
      <c r="DF227" s="324"/>
      <c r="DG227" s="324"/>
      <c r="DH227" s="324"/>
      <c r="DI227" s="324"/>
      <c r="DJ227" s="324"/>
      <c r="DK227" s="324"/>
      <c r="DL227" s="324"/>
      <c r="DM227" s="324"/>
      <c r="DN227" s="324"/>
      <c r="DO227" s="324"/>
      <c r="DP227" s="324"/>
      <c r="DQ227" s="324"/>
      <c r="DR227" s="324"/>
      <c r="DS227" s="324"/>
      <c r="DT227" s="324"/>
      <c r="DU227" s="324"/>
      <c r="DV227" s="324"/>
      <c r="DW227" s="324"/>
      <c r="DX227" s="324"/>
      <c r="DY227" s="324"/>
      <c r="DZ227" s="324"/>
      <c r="EA227" s="324"/>
      <c r="EB227" s="324"/>
      <c r="EC227" s="324"/>
      <c r="ED227" s="324"/>
      <c r="EE227" s="324"/>
      <c r="EF227" s="324"/>
      <c r="EG227" s="324"/>
      <c r="EH227" s="324"/>
      <c r="EI227" s="324"/>
      <c r="EJ227" s="324"/>
      <c r="EK227" s="324"/>
      <c r="EL227" s="324"/>
      <c r="EM227" s="324"/>
      <c r="EN227" s="324"/>
      <c r="EO227" s="324"/>
      <c r="EP227" s="324"/>
      <c r="EQ227" s="324"/>
      <c r="ER227" s="324"/>
      <c r="ES227" s="324"/>
      <c r="ET227" s="324"/>
      <c r="EU227" s="324"/>
      <c r="EV227" s="324"/>
      <c r="EW227" s="324"/>
      <c r="EX227" s="324"/>
      <c r="EY227" s="324"/>
      <c r="EZ227" s="324"/>
      <c r="FA227" s="324"/>
      <c r="FB227" s="324"/>
      <c r="FC227" s="324"/>
      <c r="FD227" s="324"/>
      <c r="FE227" s="324"/>
      <c r="FF227" s="324"/>
      <c r="FG227" s="324"/>
      <c r="FH227" s="324"/>
      <c r="FI227" s="324"/>
      <c r="FJ227" s="324"/>
      <c r="FK227" s="324"/>
      <c r="FL227" s="324"/>
      <c r="FM227" s="324"/>
      <c r="FN227" s="324"/>
      <c r="FO227" s="324"/>
      <c r="FP227" s="324"/>
      <c r="FQ227" s="324"/>
      <c r="FR227" s="324"/>
      <c r="FS227" s="324"/>
      <c r="FT227" s="324"/>
      <c r="FU227" s="324"/>
      <c r="FV227" s="324"/>
      <c r="FW227" s="324"/>
      <c r="FX227" s="324"/>
      <c r="FY227" s="324"/>
      <c r="FZ227" s="324"/>
      <c r="GA227" s="324"/>
      <c r="GB227" s="324"/>
      <c r="GC227" s="324"/>
      <c r="GD227" s="324"/>
      <c r="GE227" s="324"/>
      <c r="GF227" s="324"/>
      <c r="GG227" s="324"/>
      <c r="GH227" s="324"/>
      <c r="GI227" s="324"/>
      <c r="GJ227" s="324"/>
      <c r="GK227" s="324"/>
      <c r="GL227" s="324"/>
      <c r="GM227" s="324"/>
      <c r="GN227" s="324"/>
      <c r="GO227" s="324"/>
      <c r="GP227" s="324"/>
      <c r="GQ227" s="324"/>
      <c r="GR227" s="324"/>
      <c r="GS227" s="324"/>
      <c r="GT227" s="324"/>
      <c r="GU227" s="324"/>
      <c r="GV227" s="324"/>
      <c r="GW227" s="324"/>
      <c r="GX227" s="324"/>
      <c r="GY227" s="324"/>
      <c r="GZ227" s="324"/>
      <c r="HA227" s="324"/>
      <c r="HB227" s="324"/>
      <c r="HC227" s="324"/>
      <c r="HD227" s="324"/>
      <c r="HE227" s="324"/>
      <c r="HF227" s="324"/>
      <c r="HG227" s="324"/>
      <c r="HH227" s="324"/>
      <c r="HI227" s="324"/>
      <c r="HJ227" s="324"/>
      <c r="HK227" s="324"/>
      <c r="HL227" s="324"/>
      <c r="HM227" s="324"/>
      <c r="HN227" s="324"/>
      <c r="HO227" s="324"/>
      <c r="HP227" s="324"/>
      <c r="HQ227" s="324"/>
      <c r="HR227" s="324"/>
      <c r="HS227" s="324"/>
      <c r="HT227" s="324"/>
      <c r="HU227" s="324"/>
      <c r="HV227" s="324"/>
      <c r="HW227" s="324"/>
      <c r="HX227" s="324"/>
      <c r="HY227" s="324"/>
      <c r="HZ227" s="324"/>
      <c r="IA227" s="324"/>
      <c r="IB227" s="324"/>
      <c r="IC227" s="324"/>
      <c r="ID227" s="324"/>
      <c r="IE227" s="324"/>
      <c r="IF227" s="324"/>
      <c r="IG227" s="324"/>
      <c r="IH227" s="324"/>
      <c r="II227" s="324"/>
      <c r="IJ227" s="324"/>
      <c r="IK227" s="324"/>
      <c r="IL227" s="324"/>
      <c r="IM227" s="324"/>
    </row>
    <row r="228" spans="1:247" x14ac:dyDescent="0.35">
      <c r="A228" s="356">
        <v>8333</v>
      </c>
      <c r="B228" s="357" t="s">
        <v>235</v>
      </c>
      <c r="C228" s="172" t="s">
        <v>34</v>
      </c>
      <c r="D228" s="358" t="s">
        <v>2051</v>
      </c>
      <c r="E228" s="336"/>
      <c r="F228" s="331">
        <f t="shared" si="57"/>
        <v>1.0209999999999999</v>
      </c>
      <c r="G228" s="337">
        <f>+$G$3</f>
        <v>1.0269999999999999</v>
      </c>
      <c r="H228" s="336"/>
      <c r="I228" s="338"/>
      <c r="J228" s="338"/>
      <c r="K228" s="338"/>
      <c r="L228" s="338"/>
      <c r="M228" s="338"/>
      <c r="N228" s="337"/>
      <c r="O228" s="339"/>
      <c r="P228" s="336">
        <f>+$P$3</f>
        <v>1.032</v>
      </c>
      <c r="Q228" s="337">
        <f>+$Q$3</f>
        <v>1.0349999999999999</v>
      </c>
      <c r="R228" s="340">
        <f t="shared" si="58"/>
        <v>1.1199953840399997</v>
      </c>
      <c r="S228" s="324"/>
      <c r="T228" s="324"/>
      <c r="U228" s="324"/>
      <c r="V228" s="324"/>
      <c r="W228" s="324"/>
      <c r="X228" s="324"/>
      <c r="Y228" s="324"/>
      <c r="Z228" s="324"/>
      <c r="AA228" s="324"/>
      <c r="AB228" s="324"/>
      <c r="AC228" s="324"/>
      <c r="AD228" s="324"/>
      <c r="AE228" s="324"/>
      <c r="AF228" s="324"/>
      <c r="AG228" s="324"/>
      <c r="AH228" s="324"/>
      <c r="AI228" s="324"/>
      <c r="AJ228" s="324"/>
      <c r="AK228" s="324"/>
      <c r="AL228" s="324"/>
      <c r="AM228" s="324"/>
      <c r="AN228" s="324"/>
      <c r="AO228" s="324"/>
      <c r="AP228" s="324"/>
      <c r="AQ228" s="324"/>
      <c r="AR228" s="324"/>
      <c r="AS228" s="324"/>
      <c r="AT228" s="324"/>
      <c r="AU228" s="324"/>
      <c r="AV228" s="324"/>
      <c r="AW228" s="324"/>
      <c r="AX228" s="324"/>
      <c r="AY228" s="324"/>
      <c r="AZ228" s="324"/>
      <c r="BA228" s="324"/>
      <c r="BB228" s="324"/>
      <c r="BC228" s="324"/>
      <c r="BD228" s="324"/>
      <c r="BE228" s="324"/>
      <c r="BF228" s="324"/>
      <c r="BG228" s="324"/>
      <c r="BH228" s="324"/>
      <c r="BI228" s="324"/>
      <c r="BJ228" s="324"/>
      <c r="BK228" s="324"/>
      <c r="BL228" s="324"/>
      <c r="BM228" s="324"/>
      <c r="BN228" s="324"/>
      <c r="BO228" s="324"/>
      <c r="BP228" s="324"/>
      <c r="BQ228" s="324"/>
      <c r="BR228" s="324"/>
      <c r="BS228" s="324"/>
      <c r="BT228" s="324"/>
      <c r="BU228" s="324"/>
      <c r="BV228" s="324"/>
      <c r="BW228" s="324"/>
      <c r="BX228" s="324"/>
      <c r="BY228" s="324"/>
      <c r="BZ228" s="324"/>
      <c r="CA228" s="324"/>
      <c r="CB228" s="324"/>
      <c r="CC228" s="324"/>
      <c r="CD228" s="324"/>
      <c r="CE228" s="324"/>
      <c r="CF228" s="324"/>
      <c r="CG228" s="324"/>
      <c r="CH228" s="324"/>
      <c r="CI228" s="324"/>
      <c r="CJ228" s="324"/>
      <c r="CK228" s="324"/>
      <c r="CL228" s="324"/>
      <c r="CM228" s="324"/>
      <c r="CN228" s="324"/>
      <c r="CO228" s="324"/>
      <c r="CP228" s="324"/>
      <c r="CQ228" s="324"/>
      <c r="CR228" s="324"/>
      <c r="CS228" s="324"/>
      <c r="CT228" s="324"/>
      <c r="CU228" s="324"/>
      <c r="CV228" s="324"/>
      <c r="CW228" s="324"/>
      <c r="CX228" s="324"/>
      <c r="CY228" s="324"/>
      <c r="CZ228" s="324"/>
      <c r="DA228" s="324"/>
      <c r="DB228" s="324"/>
      <c r="DC228" s="324"/>
      <c r="DD228" s="324"/>
      <c r="DE228" s="324"/>
      <c r="DF228" s="324"/>
      <c r="DG228" s="324"/>
      <c r="DH228" s="324"/>
      <c r="DI228" s="324"/>
      <c r="DJ228" s="324"/>
      <c r="DK228" s="324"/>
      <c r="DL228" s="324"/>
      <c r="DM228" s="324"/>
      <c r="DN228" s="324"/>
      <c r="DO228" s="324"/>
      <c r="DP228" s="324"/>
      <c r="DQ228" s="324"/>
      <c r="DR228" s="324"/>
      <c r="DS228" s="324"/>
      <c r="DT228" s="324"/>
      <c r="DU228" s="324"/>
      <c r="DV228" s="324"/>
      <c r="DW228" s="324"/>
      <c r="DX228" s="324"/>
      <c r="DY228" s="324"/>
      <c r="DZ228" s="324"/>
      <c r="EA228" s="324"/>
      <c r="EB228" s="324"/>
      <c r="EC228" s="324"/>
      <c r="ED228" s="324"/>
      <c r="EE228" s="324"/>
      <c r="EF228" s="324"/>
      <c r="EG228" s="324"/>
      <c r="EH228" s="324"/>
      <c r="EI228" s="324"/>
      <c r="EJ228" s="324"/>
      <c r="EK228" s="324"/>
      <c r="EL228" s="324"/>
      <c r="EM228" s="324"/>
      <c r="EN228" s="324"/>
      <c r="EO228" s="324"/>
      <c r="EP228" s="324"/>
      <c r="EQ228" s="324"/>
      <c r="ER228" s="324"/>
      <c r="ES228" s="324"/>
      <c r="ET228" s="324"/>
      <c r="EU228" s="324"/>
      <c r="EV228" s="324"/>
      <c r="EW228" s="324"/>
      <c r="EX228" s="324"/>
      <c r="EY228" s="324"/>
      <c r="EZ228" s="324"/>
      <c r="FA228" s="324"/>
      <c r="FB228" s="324"/>
      <c r="FC228" s="324"/>
      <c r="FD228" s="324"/>
      <c r="FE228" s="324"/>
      <c r="FF228" s="324"/>
      <c r="FG228" s="324"/>
      <c r="FH228" s="324"/>
      <c r="FI228" s="324"/>
      <c r="FJ228" s="324"/>
      <c r="FK228" s="324"/>
      <c r="FL228" s="324"/>
      <c r="FM228" s="324"/>
      <c r="FN228" s="324"/>
      <c r="FO228" s="324"/>
      <c r="FP228" s="324"/>
      <c r="FQ228" s="324"/>
      <c r="FR228" s="324"/>
      <c r="FS228" s="324"/>
      <c r="FT228" s="324"/>
      <c r="FU228" s="324"/>
      <c r="FV228" s="324"/>
      <c r="FW228" s="324"/>
      <c r="FX228" s="324"/>
      <c r="FY228" s="324"/>
      <c r="FZ228" s="324"/>
      <c r="GA228" s="324"/>
      <c r="GB228" s="324"/>
      <c r="GC228" s="324"/>
      <c r="GD228" s="324"/>
      <c r="GE228" s="324"/>
      <c r="GF228" s="324"/>
      <c r="GG228" s="324"/>
      <c r="GH228" s="324"/>
      <c r="GI228" s="324"/>
      <c r="GJ228" s="324"/>
      <c r="GK228" s="324"/>
      <c r="GL228" s="324"/>
      <c r="GM228" s="324"/>
      <c r="GN228" s="324"/>
      <c r="GO228" s="324"/>
      <c r="GP228" s="324"/>
      <c r="GQ228" s="324"/>
      <c r="GR228" s="324"/>
      <c r="GS228" s="324"/>
      <c r="GT228" s="324"/>
      <c r="GU228" s="324"/>
      <c r="GV228" s="324"/>
      <c r="GW228" s="324"/>
      <c r="GX228" s="324"/>
      <c r="GY228" s="324"/>
      <c r="GZ228" s="324"/>
      <c r="HA228" s="324"/>
      <c r="HB228" s="324"/>
      <c r="HC228" s="324"/>
      <c r="HD228" s="324"/>
      <c r="HE228" s="324"/>
      <c r="HF228" s="324"/>
      <c r="HG228" s="324"/>
      <c r="HH228" s="324"/>
      <c r="HI228" s="324"/>
      <c r="HJ228" s="324"/>
      <c r="HK228" s="324"/>
      <c r="HL228" s="324"/>
      <c r="HM228" s="324"/>
      <c r="HN228" s="324"/>
      <c r="HO228" s="324"/>
      <c r="HP228" s="324"/>
      <c r="HQ228" s="324"/>
      <c r="HR228" s="324"/>
      <c r="HS228" s="324"/>
      <c r="HT228" s="324"/>
      <c r="HU228" s="324"/>
      <c r="HV228" s="324"/>
      <c r="HW228" s="324"/>
      <c r="HX228" s="324"/>
      <c r="HY228" s="324"/>
      <c r="HZ228" s="324"/>
      <c r="IA228" s="324"/>
      <c r="IB228" s="324"/>
      <c r="IC228" s="324"/>
      <c r="ID228" s="324"/>
      <c r="IE228" s="324"/>
      <c r="IF228" s="324"/>
      <c r="IG228" s="324"/>
      <c r="IH228" s="324"/>
      <c r="II228" s="324"/>
      <c r="IJ228" s="324"/>
      <c r="IK228" s="324"/>
      <c r="IL228" s="324"/>
      <c r="IM228" s="324"/>
    </row>
    <row r="229" spans="1:247" x14ac:dyDescent="0.35">
      <c r="A229" s="356">
        <v>8334</v>
      </c>
      <c r="B229" s="357" t="s">
        <v>237</v>
      </c>
      <c r="C229" s="172" t="s">
        <v>34</v>
      </c>
      <c r="D229" s="358" t="s">
        <v>2051</v>
      </c>
      <c r="E229" s="336"/>
      <c r="F229" s="331">
        <f t="shared" si="57"/>
        <v>1.0209999999999999</v>
      </c>
      <c r="G229" s="337">
        <f>+$G$3</f>
        <v>1.0269999999999999</v>
      </c>
      <c r="H229" s="336"/>
      <c r="I229" s="338"/>
      <c r="J229" s="338"/>
      <c r="K229" s="338"/>
      <c r="L229" s="338"/>
      <c r="M229" s="338"/>
      <c r="N229" s="337"/>
      <c r="O229" s="339"/>
      <c r="P229" s="336">
        <f>+$P$3</f>
        <v>1.032</v>
      </c>
      <c r="Q229" s="337">
        <f>+$Q$3</f>
        <v>1.0349999999999999</v>
      </c>
      <c r="R229" s="340">
        <f t="shared" si="58"/>
        <v>1.1199953840399997</v>
      </c>
      <c r="S229" s="324"/>
      <c r="T229" s="324"/>
      <c r="U229" s="324"/>
      <c r="V229" s="324"/>
      <c r="W229" s="324"/>
      <c r="X229" s="324"/>
      <c r="Y229" s="324"/>
      <c r="Z229" s="324"/>
      <c r="AA229" s="324"/>
      <c r="AB229" s="324"/>
      <c r="AC229" s="324"/>
      <c r="AD229" s="324"/>
      <c r="AE229" s="324"/>
      <c r="AF229" s="324"/>
      <c r="AG229" s="324"/>
      <c r="AH229" s="324"/>
      <c r="AI229" s="324"/>
      <c r="AJ229" s="324"/>
      <c r="AK229" s="324"/>
      <c r="AL229" s="324"/>
      <c r="AM229" s="324"/>
      <c r="AN229" s="324"/>
      <c r="AO229" s="324"/>
      <c r="AP229" s="324"/>
      <c r="AQ229" s="324"/>
      <c r="AR229" s="324"/>
      <c r="AS229" s="324"/>
      <c r="AT229" s="324"/>
      <c r="AU229" s="324"/>
      <c r="AV229" s="324"/>
      <c r="AW229" s="324"/>
      <c r="AX229" s="324"/>
      <c r="AY229" s="324"/>
      <c r="AZ229" s="324"/>
      <c r="BA229" s="324"/>
      <c r="BB229" s="324"/>
      <c r="BC229" s="324"/>
      <c r="BD229" s="324"/>
      <c r="BE229" s="324"/>
      <c r="BF229" s="324"/>
      <c r="BG229" s="324"/>
      <c r="BH229" s="324"/>
      <c r="BI229" s="324"/>
      <c r="BJ229" s="324"/>
      <c r="BK229" s="324"/>
      <c r="BL229" s="324"/>
      <c r="BM229" s="324"/>
      <c r="BN229" s="324"/>
      <c r="BO229" s="324"/>
      <c r="BP229" s="324"/>
      <c r="BQ229" s="324"/>
      <c r="BR229" s="324"/>
      <c r="BS229" s="324"/>
      <c r="BT229" s="324"/>
      <c r="BU229" s="324"/>
      <c r="BV229" s="324"/>
      <c r="BW229" s="324"/>
      <c r="BX229" s="324"/>
      <c r="BY229" s="324"/>
      <c r="BZ229" s="324"/>
      <c r="CA229" s="324"/>
      <c r="CB229" s="324"/>
      <c r="CC229" s="324"/>
      <c r="CD229" s="324"/>
      <c r="CE229" s="324"/>
      <c r="CF229" s="324"/>
      <c r="CG229" s="324"/>
      <c r="CH229" s="324"/>
      <c r="CI229" s="324"/>
      <c r="CJ229" s="324"/>
      <c r="CK229" s="324"/>
      <c r="CL229" s="324"/>
      <c r="CM229" s="324"/>
      <c r="CN229" s="324"/>
      <c r="CO229" s="324"/>
      <c r="CP229" s="324"/>
      <c r="CQ229" s="324"/>
      <c r="CR229" s="324"/>
      <c r="CS229" s="324"/>
      <c r="CT229" s="324"/>
      <c r="CU229" s="324"/>
      <c r="CV229" s="324"/>
      <c r="CW229" s="324"/>
      <c r="CX229" s="324"/>
      <c r="CY229" s="324"/>
      <c r="CZ229" s="324"/>
      <c r="DA229" s="324"/>
      <c r="DB229" s="324"/>
      <c r="DC229" s="324"/>
      <c r="DD229" s="324"/>
      <c r="DE229" s="324"/>
      <c r="DF229" s="324"/>
      <c r="DG229" s="324"/>
      <c r="DH229" s="324"/>
      <c r="DI229" s="324"/>
      <c r="DJ229" s="324"/>
      <c r="DK229" s="324"/>
      <c r="DL229" s="324"/>
      <c r="DM229" s="324"/>
      <c r="DN229" s="324"/>
      <c r="DO229" s="324"/>
      <c r="DP229" s="324"/>
      <c r="DQ229" s="324"/>
      <c r="DR229" s="324"/>
      <c r="DS229" s="324"/>
      <c r="DT229" s="324"/>
      <c r="DU229" s="324"/>
      <c r="DV229" s="324"/>
      <c r="DW229" s="324"/>
      <c r="DX229" s="324"/>
      <c r="DY229" s="324"/>
      <c r="DZ229" s="324"/>
      <c r="EA229" s="324"/>
      <c r="EB229" s="324"/>
      <c r="EC229" s="324"/>
      <c r="ED229" s="324"/>
      <c r="EE229" s="324"/>
      <c r="EF229" s="324"/>
      <c r="EG229" s="324"/>
      <c r="EH229" s="324"/>
      <c r="EI229" s="324"/>
      <c r="EJ229" s="324"/>
      <c r="EK229" s="324"/>
      <c r="EL229" s="324"/>
      <c r="EM229" s="324"/>
      <c r="EN229" s="324"/>
      <c r="EO229" s="324"/>
      <c r="EP229" s="324"/>
      <c r="EQ229" s="324"/>
      <c r="ER229" s="324"/>
      <c r="ES229" s="324"/>
      <c r="ET229" s="324"/>
      <c r="EU229" s="324"/>
      <c r="EV229" s="324"/>
      <c r="EW229" s="324"/>
      <c r="EX229" s="324"/>
      <c r="EY229" s="324"/>
      <c r="EZ229" s="324"/>
      <c r="FA229" s="324"/>
      <c r="FB229" s="324"/>
      <c r="FC229" s="324"/>
      <c r="FD229" s="324"/>
      <c r="FE229" s="324"/>
      <c r="FF229" s="324"/>
      <c r="FG229" s="324"/>
      <c r="FH229" s="324"/>
      <c r="FI229" s="324"/>
      <c r="FJ229" s="324"/>
      <c r="FK229" s="324"/>
      <c r="FL229" s="324"/>
      <c r="FM229" s="324"/>
      <c r="FN229" s="324"/>
      <c r="FO229" s="324"/>
      <c r="FP229" s="324"/>
      <c r="FQ229" s="324"/>
      <c r="FR229" s="324"/>
      <c r="FS229" s="324"/>
      <c r="FT229" s="324"/>
      <c r="FU229" s="324"/>
      <c r="FV229" s="324"/>
      <c r="FW229" s="324"/>
      <c r="FX229" s="324"/>
      <c r="FY229" s="324"/>
      <c r="FZ229" s="324"/>
      <c r="GA229" s="324"/>
      <c r="GB229" s="324"/>
      <c r="GC229" s="324"/>
      <c r="GD229" s="324"/>
      <c r="GE229" s="324"/>
      <c r="GF229" s="324"/>
      <c r="GG229" s="324"/>
      <c r="GH229" s="324"/>
      <c r="GI229" s="324"/>
      <c r="GJ229" s="324"/>
      <c r="GK229" s="324"/>
      <c r="GL229" s="324"/>
      <c r="GM229" s="324"/>
      <c r="GN229" s="324"/>
      <c r="GO229" s="324"/>
      <c r="GP229" s="324"/>
      <c r="GQ229" s="324"/>
      <c r="GR229" s="324"/>
      <c r="GS229" s="324"/>
      <c r="GT229" s="324"/>
      <c r="GU229" s="324"/>
      <c r="GV229" s="324"/>
      <c r="GW229" s="324"/>
      <c r="GX229" s="324"/>
      <c r="GY229" s="324"/>
      <c r="GZ229" s="324"/>
      <c r="HA229" s="324"/>
      <c r="HB229" s="324"/>
      <c r="HC229" s="324"/>
      <c r="HD229" s="324"/>
      <c r="HE229" s="324"/>
      <c r="HF229" s="324"/>
      <c r="HG229" s="324"/>
      <c r="HH229" s="324"/>
      <c r="HI229" s="324"/>
      <c r="HJ229" s="324"/>
      <c r="HK229" s="324"/>
      <c r="HL229" s="324"/>
      <c r="HM229" s="324"/>
      <c r="HN229" s="324"/>
      <c r="HO229" s="324"/>
      <c r="HP229" s="324"/>
      <c r="HQ229" s="324"/>
      <c r="HR229" s="324"/>
      <c r="HS229" s="324"/>
      <c r="HT229" s="324"/>
      <c r="HU229" s="324"/>
      <c r="HV229" s="324"/>
      <c r="HW229" s="324"/>
      <c r="HX229" s="324"/>
      <c r="HY229" s="324"/>
      <c r="HZ229" s="324"/>
      <c r="IA229" s="324"/>
      <c r="IB229" s="324"/>
      <c r="IC229" s="324"/>
      <c r="ID229" s="324"/>
      <c r="IE229" s="324"/>
      <c r="IF229" s="324"/>
      <c r="IG229" s="324"/>
      <c r="IH229" s="324"/>
      <c r="II229" s="324"/>
      <c r="IJ229" s="324"/>
      <c r="IK229" s="324"/>
      <c r="IL229" s="324"/>
      <c r="IM229" s="324"/>
    </row>
    <row r="230" spans="1:247" x14ac:dyDescent="0.35">
      <c r="A230" s="356">
        <v>8412</v>
      </c>
      <c r="B230" s="357" t="s">
        <v>238</v>
      </c>
      <c r="C230" s="172" t="s">
        <v>226</v>
      </c>
      <c r="D230" s="358" t="s">
        <v>2051</v>
      </c>
      <c r="E230" s="336"/>
      <c r="F230" s="331">
        <f t="shared" si="57"/>
        <v>1.0209999999999999</v>
      </c>
      <c r="G230" s="337">
        <f>+$G$3</f>
        <v>1.0269999999999999</v>
      </c>
      <c r="H230" s="336"/>
      <c r="I230" s="338"/>
      <c r="J230" s="338"/>
      <c r="K230" s="338"/>
      <c r="L230" s="338"/>
      <c r="M230" s="338"/>
      <c r="N230" s="337"/>
      <c r="O230" s="339"/>
      <c r="P230" s="336">
        <f>+$P$3</f>
        <v>1.032</v>
      </c>
      <c r="Q230" s="337">
        <f>+$Q$3</f>
        <v>1.0349999999999999</v>
      </c>
      <c r="R230" s="340">
        <f t="shared" si="58"/>
        <v>1.1199953840399997</v>
      </c>
      <c r="S230" s="324"/>
      <c r="T230" s="324"/>
      <c r="U230" s="324"/>
      <c r="V230" s="324"/>
      <c r="W230" s="324"/>
      <c r="X230" s="324"/>
      <c r="Y230" s="324"/>
      <c r="Z230" s="324"/>
      <c r="AA230" s="324"/>
      <c r="AB230" s="324"/>
      <c r="AC230" s="324"/>
      <c r="AD230" s="324"/>
      <c r="AE230" s="324"/>
      <c r="AF230" s="324"/>
      <c r="AG230" s="324"/>
      <c r="AH230" s="324"/>
      <c r="AI230" s="324"/>
      <c r="AJ230" s="324"/>
      <c r="AK230" s="324"/>
      <c r="AL230" s="324"/>
      <c r="AM230" s="324"/>
      <c r="AN230" s="324"/>
      <c r="AO230" s="324"/>
      <c r="AP230" s="324"/>
      <c r="AQ230" s="324"/>
      <c r="AR230" s="324"/>
      <c r="AS230" s="324"/>
      <c r="AT230" s="324"/>
      <c r="AU230" s="324"/>
      <c r="AV230" s="324"/>
      <c r="AW230" s="324"/>
      <c r="AX230" s="324"/>
      <c r="AY230" s="324"/>
      <c r="AZ230" s="324"/>
      <c r="BA230" s="324"/>
      <c r="BB230" s="324"/>
      <c r="BC230" s="324"/>
      <c r="BD230" s="324"/>
      <c r="BE230" s="324"/>
      <c r="BF230" s="324"/>
      <c r="BG230" s="324"/>
      <c r="BH230" s="324"/>
      <c r="BI230" s="324"/>
      <c r="BJ230" s="324"/>
      <c r="BK230" s="324"/>
      <c r="BL230" s="324"/>
      <c r="BM230" s="324"/>
      <c r="BN230" s="324"/>
      <c r="BO230" s="324"/>
      <c r="BP230" s="324"/>
      <c r="BQ230" s="324"/>
      <c r="BR230" s="324"/>
      <c r="BS230" s="324"/>
      <c r="BT230" s="324"/>
      <c r="BU230" s="324"/>
      <c r="BV230" s="324"/>
      <c r="BW230" s="324"/>
      <c r="BX230" s="324"/>
      <c r="BY230" s="324"/>
      <c r="BZ230" s="324"/>
      <c r="CA230" s="324"/>
      <c r="CB230" s="324"/>
      <c r="CC230" s="324"/>
      <c r="CD230" s="324"/>
      <c r="CE230" s="324"/>
      <c r="CF230" s="324"/>
      <c r="CG230" s="324"/>
      <c r="CH230" s="324"/>
      <c r="CI230" s="324"/>
      <c r="CJ230" s="324"/>
      <c r="CK230" s="324"/>
      <c r="CL230" s="324"/>
      <c r="CM230" s="324"/>
      <c r="CN230" s="324"/>
      <c r="CO230" s="324"/>
      <c r="CP230" s="324"/>
      <c r="CQ230" s="324"/>
      <c r="CR230" s="324"/>
      <c r="CS230" s="324"/>
      <c r="CT230" s="324"/>
      <c r="CU230" s="324"/>
      <c r="CV230" s="324"/>
      <c r="CW230" s="324"/>
      <c r="CX230" s="324"/>
      <c r="CY230" s="324"/>
      <c r="CZ230" s="324"/>
      <c r="DA230" s="324"/>
      <c r="DB230" s="324"/>
      <c r="DC230" s="324"/>
      <c r="DD230" s="324"/>
      <c r="DE230" s="324"/>
      <c r="DF230" s="324"/>
      <c r="DG230" s="324"/>
      <c r="DH230" s="324"/>
      <c r="DI230" s="324"/>
      <c r="DJ230" s="324"/>
      <c r="DK230" s="324"/>
      <c r="DL230" s="324"/>
      <c r="DM230" s="324"/>
      <c r="DN230" s="324"/>
      <c r="DO230" s="324"/>
      <c r="DP230" s="324"/>
      <c r="DQ230" s="324"/>
      <c r="DR230" s="324"/>
      <c r="DS230" s="324"/>
      <c r="DT230" s="324"/>
      <c r="DU230" s="324"/>
      <c r="DV230" s="324"/>
      <c r="DW230" s="324"/>
      <c r="DX230" s="324"/>
      <c r="DY230" s="324"/>
      <c r="DZ230" s="324"/>
      <c r="EA230" s="324"/>
      <c r="EB230" s="324"/>
      <c r="EC230" s="324"/>
      <c r="ED230" s="324"/>
      <c r="EE230" s="324"/>
      <c r="EF230" s="324"/>
      <c r="EG230" s="324"/>
      <c r="EH230" s="324"/>
      <c r="EI230" s="324"/>
      <c r="EJ230" s="324"/>
      <c r="EK230" s="324"/>
      <c r="EL230" s="324"/>
      <c r="EM230" s="324"/>
      <c r="EN230" s="324"/>
      <c r="EO230" s="324"/>
      <c r="EP230" s="324"/>
      <c r="EQ230" s="324"/>
      <c r="ER230" s="324"/>
      <c r="ES230" s="324"/>
      <c r="ET230" s="324"/>
      <c r="EU230" s="324"/>
      <c r="EV230" s="324"/>
      <c r="EW230" s="324"/>
      <c r="EX230" s="324"/>
      <c r="EY230" s="324"/>
      <c r="EZ230" s="324"/>
      <c r="FA230" s="324"/>
      <c r="FB230" s="324"/>
      <c r="FC230" s="324"/>
      <c r="FD230" s="324"/>
      <c r="FE230" s="324"/>
      <c r="FF230" s="324"/>
      <c r="FG230" s="324"/>
      <c r="FH230" s="324"/>
      <c r="FI230" s="324"/>
      <c r="FJ230" s="324"/>
      <c r="FK230" s="324"/>
      <c r="FL230" s="324"/>
      <c r="FM230" s="324"/>
      <c r="FN230" s="324"/>
      <c r="FO230" s="324"/>
      <c r="FP230" s="324"/>
      <c r="FQ230" s="324"/>
      <c r="FR230" s="324"/>
      <c r="FS230" s="324"/>
      <c r="FT230" s="324"/>
      <c r="FU230" s="324"/>
      <c r="FV230" s="324"/>
      <c r="FW230" s="324"/>
      <c r="FX230" s="324"/>
      <c r="FY230" s="324"/>
      <c r="FZ230" s="324"/>
      <c r="GA230" s="324"/>
      <c r="GB230" s="324"/>
      <c r="GC230" s="324"/>
      <c r="GD230" s="324"/>
      <c r="GE230" s="324"/>
      <c r="GF230" s="324"/>
      <c r="GG230" s="324"/>
      <c r="GH230" s="324"/>
      <c r="GI230" s="324"/>
      <c r="GJ230" s="324"/>
      <c r="GK230" s="324"/>
      <c r="GL230" s="324"/>
      <c r="GM230" s="324"/>
      <c r="GN230" s="324"/>
      <c r="GO230" s="324"/>
      <c r="GP230" s="324"/>
      <c r="GQ230" s="324"/>
      <c r="GR230" s="324"/>
      <c r="GS230" s="324"/>
      <c r="GT230" s="324"/>
      <c r="GU230" s="324"/>
      <c r="GV230" s="324"/>
      <c r="GW230" s="324"/>
      <c r="GX230" s="324"/>
      <c r="GY230" s="324"/>
      <c r="GZ230" s="324"/>
      <c r="HA230" s="324"/>
      <c r="HB230" s="324"/>
      <c r="HC230" s="324"/>
      <c r="HD230" s="324"/>
      <c r="HE230" s="324"/>
      <c r="HF230" s="324"/>
      <c r="HG230" s="324"/>
      <c r="HH230" s="324"/>
      <c r="HI230" s="324"/>
      <c r="HJ230" s="324"/>
      <c r="HK230" s="324"/>
      <c r="HL230" s="324"/>
      <c r="HM230" s="324"/>
      <c r="HN230" s="324"/>
      <c r="HO230" s="324"/>
      <c r="HP230" s="324"/>
      <c r="HQ230" s="324"/>
      <c r="HR230" s="324"/>
      <c r="HS230" s="324"/>
      <c r="HT230" s="324"/>
      <c r="HU230" s="324"/>
      <c r="HV230" s="324"/>
      <c r="HW230" s="324"/>
      <c r="HX230" s="324"/>
      <c r="HY230" s="324"/>
      <c r="HZ230" s="324"/>
      <c r="IA230" s="324"/>
      <c r="IB230" s="324"/>
      <c r="IC230" s="324"/>
      <c r="ID230" s="324"/>
      <c r="IE230" s="324"/>
      <c r="IF230" s="324"/>
      <c r="IG230" s="324"/>
      <c r="IH230" s="324"/>
      <c r="II230" s="324"/>
      <c r="IJ230" s="324"/>
      <c r="IK230" s="324"/>
      <c r="IL230" s="324"/>
      <c r="IM230" s="324"/>
    </row>
    <row r="231" spans="1:247" x14ac:dyDescent="0.35">
      <c r="A231" s="356">
        <v>8413</v>
      </c>
      <c r="B231" s="357" t="s">
        <v>239</v>
      </c>
      <c r="C231" s="172" t="s">
        <v>5</v>
      </c>
      <c r="D231" s="358" t="s">
        <v>2051</v>
      </c>
      <c r="E231" s="336"/>
      <c r="F231" s="331">
        <f t="shared" si="57"/>
        <v>1.0209999999999999</v>
      </c>
      <c r="G231" s="337"/>
      <c r="H231" s="336"/>
      <c r="I231" s="338"/>
      <c r="J231" s="338"/>
      <c r="K231" s="338"/>
      <c r="L231" s="338"/>
      <c r="M231" s="338"/>
      <c r="N231" s="337"/>
      <c r="O231" s="339"/>
      <c r="P231" s="336">
        <f>+$P$3</f>
        <v>1.032</v>
      </c>
      <c r="Q231" s="337">
        <f>+$Q$3</f>
        <v>1.0349999999999999</v>
      </c>
      <c r="R231" s="340">
        <f t="shared" si="58"/>
        <v>1.0905505199999999</v>
      </c>
      <c r="S231" s="324"/>
      <c r="T231" s="324"/>
      <c r="U231" s="324"/>
      <c r="V231" s="324"/>
      <c r="W231" s="324"/>
      <c r="X231" s="324"/>
      <c r="Y231" s="324"/>
      <c r="Z231" s="324"/>
      <c r="AA231" s="324"/>
      <c r="AB231" s="324"/>
      <c r="AC231" s="324"/>
      <c r="AD231" s="324"/>
      <c r="AE231" s="324"/>
      <c r="AF231" s="324"/>
      <c r="AG231" s="324"/>
      <c r="AH231" s="324"/>
      <c r="AI231" s="324"/>
      <c r="AJ231" s="324"/>
      <c r="AK231" s="324"/>
      <c r="AL231" s="324"/>
      <c r="AM231" s="324"/>
      <c r="AN231" s="324"/>
      <c r="AO231" s="324"/>
      <c r="AP231" s="324"/>
      <c r="AQ231" s="324"/>
      <c r="AR231" s="324"/>
      <c r="AS231" s="324"/>
      <c r="AT231" s="324"/>
      <c r="AU231" s="324"/>
      <c r="AV231" s="324"/>
      <c r="AW231" s="324"/>
      <c r="AX231" s="324"/>
      <c r="AY231" s="324"/>
      <c r="AZ231" s="324"/>
      <c r="BA231" s="324"/>
      <c r="BB231" s="324"/>
      <c r="BC231" s="324"/>
      <c r="BD231" s="324"/>
      <c r="BE231" s="324"/>
      <c r="BF231" s="324"/>
      <c r="BG231" s="324"/>
      <c r="BH231" s="324"/>
      <c r="BI231" s="324"/>
      <c r="BJ231" s="324"/>
      <c r="BK231" s="324"/>
      <c r="BL231" s="324"/>
      <c r="BM231" s="324"/>
      <c r="BN231" s="324"/>
      <c r="BO231" s="324"/>
      <c r="BP231" s="324"/>
      <c r="BQ231" s="324"/>
      <c r="BR231" s="324"/>
      <c r="BS231" s="324"/>
      <c r="BT231" s="324"/>
      <c r="BU231" s="324"/>
      <c r="BV231" s="324"/>
      <c r="BW231" s="324"/>
      <c r="BX231" s="324"/>
      <c r="BY231" s="324"/>
      <c r="BZ231" s="324"/>
      <c r="CA231" s="324"/>
      <c r="CB231" s="324"/>
      <c r="CC231" s="324"/>
      <c r="CD231" s="324"/>
      <c r="CE231" s="324"/>
      <c r="CF231" s="324"/>
      <c r="CG231" s="324"/>
      <c r="CH231" s="324"/>
      <c r="CI231" s="324"/>
      <c r="CJ231" s="324"/>
      <c r="CK231" s="324"/>
      <c r="CL231" s="324"/>
      <c r="CM231" s="324"/>
      <c r="CN231" s="324"/>
      <c r="CO231" s="324"/>
      <c r="CP231" s="324"/>
      <c r="CQ231" s="324"/>
      <c r="CR231" s="324"/>
      <c r="CS231" s="324"/>
      <c r="CT231" s="324"/>
      <c r="CU231" s="324"/>
      <c r="CV231" s="324"/>
      <c r="CW231" s="324"/>
      <c r="CX231" s="324"/>
      <c r="CY231" s="324"/>
      <c r="CZ231" s="324"/>
      <c r="DA231" s="324"/>
      <c r="DB231" s="324"/>
      <c r="DC231" s="324"/>
      <c r="DD231" s="324"/>
      <c r="DE231" s="324"/>
      <c r="DF231" s="324"/>
      <c r="DG231" s="324"/>
      <c r="DH231" s="324"/>
      <c r="DI231" s="324"/>
      <c r="DJ231" s="324"/>
      <c r="DK231" s="324"/>
      <c r="DL231" s="324"/>
      <c r="DM231" s="324"/>
      <c r="DN231" s="324"/>
      <c r="DO231" s="324"/>
      <c r="DP231" s="324"/>
      <c r="DQ231" s="324"/>
      <c r="DR231" s="324"/>
      <c r="DS231" s="324"/>
      <c r="DT231" s="324"/>
      <c r="DU231" s="324"/>
      <c r="DV231" s="324"/>
      <c r="DW231" s="324"/>
      <c r="DX231" s="324"/>
      <c r="DY231" s="324"/>
      <c r="DZ231" s="324"/>
      <c r="EA231" s="324"/>
      <c r="EB231" s="324"/>
      <c r="EC231" s="324"/>
      <c r="ED231" s="324"/>
      <c r="EE231" s="324"/>
      <c r="EF231" s="324"/>
      <c r="EG231" s="324"/>
      <c r="EH231" s="324"/>
      <c r="EI231" s="324"/>
      <c r="EJ231" s="324"/>
      <c r="EK231" s="324"/>
      <c r="EL231" s="324"/>
      <c r="EM231" s="324"/>
      <c r="EN231" s="324"/>
      <c r="EO231" s="324"/>
      <c r="EP231" s="324"/>
      <c r="EQ231" s="324"/>
      <c r="ER231" s="324"/>
      <c r="ES231" s="324"/>
      <c r="ET231" s="324"/>
      <c r="EU231" s="324"/>
      <c r="EV231" s="324"/>
      <c r="EW231" s="324"/>
      <c r="EX231" s="324"/>
      <c r="EY231" s="324"/>
      <c r="EZ231" s="324"/>
      <c r="FA231" s="324"/>
      <c r="FB231" s="324"/>
      <c r="FC231" s="324"/>
      <c r="FD231" s="324"/>
      <c r="FE231" s="324"/>
      <c r="FF231" s="324"/>
      <c r="FG231" s="324"/>
      <c r="FH231" s="324"/>
      <c r="FI231" s="324"/>
      <c r="FJ231" s="324"/>
      <c r="FK231" s="324"/>
      <c r="FL231" s="324"/>
      <c r="FM231" s="324"/>
      <c r="FN231" s="324"/>
      <c r="FO231" s="324"/>
      <c r="FP231" s="324"/>
      <c r="FQ231" s="324"/>
      <c r="FR231" s="324"/>
      <c r="FS231" s="324"/>
      <c r="FT231" s="324"/>
      <c r="FU231" s="324"/>
      <c r="FV231" s="324"/>
      <c r="FW231" s="324"/>
      <c r="FX231" s="324"/>
      <c r="FY231" s="324"/>
      <c r="FZ231" s="324"/>
      <c r="GA231" s="324"/>
      <c r="GB231" s="324"/>
      <c r="GC231" s="324"/>
      <c r="GD231" s="324"/>
      <c r="GE231" s="324"/>
      <c r="GF231" s="324"/>
      <c r="GG231" s="324"/>
      <c r="GH231" s="324"/>
      <c r="GI231" s="324"/>
      <c r="GJ231" s="324"/>
      <c r="GK231" s="324"/>
      <c r="GL231" s="324"/>
      <c r="GM231" s="324"/>
      <c r="GN231" s="324"/>
      <c r="GO231" s="324"/>
      <c r="GP231" s="324"/>
      <c r="GQ231" s="324"/>
      <c r="GR231" s="324"/>
      <c r="GS231" s="324"/>
      <c r="GT231" s="324"/>
      <c r="GU231" s="324"/>
      <c r="GV231" s="324"/>
      <c r="GW231" s="324"/>
      <c r="GX231" s="324"/>
      <c r="GY231" s="324"/>
      <c r="GZ231" s="324"/>
      <c r="HA231" s="324"/>
      <c r="HB231" s="324"/>
      <c r="HC231" s="324"/>
      <c r="HD231" s="324"/>
      <c r="HE231" s="324"/>
      <c r="HF231" s="324"/>
      <c r="HG231" s="324"/>
      <c r="HH231" s="324"/>
      <c r="HI231" s="324"/>
      <c r="HJ231" s="324"/>
      <c r="HK231" s="324"/>
      <c r="HL231" s="324"/>
      <c r="HM231" s="324"/>
      <c r="HN231" s="324"/>
      <c r="HO231" s="324"/>
      <c r="HP231" s="324"/>
      <c r="HQ231" s="324"/>
      <c r="HR231" s="324"/>
      <c r="HS231" s="324"/>
      <c r="HT231" s="324"/>
      <c r="HU231" s="324"/>
      <c r="HV231" s="324"/>
      <c r="HW231" s="324"/>
      <c r="HX231" s="324"/>
      <c r="HY231" s="324"/>
      <c r="HZ231" s="324"/>
      <c r="IA231" s="324"/>
      <c r="IB231" s="324"/>
      <c r="IC231" s="324"/>
      <c r="ID231" s="324"/>
      <c r="IE231" s="324"/>
      <c r="IF231" s="324"/>
      <c r="IG231" s="324"/>
      <c r="IH231" s="324"/>
      <c r="II231" s="324"/>
      <c r="IJ231" s="324"/>
      <c r="IK231" s="324"/>
      <c r="IL231" s="324"/>
      <c r="IM231" s="324"/>
    </row>
    <row r="232" spans="1:247" x14ac:dyDescent="0.35">
      <c r="A232" s="356">
        <v>8414</v>
      </c>
      <c r="B232" s="357" t="s">
        <v>240</v>
      </c>
      <c r="C232" s="172" t="s">
        <v>226</v>
      </c>
      <c r="D232" s="358" t="s">
        <v>2051</v>
      </c>
      <c r="E232" s="336"/>
      <c r="F232" s="331">
        <f t="shared" si="57"/>
        <v>1.0209999999999999</v>
      </c>
      <c r="G232" s="337"/>
      <c r="H232" s="336"/>
      <c r="I232" s="338"/>
      <c r="J232" s="338"/>
      <c r="K232" s="338"/>
      <c r="L232" s="338"/>
      <c r="M232" s="338"/>
      <c r="N232" s="337"/>
      <c r="O232" s="339"/>
      <c r="P232" s="336"/>
      <c r="Q232" s="337"/>
      <c r="R232" s="340">
        <f t="shared" si="58"/>
        <v>1.0209999999999999</v>
      </c>
      <c r="S232" s="324"/>
      <c r="T232" s="324"/>
      <c r="U232" s="324"/>
      <c r="V232" s="324"/>
      <c r="W232" s="324"/>
      <c r="X232" s="324"/>
      <c r="Y232" s="324"/>
      <c r="Z232" s="324"/>
      <c r="AA232" s="324"/>
      <c r="AB232" s="324"/>
      <c r="AC232" s="324"/>
      <c r="AD232" s="324"/>
      <c r="AE232" s="324"/>
      <c r="AF232" s="324"/>
      <c r="AG232" s="324"/>
      <c r="AH232" s="324"/>
      <c r="AI232" s="324"/>
      <c r="AJ232" s="324"/>
      <c r="AK232" s="324"/>
      <c r="AL232" s="324"/>
      <c r="AM232" s="324"/>
      <c r="AN232" s="324"/>
      <c r="AO232" s="324"/>
      <c r="AP232" s="324"/>
      <c r="AQ232" s="324"/>
      <c r="AR232" s="324"/>
      <c r="AS232" s="324"/>
      <c r="AT232" s="324"/>
      <c r="AU232" s="324"/>
      <c r="AV232" s="324"/>
      <c r="AW232" s="324"/>
      <c r="AX232" s="324"/>
      <c r="AY232" s="324"/>
      <c r="AZ232" s="324"/>
      <c r="BA232" s="324"/>
      <c r="BB232" s="324"/>
      <c r="BC232" s="324"/>
      <c r="BD232" s="324"/>
      <c r="BE232" s="324"/>
      <c r="BF232" s="324"/>
      <c r="BG232" s="324"/>
      <c r="BH232" s="324"/>
      <c r="BI232" s="324"/>
      <c r="BJ232" s="324"/>
      <c r="BK232" s="324"/>
      <c r="BL232" s="324"/>
      <c r="BM232" s="324"/>
      <c r="BN232" s="324"/>
      <c r="BO232" s="324"/>
      <c r="BP232" s="324"/>
      <c r="BQ232" s="324"/>
      <c r="BR232" s="324"/>
      <c r="BS232" s="324"/>
      <c r="BT232" s="324"/>
      <c r="BU232" s="324"/>
      <c r="BV232" s="324"/>
      <c r="BW232" s="324"/>
      <c r="BX232" s="324"/>
      <c r="BY232" s="324"/>
      <c r="BZ232" s="324"/>
      <c r="CA232" s="324"/>
      <c r="CB232" s="324"/>
      <c r="CC232" s="324"/>
      <c r="CD232" s="324"/>
      <c r="CE232" s="324"/>
      <c r="CF232" s="324"/>
      <c r="CG232" s="324"/>
      <c r="CH232" s="324"/>
      <c r="CI232" s="324"/>
      <c r="CJ232" s="324"/>
      <c r="CK232" s="324"/>
      <c r="CL232" s="324"/>
      <c r="CM232" s="324"/>
      <c r="CN232" s="324"/>
      <c r="CO232" s="324"/>
      <c r="CP232" s="324"/>
      <c r="CQ232" s="324"/>
      <c r="CR232" s="324"/>
      <c r="CS232" s="324"/>
      <c r="CT232" s="324"/>
      <c r="CU232" s="324"/>
      <c r="CV232" s="324"/>
      <c r="CW232" s="324"/>
      <c r="CX232" s="324"/>
      <c r="CY232" s="324"/>
      <c r="CZ232" s="324"/>
      <c r="DA232" s="324"/>
      <c r="DB232" s="324"/>
      <c r="DC232" s="324"/>
      <c r="DD232" s="324"/>
      <c r="DE232" s="324"/>
      <c r="DF232" s="324"/>
      <c r="DG232" s="324"/>
      <c r="DH232" s="324"/>
      <c r="DI232" s="324"/>
      <c r="DJ232" s="324"/>
      <c r="DK232" s="324"/>
      <c r="DL232" s="324"/>
      <c r="DM232" s="324"/>
      <c r="DN232" s="324"/>
      <c r="DO232" s="324"/>
      <c r="DP232" s="324"/>
      <c r="DQ232" s="324"/>
      <c r="DR232" s="324"/>
      <c r="DS232" s="324"/>
      <c r="DT232" s="324"/>
      <c r="DU232" s="324"/>
      <c r="DV232" s="324"/>
      <c r="DW232" s="324"/>
      <c r="DX232" s="324"/>
      <c r="DY232" s="324"/>
      <c r="DZ232" s="324"/>
      <c r="EA232" s="324"/>
      <c r="EB232" s="324"/>
      <c r="EC232" s="324"/>
      <c r="ED232" s="324"/>
      <c r="EE232" s="324"/>
      <c r="EF232" s="324"/>
      <c r="EG232" s="324"/>
      <c r="EH232" s="324"/>
      <c r="EI232" s="324"/>
      <c r="EJ232" s="324"/>
      <c r="EK232" s="324"/>
      <c r="EL232" s="324"/>
      <c r="EM232" s="324"/>
      <c r="EN232" s="324"/>
      <c r="EO232" s="324"/>
      <c r="EP232" s="324"/>
      <c r="EQ232" s="324"/>
      <c r="ER232" s="324"/>
      <c r="ES232" s="324"/>
      <c r="ET232" s="324"/>
      <c r="EU232" s="324"/>
      <c r="EV232" s="324"/>
      <c r="EW232" s="324"/>
      <c r="EX232" s="324"/>
      <c r="EY232" s="324"/>
      <c r="EZ232" s="324"/>
      <c r="FA232" s="324"/>
      <c r="FB232" s="324"/>
      <c r="FC232" s="324"/>
      <c r="FD232" s="324"/>
      <c r="FE232" s="324"/>
      <c r="FF232" s="324"/>
      <c r="FG232" s="324"/>
      <c r="FH232" s="324"/>
      <c r="FI232" s="324"/>
      <c r="FJ232" s="324"/>
      <c r="FK232" s="324"/>
      <c r="FL232" s="324"/>
      <c r="FM232" s="324"/>
      <c r="FN232" s="324"/>
      <c r="FO232" s="324"/>
      <c r="FP232" s="324"/>
      <c r="FQ232" s="324"/>
      <c r="FR232" s="324"/>
      <c r="FS232" s="324"/>
      <c r="FT232" s="324"/>
      <c r="FU232" s="324"/>
      <c r="FV232" s="324"/>
      <c r="FW232" s="324"/>
      <c r="FX232" s="324"/>
      <c r="FY232" s="324"/>
      <c r="FZ232" s="324"/>
      <c r="GA232" s="324"/>
      <c r="GB232" s="324"/>
      <c r="GC232" s="324"/>
      <c r="GD232" s="324"/>
      <c r="GE232" s="324"/>
      <c r="GF232" s="324"/>
      <c r="GG232" s="324"/>
      <c r="GH232" s="324"/>
      <c r="GI232" s="324"/>
      <c r="GJ232" s="324"/>
      <c r="GK232" s="324"/>
      <c r="GL232" s="324"/>
      <c r="GM232" s="324"/>
      <c r="GN232" s="324"/>
      <c r="GO232" s="324"/>
      <c r="GP232" s="324"/>
      <c r="GQ232" s="324"/>
      <c r="GR232" s="324"/>
      <c r="GS232" s="324"/>
      <c r="GT232" s="324"/>
      <c r="GU232" s="324"/>
      <c r="GV232" s="324"/>
      <c r="GW232" s="324"/>
      <c r="GX232" s="324"/>
      <c r="GY232" s="324"/>
      <c r="GZ232" s="324"/>
      <c r="HA232" s="324"/>
      <c r="HB232" s="324"/>
      <c r="HC232" s="324"/>
      <c r="HD232" s="324"/>
      <c r="HE232" s="324"/>
      <c r="HF232" s="324"/>
      <c r="HG232" s="324"/>
      <c r="HH232" s="324"/>
      <c r="HI232" s="324"/>
      <c r="HJ232" s="324"/>
      <c r="HK232" s="324"/>
      <c r="HL232" s="324"/>
      <c r="HM232" s="324"/>
      <c r="HN232" s="324"/>
      <c r="HO232" s="324"/>
      <c r="HP232" s="324"/>
      <c r="HQ232" s="324"/>
      <c r="HR232" s="324"/>
      <c r="HS232" s="324"/>
      <c r="HT232" s="324"/>
      <c r="HU232" s="324"/>
      <c r="HV232" s="324"/>
      <c r="HW232" s="324"/>
      <c r="HX232" s="324"/>
      <c r="HY232" s="324"/>
      <c r="HZ232" s="324"/>
      <c r="IA232" s="324"/>
      <c r="IB232" s="324"/>
      <c r="IC232" s="324"/>
      <c r="ID232" s="324"/>
      <c r="IE232" s="324"/>
      <c r="IF232" s="324"/>
      <c r="IG232" s="324"/>
      <c r="IH232" s="324"/>
      <c r="II232" s="324"/>
      <c r="IJ232" s="324"/>
      <c r="IK232" s="324"/>
      <c r="IL232" s="324"/>
      <c r="IM232" s="324"/>
    </row>
    <row r="233" spans="1:247" x14ac:dyDescent="0.35">
      <c r="A233" s="356">
        <v>8415</v>
      </c>
      <c r="B233" s="357" t="s">
        <v>241</v>
      </c>
      <c r="C233" s="172" t="s">
        <v>226</v>
      </c>
      <c r="D233" s="358" t="s">
        <v>2051</v>
      </c>
      <c r="E233" s="336"/>
      <c r="F233" s="331">
        <f t="shared" si="57"/>
        <v>1.0209999999999999</v>
      </c>
      <c r="G233" s="337">
        <f>+$G$3</f>
        <v>1.0269999999999999</v>
      </c>
      <c r="H233" s="336"/>
      <c r="I233" s="338"/>
      <c r="J233" s="338"/>
      <c r="K233" s="338"/>
      <c r="L233" s="338"/>
      <c r="M233" s="338"/>
      <c r="N233" s="337"/>
      <c r="O233" s="339"/>
      <c r="P233" s="336">
        <f t="shared" ref="P233:P241" si="61">+$P$3</f>
        <v>1.032</v>
      </c>
      <c r="Q233" s="337">
        <f t="shared" ref="Q233:Q241" si="62">+$Q$3</f>
        <v>1.0349999999999999</v>
      </c>
      <c r="R233" s="340">
        <f t="shared" si="58"/>
        <v>1.1199953840399997</v>
      </c>
      <c r="S233" s="324"/>
      <c r="T233" s="324"/>
      <c r="U233" s="324"/>
      <c r="V233" s="324"/>
      <c r="W233" s="324"/>
      <c r="X233" s="324"/>
      <c r="Y233" s="324"/>
      <c r="Z233" s="324"/>
      <c r="AA233" s="324"/>
      <c r="AB233" s="324"/>
      <c r="AC233" s="324"/>
      <c r="AD233" s="324"/>
      <c r="AE233" s="324"/>
      <c r="AF233" s="324"/>
      <c r="AG233" s="324"/>
      <c r="AH233" s="324"/>
      <c r="AI233" s="324"/>
      <c r="AJ233" s="324"/>
      <c r="AK233" s="324"/>
      <c r="AL233" s="324"/>
      <c r="AM233" s="324"/>
      <c r="AN233" s="324"/>
      <c r="AO233" s="324"/>
      <c r="AP233" s="324"/>
      <c r="AQ233" s="324"/>
      <c r="AR233" s="324"/>
      <c r="AS233" s="324"/>
      <c r="AT233" s="324"/>
      <c r="AU233" s="324"/>
      <c r="AV233" s="324"/>
      <c r="AW233" s="324"/>
      <c r="AX233" s="324"/>
      <c r="AY233" s="324"/>
      <c r="AZ233" s="324"/>
      <c r="BA233" s="324"/>
      <c r="BB233" s="324"/>
      <c r="BC233" s="324"/>
      <c r="BD233" s="324"/>
      <c r="BE233" s="324"/>
      <c r="BF233" s="324"/>
      <c r="BG233" s="324"/>
      <c r="BH233" s="324"/>
      <c r="BI233" s="324"/>
      <c r="BJ233" s="324"/>
      <c r="BK233" s="324"/>
      <c r="BL233" s="324"/>
      <c r="BM233" s="324"/>
      <c r="BN233" s="324"/>
      <c r="BO233" s="324"/>
      <c r="BP233" s="324"/>
      <c r="BQ233" s="324"/>
      <c r="BR233" s="324"/>
      <c r="BS233" s="324"/>
      <c r="BT233" s="324"/>
      <c r="BU233" s="324"/>
      <c r="BV233" s="324"/>
      <c r="BW233" s="324"/>
      <c r="BX233" s="324"/>
      <c r="BY233" s="324"/>
      <c r="BZ233" s="324"/>
      <c r="CA233" s="324"/>
      <c r="CB233" s="324"/>
      <c r="CC233" s="324"/>
      <c r="CD233" s="324"/>
      <c r="CE233" s="324"/>
      <c r="CF233" s="324"/>
      <c r="CG233" s="324"/>
      <c r="CH233" s="324"/>
      <c r="CI233" s="324"/>
      <c r="CJ233" s="324"/>
      <c r="CK233" s="324"/>
      <c r="CL233" s="324"/>
      <c r="CM233" s="324"/>
      <c r="CN233" s="324"/>
      <c r="CO233" s="324"/>
      <c r="CP233" s="324"/>
      <c r="CQ233" s="324"/>
      <c r="CR233" s="324"/>
      <c r="CS233" s="324"/>
      <c r="CT233" s="324"/>
      <c r="CU233" s="324"/>
      <c r="CV233" s="324"/>
      <c r="CW233" s="324"/>
      <c r="CX233" s="324"/>
      <c r="CY233" s="324"/>
      <c r="CZ233" s="324"/>
      <c r="DA233" s="324"/>
      <c r="DB233" s="324"/>
      <c r="DC233" s="324"/>
      <c r="DD233" s="324"/>
      <c r="DE233" s="324"/>
      <c r="DF233" s="324"/>
      <c r="DG233" s="324"/>
      <c r="DH233" s="324"/>
      <c r="DI233" s="324"/>
      <c r="DJ233" s="324"/>
      <c r="DK233" s="324"/>
      <c r="DL233" s="324"/>
      <c r="DM233" s="324"/>
      <c r="DN233" s="324"/>
      <c r="DO233" s="324"/>
      <c r="DP233" s="324"/>
      <c r="DQ233" s="324"/>
      <c r="DR233" s="324"/>
      <c r="DS233" s="324"/>
      <c r="DT233" s="324"/>
      <c r="DU233" s="324"/>
      <c r="DV233" s="324"/>
      <c r="DW233" s="324"/>
      <c r="DX233" s="324"/>
      <c r="DY233" s="324"/>
      <c r="DZ233" s="324"/>
      <c r="EA233" s="324"/>
      <c r="EB233" s="324"/>
      <c r="EC233" s="324"/>
      <c r="ED233" s="324"/>
      <c r="EE233" s="324"/>
      <c r="EF233" s="324"/>
      <c r="EG233" s="324"/>
      <c r="EH233" s="324"/>
      <c r="EI233" s="324"/>
      <c r="EJ233" s="324"/>
      <c r="EK233" s="324"/>
      <c r="EL233" s="324"/>
      <c r="EM233" s="324"/>
      <c r="EN233" s="324"/>
      <c r="EO233" s="324"/>
      <c r="EP233" s="324"/>
      <c r="EQ233" s="324"/>
      <c r="ER233" s="324"/>
      <c r="ES233" s="324"/>
      <c r="ET233" s="324"/>
      <c r="EU233" s="324"/>
      <c r="EV233" s="324"/>
      <c r="EW233" s="324"/>
      <c r="EX233" s="324"/>
      <c r="EY233" s="324"/>
      <c r="EZ233" s="324"/>
      <c r="FA233" s="324"/>
      <c r="FB233" s="324"/>
      <c r="FC233" s="324"/>
      <c r="FD233" s="324"/>
      <c r="FE233" s="324"/>
      <c r="FF233" s="324"/>
      <c r="FG233" s="324"/>
      <c r="FH233" s="324"/>
      <c r="FI233" s="324"/>
      <c r="FJ233" s="324"/>
      <c r="FK233" s="324"/>
      <c r="FL233" s="324"/>
      <c r="FM233" s="324"/>
      <c r="FN233" s="324"/>
      <c r="FO233" s="324"/>
      <c r="FP233" s="324"/>
      <c r="FQ233" s="324"/>
      <c r="FR233" s="324"/>
      <c r="FS233" s="324"/>
      <c r="FT233" s="324"/>
      <c r="FU233" s="324"/>
      <c r="FV233" s="324"/>
      <c r="FW233" s="324"/>
      <c r="FX233" s="324"/>
      <c r="FY233" s="324"/>
      <c r="FZ233" s="324"/>
      <c r="GA233" s="324"/>
      <c r="GB233" s="324"/>
      <c r="GC233" s="324"/>
      <c r="GD233" s="324"/>
      <c r="GE233" s="324"/>
      <c r="GF233" s="324"/>
      <c r="GG233" s="324"/>
      <c r="GH233" s="324"/>
      <c r="GI233" s="324"/>
      <c r="GJ233" s="324"/>
      <c r="GK233" s="324"/>
      <c r="GL233" s="324"/>
      <c r="GM233" s="324"/>
      <c r="GN233" s="324"/>
      <c r="GO233" s="324"/>
      <c r="GP233" s="324"/>
      <c r="GQ233" s="324"/>
      <c r="GR233" s="324"/>
      <c r="GS233" s="324"/>
      <c r="GT233" s="324"/>
      <c r="GU233" s="324"/>
      <c r="GV233" s="324"/>
      <c r="GW233" s="324"/>
      <c r="GX233" s="324"/>
      <c r="GY233" s="324"/>
      <c r="GZ233" s="324"/>
      <c r="HA233" s="324"/>
      <c r="HB233" s="324"/>
      <c r="HC233" s="324"/>
      <c r="HD233" s="324"/>
      <c r="HE233" s="324"/>
      <c r="HF233" s="324"/>
      <c r="HG233" s="324"/>
      <c r="HH233" s="324"/>
      <c r="HI233" s="324"/>
      <c r="HJ233" s="324"/>
      <c r="HK233" s="324"/>
      <c r="HL233" s="324"/>
      <c r="HM233" s="324"/>
      <c r="HN233" s="324"/>
      <c r="HO233" s="324"/>
      <c r="HP233" s="324"/>
      <c r="HQ233" s="324"/>
      <c r="HR233" s="324"/>
      <c r="HS233" s="324"/>
      <c r="HT233" s="324"/>
      <c r="HU233" s="324"/>
      <c r="HV233" s="324"/>
      <c r="HW233" s="324"/>
      <c r="HX233" s="324"/>
      <c r="HY233" s="324"/>
      <c r="HZ233" s="324"/>
      <c r="IA233" s="324"/>
      <c r="IB233" s="324"/>
      <c r="IC233" s="324"/>
      <c r="ID233" s="324"/>
      <c r="IE233" s="324"/>
      <c r="IF233" s="324"/>
      <c r="IG233" s="324"/>
      <c r="IH233" s="324"/>
      <c r="II233" s="324"/>
      <c r="IJ233" s="324"/>
      <c r="IK233" s="324"/>
      <c r="IL233" s="324"/>
      <c r="IM233" s="324"/>
    </row>
    <row r="234" spans="1:247" x14ac:dyDescent="0.35">
      <c r="A234" s="356">
        <v>8421</v>
      </c>
      <c r="B234" s="357" t="s">
        <v>242</v>
      </c>
      <c r="C234" s="172" t="s">
        <v>6</v>
      </c>
      <c r="D234" s="358" t="s">
        <v>2052</v>
      </c>
      <c r="E234" s="336"/>
      <c r="F234" s="331">
        <f t="shared" si="57"/>
        <v>1.0209999999999999</v>
      </c>
      <c r="G234" s="337"/>
      <c r="H234" s="336"/>
      <c r="I234" s="338"/>
      <c r="J234" s="338"/>
      <c r="K234" s="338"/>
      <c r="L234" s="338"/>
      <c r="M234" s="338"/>
      <c r="N234" s="337"/>
      <c r="O234" s="339"/>
      <c r="P234" s="336">
        <f t="shared" si="61"/>
        <v>1.032</v>
      </c>
      <c r="Q234" s="337">
        <f t="shared" si="62"/>
        <v>1.0349999999999999</v>
      </c>
      <c r="R234" s="340">
        <f t="shared" si="58"/>
        <v>1.0905505199999999</v>
      </c>
      <c r="S234" s="324"/>
      <c r="T234" s="324"/>
      <c r="U234" s="324"/>
      <c r="V234" s="324"/>
      <c r="W234" s="324"/>
      <c r="X234" s="324"/>
      <c r="Y234" s="324"/>
      <c r="Z234" s="324"/>
      <c r="AA234" s="324"/>
      <c r="AB234" s="324"/>
      <c r="AC234" s="324"/>
      <c r="AD234" s="324"/>
      <c r="AE234" s="324"/>
      <c r="AF234" s="324"/>
      <c r="AG234" s="324"/>
      <c r="AH234" s="324"/>
      <c r="AI234" s="324"/>
      <c r="AJ234" s="324"/>
      <c r="AK234" s="324"/>
      <c r="AL234" s="324"/>
      <c r="AM234" s="324"/>
      <c r="AN234" s="324"/>
      <c r="AO234" s="324"/>
      <c r="AP234" s="324"/>
      <c r="AQ234" s="324"/>
      <c r="AR234" s="324"/>
      <c r="AS234" s="324"/>
      <c r="AT234" s="324"/>
      <c r="AU234" s="324"/>
      <c r="AV234" s="324"/>
      <c r="AW234" s="324"/>
      <c r="AX234" s="324"/>
      <c r="AY234" s="324"/>
      <c r="AZ234" s="324"/>
      <c r="BA234" s="324"/>
      <c r="BB234" s="324"/>
      <c r="BC234" s="324"/>
      <c r="BD234" s="324"/>
      <c r="BE234" s="324"/>
      <c r="BF234" s="324"/>
      <c r="BG234" s="324"/>
      <c r="BH234" s="324"/>
      <c r="BI234" s="324"/>
      <c r="BJ234" s="324"/>
      <c r="BK234" s="324"/>
      <c r="BL234" s="324"/>
      <c r="BM234" s="324"/>
      <c r="BN234" s="324"/>
      <c r="BO234" s="324"/>
      <c r="BP234" s="324"/>
      <c r="BQ234" s="324"/>
      <c r="BR234" s="324"/>
      <c r="BS234" s="324"/>
      <c r="BT234" s="324"/>
      <c r="BU234" s="324"/>
      <c r="BV234" s="324"/>
      <c r="BW234" s="324"/>
      <c r="BX234" s="324"/>
      <c r="BY234" s="324"/>
      <c r="BZ234" s="324"/>
      <c r="CA234" s="324"/>
      <c r="CB234" s="324"/>
      <c r="CC234" s="324"/>
      <c r="CD234" s="324"/>
      <c r="CE234" s="324"/>
      <c r="CF234" s="324"/>
      <c r="CG234" s="324"/>
      <c r="CH234" s="324"/>
      <c r="CI234" s="324"/>
      <c r="CJ234" s="324"/>
      <c r="CK234" s="324"/>
      <c r="CL234" s="324"/>
      <c r="CM234" s="324"/>
      <c r="CN234" s="324"/>
      <c r="CO234" s="324"/>
      <c r="CP234" s="324"/>
      <c r="CQ234" s="324"/>
      <c r="CR234" s="324"/>
      <c r="CS234" s="324"/>
      <c r="CT234" s="324"/>
      <c r="CU234" s="324"/>
      <c r="CV234" s="324"/>
      <c r="CW234" s="324"/>
      <c r="CX234" s="324"/>
      <c r="CY234" s="324"/>
      <c r="CZ234" s="324"/>
      <c r="DA234" s="324"/>
      <c r="DB234" s="324"/>
      <c r="DC234" s="324"/>
      <c r="DD234" s="324"/>
      <c r="DE234" s="324"/>
      <c r="DF234" s="324"/>
      <c r="DG234" s="324"/>
      <c r="DH234" s="324"/>
      <c r="DI234" s="324"/>
      <c r="DJ234" s="324"/>
      <c r="DK234" s="324"/>
      <c r="DL234" s="324"/>
      <c r="DM234" s="324"/>
      <c r="DN234" s="324"/>
      <c r="DO234" s="324"/>
      <c r="DP234" s="324"/>
      <c r="DQ234" s="324"/>
      <c r="DR234" s="324"/>
      <c r="DS234" s="324"/>
      <c r="DT234" s="324"/>
      <c r="DU234" s="324"/>
      <c r="DV234" s="324"/>
      <c r="DW234" s="324"/>
      <c r="DX234" s="324"/>
      <c r="DY234" s="324"/>
      <c r="DZ234" s="324"/>
      <c r="EA234" s="324"/>
      <c r="EB234" s="324"/>
      <c r="EC234" s="324"/>
      <c r="ED234" s="324"/>
      <c r="EE234" s="324"/>
      <c r="EF234" s="324"/>
      <c r="EG234" s="324"/>
      <c r="EH234" s="324"/>
      <c r="EI234" s="324"/>
      <c r="EJ234" s="324"/>
      <c r="EK234" s="324"/>
      <c r="EL234" s="324"/>
      <c r="EM234" s="324"/>
      <c r="EN234" s="324"/>
      <c r="EO234" s="324"/>
      <c r="EP234" s="324"/>
      <c r="EQ234" s="324"/>
      <c r="ER234" s="324"/>
      <c r="ES234" s="324"/>
      <c r="ET234" s="324"/>
      <c r="EU234" s="324"/>
      <c r="EV234" s="324"/>
      <c r="EW234" s="324"/>
      <c r="EX234" s="324"/>
      <c r="EY234" s="324"/>
      <c r="EZ234" s="324"/>
      <c r="FA234" s="324"/>
      <c r="FB234" s="324"/>
      <c r="FC234" s="324"/>
      <c r="FD234" s="324"/>
      <c r="FE234" s="324"/>
      <c r="FF234" s="324"/>
      <c r="FG234" s="324"/>
      <c r="FH234" s="324"/>
      <c r="FI234" s="324"/>
      <c r="FJ234" s="324"/>
      <c r="FK234" s="324"/>
      <c r="FL234" s="324"/>
      <c r="FM234" s="324"/>
      <c r="FN234" s="324"/>
      <c r="FO234" s="324"/>
      <c r="FP234" s="324"/>
      <c r="FQ234" s="324"/>
      <c r="FR234" s="324"/>
      <c r="FS234" s="324"/>
      <c r="FT234" s="324"/>
      <c r="FU234" s="324"/>
      <c r="FV234" s="324"/>
      <c r="FW234" s="324"/>
      <c r="FX234" s="324"/>
      <c r="FY234" s="324"/>
      <c r="FZ234" s="324"/>
      <c r="GA234" s="324"/>
      <c r="GB234" s="324"/>
      <c r="GC234" s="324"/>
      <c r="GD234" s="324"/>
      <c r="GE234" s="324"/>
      <c r="GF234" s="324"/>
      <c r="GG234" s="324"/>
      <c r="GH234" s="324"/>
      <c r="GI234" s="324"/>
      <c r="GJ234" s="324"/>
      <c r="GK234" s="324"/>
      <c r="GL234" s="324"/>
      <c r="GM234" s="324"/>
      <c r="GN234" s="324"/>
      <c r="GO234" s="324"/>
      <c r="GP234" s="324"/>
      <c r="GQ234" s="324"/>
      <c r="GR234" s="324"/>
      <c r="GS234" s="324"/>
      <c r="GT234" s="324"/>
      <c r="GU234" s="324"/>
      <c r="GV234" s="324"/>
      <c r="GW234" s="324"/>
      <c r="GX234" s="324"/>
      <c r="GY234" s="324"/>
      <c r="GZ234" s="324"/>
      <c r="HA234" s="324"/>
      <c r="HB234" s="324"/>
      <c r="HC234" s="324"/>
      <c r="HD234" s="324"/>
      <c r="HE234" s="324"/>
      <c r="HF234" s="324"/>
      <c r="HG234" s="324"/>
      <c r="HH234" s="324"/>
      <c r="HI234" s="324"/>
      <c r="HJ234" s="324"/>
      <c r="HK234" s="324"/>
      <c r="HL234" s="324"/>
      <c r="HM234" s="324"/>
      <c r="HN234" s="324"/>
      <c r="HO234" s="324"/>
      <c r="HP234" s="324"/>
      <c r="HQ234" s="324"/>
      <c r="HR234" s="324"/>
      <c r="HS234" s="324"/>
      <c r="HT234" s="324"/>
      <c r="HU234" s="324"/>
      <c r="HV234" s="324"/>
      <c r="HW234" s="324"/>
      <c r="HX234" s="324"/>
      <c r="HY234" s="324"/>
      <c r="HZ234" s="324"/>
      <c r="IA234" s="324"/>
      <c r="IB234" s="324"/>
      <c r="IC234" s="324"/>
      <c r="ID234" s="324"/>
      <c r="IE234" s="324"/>
      <c r="IF234" s="324"/>
      <c r="IG234" s="324"/>
      <c r="IH234" s="324"/>
      <c r="II234" s="324"/>
      <c r="IJ234" s="324"/>
      <c r="IK234" s="324"/>
      <c r="IL234" s="324"/>
      <c r="IM234" s="324"/>
    </row>
    <row r="235" spans="1:247" x14ac:dyDescent="0.35">
      <c r="A235" s="356">
        <v>8432</v>
      </c>
      <c r="B235" s="357" t="s">
        <v>243</v>
      </c>
      <c r="C235" s="172" t="s">
        <v>6</v>
      </c>
      <c r="D235" s="358" t="s">
        <v>2052</v>
      </c>
      <c r="E235" s="336"/>
      <c r="F235" s="331">
        <f t="shared" si="57"/>
        <v>1.0209999999999999</v>
      </c>
      <c r="G235" s="337"/>
      <c r="H235" s="336"/>
      <c r="I235" s="338"/>
      <c r="J235" s="338"/>
      <c r="K235" s="338"/>
      <c r="L235" s="338"/>
      <c r="M235" s="338"/>
      <c r="N235" s="337"/>
      <c r="O235" s="339"/>
      <c r="P235" s="336">
        <f t="shared" si="61"/>
        <v>1.032</v>
      </c>
      <c r="Q235" s="337">
        <f t="shared" si="62"/>
        <v>1.0349999999999999</v>
      </c>
      <c r="R235" s="340">
        <f t="shared" si="58"/>
        <v>1.0905505199999999</v>
      </c>
      <c r="S235" s="324"/>
      <c r="T235" s="324"/>
      <c r="U235" s="324"/>
      <c r="V235" s="324"/>
      <c r="W235" s="324"/>
      <c r="X235" s="324"/>
      <c r="Y235" s="324"/>
      <c r="Z235" s="324"/>
      <c r="AA235" s="324"/>
      <c r="AB235" s="324"/>
      <c r="AC235" s="324"/>
      <c r="AD235" s="324"/>
      <c r="AE235" s="324"/>
      <c r="AF235" s="324"/>
      <c r="AG235" s="324"/>
      <c r="AH235" s="324"/>
      <c r="AI235" s="324"/>
      <c r="AJ235" s="324"/>
      <c r="AK235" s="324"/>
      <c r="AL235" s="324"/>
      <c r="AM235" s="324"/>
      <c r="AN235" s="324"/>
      <c r="AO235" s="324"/>
      <c r="AP235" s="324"/>
      <c r="AQ235" s="324"/>
      <c r="AR235" s="324"/>
      <c r="AS235" s="324"/>
      <c r="AT235" s="324"/>
      <c r="AU235" s="324"/>
      <c r="AV235" s="324"/>
      <c r="AW235" s="324"/>
      <c r="AX235" s="324"/>
      <c r="AY235" s="324"/>
      <c r="AZ235" s="324"/>
      <c r="BA235" s="324"/>
      <c r="BB235" s="324"/>
      <c r="BC235" s="324"/>
      <c r="BD235" s="324"/>
      <c r="BE235" s="324"/>
      <c r="BF235" s="324"/>
      <c r="BG235" s="324"/>
      <c r="BH235" s="324"/>
      <c r="BI235" s="324"/>
      <c r="BJ235" s="324"/>
      <c r="BK235" s="324"/>
      <c r="BL235" s="324"/>
      <c r="BM235" s="324"/>
      <c r="BN235" s="324"/>
      <c r="BO235" s="324"/>
      <c r="BP235" s="324"/>
      <c r="BQ235" s="324"/>
      <c r="BR235" s="324"/>
      <c r="BS235" s="324"/>
      <c r="BT235" s="324"/>
      <c r="BU235" s="324"/>
      <c r="BV235" s="324"/>
      <c r="BW235" s="324"/>
      <c r="BX235" s="324"/>
      <c r="BY235" s="324"/>
      <c r="BZ235" s="324"/>
      <c r="CA235" s="324"/>
      <c r="CB235" s="324"/>
      <c r="CC235" s="324"/>
      <c r="CD235" s="324"/>
      <c r="CE235" s="324"/>
      <c r="CF235" s="324"/>
      <c r="CG235" s="324"/>
      <c r="CH235" s="324"/>
      <c r="CI235" s="324"/>
      <c r="CJ235" s="324"/>
      <c r="CK235" s="324"/>
      <c r="CL235" s="324"/>
      <c r="CM235" s="324"/>
      <c r="CN235" s="324"/>
      <c r="CO235" s="324"/>
      <c r="CP235" s="324"/>
      <c r="CQ235" s="324"/>
      <c r="CR235" s="324"/>
      <c r="CS235" s="324"/>
      <c r="CT235" s="324"/>
      <c r="CU235" s="324"/>
      <c r="CV235" s="324"/>
      <c r="CW235" s="324"/>
      <c r="CX235" s="324"/>
      <c r="CY235" s="324"/>
      <c r="CZ235" s="324"/>
      <c r="DA235" s="324"/>
      <c r="DB235" s="324"/>
      <c r="DC235" s="324"/>
      <c r="DD235" s="324"/>
      <c r="DE235" s="324"/>
      <c r="DF235" s="324"/>
      <c r="DG235" s="324"/>
      <c r="DH235" s="324"/>
      <c r="DI235" s="324"/>
      <c r="DJ235" s="324"/>
      <c r="DK235" s="324"/>
      <c r="DL235" s="324"/>
      <c r="DM235" s="324"/>
      <c r="DN235" s="324"/>
      <c r="DO235" s="324"/>
      <c r="DP235" s="324"/>
      <c r="DQ235" s="324"/>
      <c r="DR235" s="324"/>
      <c r="DS235" s="324"/>
      <c r="DT235" s="324"/>
      <c r="DU235" s="324"/>
      <c r="DV235" s="324"/>
      <c r="DW235" s="324"/>
      <c r="DX235" s="324"/>
      <c r="DY235" s="324"/>
      <c r="DZ235" s="324"/>
      <c r="EA235" s="324"/>
      <c r="EB235" s="324"/>
      <c r="EC235" s="324"/>
      <c r="ED235" s="324"/>
      <c r="EE235" s="324"/>
      <c r="EF235" s="324"/>
      <c r="EG235" s="324"/>
      <c r="EH235" s="324"/>
      <c r="EI235" s="324"/>
      <c r="EJ235" s="324"/>
      <c r="EK235" s="324"/>
      <c r="EL235" s="324"/>
      <c r="EM235" s="324"/>
      <c r="EN235" s="324"/>
      <c r="EO235" s="324"/>
      <c r="EP235" s="324"/>
      <c r="EQ235" s="324"/>
      <c r="ER235" s="324"/>
      <c r="ES235" s="324"/>
      <c r="ET235" s="324"/>
      <c r="EU235" s="324"/>
      <c r="EV235" s="324"/>
      <c r="EW235" s="324"/>
      <c r="EX235" s="324"/>
      <c r="EY235" s="324"/>
      <c r="EZ235" s="324"/>
      <c r="FA235" s="324"/>
      <c r="FB235" s="324"/>
      <c r="FC235" s="324"/>
      <c r="FD235" s="324"/>
      <c r="FE235" s="324"/>
      <c r="FF235" s="324"/>
      <c r="FG235" s="324"/>
      <c r="FH235" s="324"/>
      <c r="FI235" s="324"/>
      <c r="FJ235" s="324"/>
      <c r="FK235" s="324"/>
      <c r="FL235" s="324"/>
      <c r="FM235" s="324"/>
      <c r="FN235" s="324"/>
      <c r="FO235" s="324"/>
      <c r="FP235" s="324"/>
      <c r="FQ235" s="324"/>
      <c r="FR235" s="324"/>
      <c r="FS235" s="324"/>
      <c r="FT235" s="324"/>
      <c r="FU235" s="324"/>
      <c r="FV235" s="324"/>
      <c r="FW235" s="324"/>
      <c r="FX235" s="324"/>
      <c r="FY235" s="324"/>
      <c r="FZ235" s="324"/>
      <c r="GA235" s="324"/>
      <c r="GB235" s="324"/>
      <c r="GC235" s="324"/>
      <c r="GD235" s="324"/>
      <c r="GE235" s="324"/>
      <c r="GF235" s="324"/>
      <c r="GG235" s="324"/>
      <c r="GH235" s="324"/>
      <c r="GI235" s="324"/>
      <c r="GJ235" s="324"/>
      <c r="GK235" s="324"/>
      <c r="GL235" s="324"/>
      <c r="GM235" s="324"/>
      <c r="GN235" s="324"/>
      <c r="GO235" s="324"/>
      <c r="GP235" s="324"/>
      <c r="GQ235" s="324"/>
      <c r="GR235" s="324"/>
      <c r="GS235" s="324"/>
      <c r="GT235" s="324"/>
      <c r="GU235" s="324"/>
      <c r="GV235" s="324"/>
      <c r="GW235" s="324"/>
      <c r="GX235" s="324"/>
      <c r="GY235" s="324"/>
      <c r="GZ235" s="324"/>
      <c r="HA235" s="324"/>
      <c r="HB235" s="324"/>
      <c r="HC235" s="324"/>
      <c r="HD235" s="324"/>
      <c r="HE235" s="324"/>
      <c r="HF235" s="324"/>
      <c r="HG235" s="324"/>
      <c r="HH235" s="324"/>
      <c r="HI235" s="324"/>
      <c r="HJ235" s="324"/>
      <c r="HK235" s="324"/>
      <c r="HL235" s="324"/>
      <c r="HM235" s="324"/>
      <c r="HN235" s="324"/>
      <c r="HO235" s="324"/>
      <c r="HP235" s="324"/>
      <c r="HQ235" s="324"/>
      <c r="HR235" s="324"/>
      <c r="HS235" s="324"/>
      <c r="HT235" s="324"/>
      <c r="HU235" s="324"/>
      <c r="HV235" s="324"/>
      <c r="HW235" s="324"/>
      <c r="HX235" s="324"/>
      <c r="HY235" s="324"/>
      <c r="HZ235" s="324"/>
      <c r="IA235" s="324"/>
      <c r="IB235" s="324"/>
      <c r="IC235" s="324"/>
      <c r="ID235" s="324"/>
      <c r="IE235" s="324"/>
      <c r="IF235" s="324"/>
      <c r="IG235" s="324"/>
      <c r="IH235" s="324"/>
      <c r="II235" s="324"/>
      <c r="IJ235" s="324"/>
      <c r="IK235" s="324"/>
      <c r="IL235" s="324"/>
      <c r="IM235" s="324"/>
    </row>
    <row r="236" spans="1:247" x14ac:dyDescent="0.35">
      <c r="A236" s="356">
        <v>8441</v>
      </c>
      <c r="B236" s="357" t="s">
        <v>245</v>
      </c>
      <c r="C236" s="172" t="s">
        <v>226</v>
      </c>
      <c r="D236" s="358" t="s">
        <v>2051</v>
      </c>
      <c r="E236" s="336"/>
      <c r="F236" s="331">
        <f t="shared" si="57"/>
        <v>1.0209999999999999</v>
      </c>
      <c r="G236" s="337"/>
      <c r="H236" s="336"/>
      <c r="I236" s="338"/>
      <c r="J236" s="338"/>
      <c r="K236" s="338"/>
      <c r="L236" s="338"/>
      <c r="M236" s="338"/>
      <c r="N236" s="337"/>
      <c r="O236" s="339"/>
      <c r="P236" s="336">
        <f t="shared" si="61"/>
        <v>1.032</v>
      </c>
      <c r="Q236" s="337">
        <f t="shared" si="62"/>
        <v>1.0349999999999999</v>
      </c>
      <c r="R236" s="340">
        <f t="shared" si="58"/>
        <v>1.0905505199999999</v>
      </c>
      <c r="S236" s="324"/>
      <c r="T236" s="324"/>
      <c r="U236" s="324"/>
      <c r="V236" s="324"/>
      <c r="W236" s="324"/>
      <c r="X236" s="324"/>
      <c r="Y236" s="324"/>
      <c r="Z236" s="324"/>
      <c r="AA236" s="324"/>
      <c r="AB236" s="324"/>
      <c r="AC236" s="324"/>
      <c r="AD236" s="324"/>
      <c r="AE236" s="324"/>
      <c r="AF236" s="324"/>
      <c r="AG236" s="324"/>
      <c r="AH236" s="324"/>
      <c r="AI236" s="324"/>
      <c r="AJ236" s="324"/>
      <c r="AK236" s="324"/>
      <c r="AL236" s="324"/>
      <c r="AM236" s="324"/>
      <c r="AN236" s="324"/>
      <c r="AO236" s="324"/>
      <c r="AP236" s="324"/>
      <c r="AQ236" s="324"/>
      <c r="AR236" s="324"/>
      <c r="AS236" s="324"/>
      <c r="AT236" s="324"/>
      <c r="AU236" s="324"/>
      <c r="AV236" s="324"/>
      <c r="AW236" s="324"/>
      <c r="AX236" s="324"/>
      <c r="AY236" s="324"/>
      <c r="AZ236" s="324"/>
      <c r="BA236" s="324"/>
      <c r="BB236" s="324"/>
      <c r="BC236" s="324"/>
      <c r="BD236" s="324"/>
      <c r="BE236" s="324"/>
      <c r="BF236" s="324"/>
      <c r="BG236" s="324"/>
      <c r="BH236" s="324"/>
      <c r="BI236" s="324"/>
      <c r="BJ236" s="324"/>
      <c r="BK236" s="324"/>
      <c r="BL236" s="324"/>
      <c r="BM236" s="324"/>
      <c r="BN236" s="324"/>
      <c r="BO236" s="324"/>
      <c r="BP236" s="324"/>
      <c r="BQ236" s="324"/>
      <c r="BR236" s="324"/>
      <c r="BS236" s="324"/>
      <c r="BT236" s="324"/>
      <c r="BU236" s="324"/>
      <c r="BV236" s="324"/>
      <c r="BW236" s="324"/>
      <c r="BX236" s="324"/>
      <c r="BY236" s="324"/>
      <c r="BZ236" s="324"/>
      <c r="CA236" s="324"/>
      <c r="CB236" s="324"/>
      <c r="CC236" s="324"/>
      <c r="CD236" s="324"/>
      <c r="CE236" s="324"/>
      <c r="CF236" s="324"/>
      <c r="CG236" s="324"/>
      <c r="CH236" s="324"/>
      <c r="CI236" s="324"/>
      <c r="CJ236" s="324"/>
      <c r="CK236" s="324"/>
      <c r="CL236" s="324"/>
      <c r="CM236" s="324"/>
      <c r="CN236" s="324"/>
      <c r="CO236" s="324"/>
      <c r="CP236" s="324"/>
      <c r="CQ236" s="324"/>
      <c r="CR236" s="324"/>
      <c r="CS236" s="324"/>
      <c r="CT236" s="324"/>
      <c r="CU236" s="324"/>
      <c r="CV236" s="324"/>
      <c r="CW236" s="324"/>
      <c r="CX236" s="324"/>
      <c r="CY236" s="324"/>
      <c r="CZ236" s="324"/>
      <c r="DA236" s="324"/>
      <c r="DB236" s="324"/>
      <c r="DC236" s="324"/>
      <c r="DD236" s="324"/>
      <c r="DE236" s="324"/>
      <c r="DF236" s="324"/>
      <c r="DG236" s="324"/>
      <c r="DH236" s="324"/>
      <c r="DI236" s="324"/>
      <c r="DJ236" s="324"/>
      <c r="DK236" s="324"/>
      <c r="DL236" s="324"/>
      <c r="DM236" s="324"/>
      <c r="DN236" s="324"/>
      <c r="DO236" s="324"/>
      <c r="DP236" s="324"/>
      <c r="DQ236" s="324"/>
      <c r="DR236" s="324"/>
      <c r="DS236" s="324"/>
      <c r="DT236" s="324"/>
      <c r="DU236" s="324"/>
      <c r="DV236" s="324"/>
      <c r="DW236" s="324"/>
      <c r="DX236" s="324"/>
      <c r="DY236" s="324"/>
      <c r="DZ236" s="324"/>
      <c r="EA236" s="324"/>
      <c r="EB236" s="324"/>
      <c r="EC236" s="324"/>
      <c r="ED236" s="324"/>
      <c r="EE236" s="324"/>
      <c r="EF236" s="324"/>
      <c r="EG236" s="324"/>
      <c r="EH236" s="324"/>
      <c r="EI236" s="324"/>
      <c r="EJ236" s="324"/>
      <c r="EK236" s="324"/>
      <c r="EL236" s="324"/>
      <c r="EM236" s="324"/>
      <c r="EN236" s="324"/>
      <c r="EO236" s="324"/>
      <c r="EP236" s="324"/>
      <c r="EQ236" s="324"/>
      <c r="ER236" s="324"/>
      <c r="ES236" s="324"/>
      <c r="ET236" s="324"/>
      <c r="EU236" s="324"/>
      <c r="EV236" s="324"/>
      <c r="EW236" s="324"/>
      <c r="EX236" s="324"/>
      <c r="EY236" s="324"/>
      <c r="EZ236" s="324"/>
      <c r="FA236" s="324"/>
      <c r="FB236" s="324"/>
      <c r="FC236" s="324"/>
      <c r="FD236" s="324"/>
      <c r="FE236" s="324"/>
      <c r="FF236" s="324"/>
      <c r="FG236" s="324"/>
      <c r="FH236" s="324"/>
      <c r="FI236" s="324"/>
      <c r="FJ236" s="324"/>
      <c r="FK236" s="324"/>
      <c r="FL236" s="324"/>
      <c r="FM236" s="324"/>
      <c r="FN236" s="324"/>
      <c r="FO236" s="324"/>
      <c r="FP236" s="324"/>
      <c r="FQ236" s="324"/>
      <c r="FR236" s="324"/>
      <c r="FS236" s="324"/>
      <c r="FT236" s="324"/>
      <c r="FU236" s="324"/>
      <c r="FV236" s="324"/>
      <c r="FW236" s="324"/>
      <c r="FX236" s="324"/>
      <c r="FY236" s="324"/>
      <c r="FZ236" s="324"/>
      <c r="GA236" s="324"/>
      <c r="GB236" s="324"/>
      <c r="GC236" s="324"/>
      <c r="GD236" s="324"/>
      <c r="GE236" s="324"/>
      <c r="GF236" s="324"/>
      <c r="GG236" s="324"/>
      <c r="GH236" s="324"/>
      <c r="GI236" s="324"/>
      <c r="GJ236" s="324"/>
      <c r="GK236" s="324"/>
      <c r="GL236" s="324"/>
      <c r="GM236" s="324"/>
      <c r="GN236" s="324"/>
      <c r="GO236" s="324"/>
      <c r="GP236" s="324"/>
      <c r="GQ236" s="324"/>
      <c r="GR236" s="324"/>
      <c r="GS236" s="324"/>
      <c r="GT236" s="324"/>
      <c r="GU236" s="324"/>
      <c r="GV236" s="324"/>
      <c r="GW236" s="324"/>
      <c r="GX236" s="324"/>
      <c r="GY236" s="324"/>
      <c r="GZ236" s="324"/>
      <c r="HA236" s="324"/>
      <c r="HB236" s="324"/>
      <c r="HC236" s="324"/>
      <c r="HD236" s="324"/>
      <c r="HE236" s="324"/>
      <c r="HF236" s="324"/>
      <c r="HG236" s="324"/>
      <c r="HH236" s="324"/>
      <c r="HI236" s="324"/>
      <c r="HJ236" s="324"/>
      <c r="HK236" s="324"/>
      <c r="HL236" s="324"/>
      <c r="HM236" s="324"/>
      <c r="HN236" s="324"/>
      <c r="HO236" s="324"/>
      <c r="HP236" s="324"/>
      <c r="HQ236" s="324"/>
      <c r="HR236" s="324"/>
      <c r="HS236" s="324"/>
      <c r="HT236" s="324"/>
      <c r="HU236" s="324"/>
      <c r="HV236" s="324"/>
      <c r="HW236" s="324"/>
      <c r="HX236" s="324"/>
      <c r="HY236" s="324"/>
      <c r="HZ236" s="324"/>
      <c r="IA236" s="324"/>
      <c r="IB236" s="324"/>
      <c r="IC236" s="324"/>
      <c r="ID236" s="324"/>
      <c r="IE236" s="324"/>
      <c r="IF236" s="324"/>
      <c r="IG236" s="324"/>
      <c r="IH236" s="324"/>
      <c r="II236" s="324"/>
      <c r="IJ236" s="324"/>
      <c r="IK236" s="324"/>
      <c r="IL236" s="324"/>
      <c r="IM236" s="324"/>
    </row>
    <row r="237" spans="1:247" x14ac:dyDescent="0.35">
      <c r="A237" s="356">
        <v>8442</v>
      </c>
      <c r="B237" s="357" t="s">
        <v>246</v>
      </c>
      <c r="C237" s="172" t="s">
        <v>5</v>
      </c>
      <c r="D237" s="358" t="s">
        <v>2051</v>
      </c>
      <c r="E237" s="336"/>
      <c r="F237" s="331">
        <f t="shared" si="57"/>
        <v>1.0209999999999999</v>
      </c>
      <c r="G237" s="337"/>
      <c r="H237" s="336"/>
      <c r="I237" s="338"/>
      <c r="J237" s="338"/>
      <c r="K237" s="338"/>
      <c r="L237" s="338"/>
      <c r="M237" s="338"/>
      <c r="N237" s="337"/>
      <c r="O237" s="339"/>
      <c r="P237" s="336">
        <f t="shared" si="61"/>
        <v>1.032</v>
      </c>
      <c r="Q237" s="337">
        <f t="shared" si="62"/>
        <v>1.0349999999999999</v>
      </c>
      <c r="R237" s="340">
        <f t="shared" si="58"/>
        <v>1.0905505199999999</v>
      </c>
      <c r="S237" s="324"/>
      <c r="T237" s="324"/>
      <c r="U237" s="324"/>
      <c r="V237" s="324"/>
      <c r="W237" s="324"/>
      <c r="X237" s="324"/>
      <c r="Y237" s="324"/>
      <c r="Z237" s="324"/>
      <c r="AA237" s="324"/>
      <c r="AB237" s="324"/>
      <c r="AC237" s="324"/>
      <c r="AD237" s="324"/>
      <c r="AE237" s="324"/>
      <c r="AF237" s="324"/>
      <c r="AG237" s="324"/>
      <c r="AH237" s="324"/>
      <c r="AI237" s="324"/>
      <c r="AJ237" s="324"/>
      <c r="AK237" s="324"/>
      <c r="AL237" s="324"/>
      <c r="AM237" s="324"/>
      <c r="AN237" s="324"/>
      <c r="AO237" s="324"/>
      <c r="AP237" s="324"/>
      <c r="AQ237" s="324"/>
      <c r="AR237" s="324"/>
      <c r="AS237" s="324"/>
      <c r="AT237" s="324"/>
      <c r="AU237" s="324"/>
      <c r="AV237" s="324"/>
      <c r="AW237" s="324"/>
      <c r="AX237" s="324"/>
      <c r="AY237" s="324"/>
      <c r="AZ237" s="324"/>
      <c r="BA237" s="324"/>
      <c r="BB237" s="324"/>
      <c r="BC237" s="324"/>
      <c r="BD237" s="324"/>
      <c r="BE237" s="324"/>
      <c r="BF237" s="324"/>
      <c r="BG237" s="324"/>
      <c r="BH237" s="324"/>
      <c r="BI237" s="324"/>
      <c r="BJ237" s="324"/>
      <c r="BK237" s="324"/>
      <c r="BL237" s="324"/>
      <c r="BM237" s="324"/>
      <c r="BN237" s="324"/>
      <c r="BO237" s="324"/>
      <c r="BP237" s="324"/>
      <c r="BQ237" s="324"/>
      <c r="BR237" s="324"/>
      <c r="BS237" s="324"/>
      <c r="BT237" s="324"/>
      <c r="BU237" s="324"/>
      <c r="BV237" s="324"/>
      <c r="BW237" s="324"/>
      <c r="BX237" s="324"/>
      <c r="BY237" s="324"/>
      <c r="BZ237" s="324"/>
      <c r="CA237" s="324"/>
      <c r="CB237" s="324"/>
      <c r="CC237" s="324"/>
      <c r="CD237" s="324"/>
      <c r="CE237" s="324"/>
      <c r="CF237" s="324"/>
      <c r="CG237" s="324"/>
      <c r="CH237" s="324"/>
      <c r="CI237" s="324"/>
      <c r="CJ237" s="324"/>
      <c r="CK237" s="324"/>
      <c r="CL237" s="324"/>
      <c r="CM237" s="324"/>
      <c r="CN237" s="324"/>
      <c r="CO237" s="324"/>
      <c r="CP237" s="324"/>
      <c r="CQ237" s="324"/>
      <c r="CR237" s="324"/>
      <c r="CS237" s="324"/>
      <c r="CT237" s="324"/>
      <c r="CU237" s="324"/>
      <c r="CV237" s="324"/>
      <c r="CW237" s="324"/>
      <c r="CX237" s="324"/>
      <c r="CY237" s="324"/>
      <c r="CZ237" s="324"/>
      <c r="DA237" s="324"/>
      <c r="DB237" s="324"/>
      <c r="DC237" s="324"/>
      <c r="DD237" s="324"/>
      <c r="DE237" s="324"/>
      <c r="DF237" s="324"/>
      <c r="DG237" s="324"/>
      <c r="DH237" s="324"/>
      <c r="DI237" s="324"/>
      <c r="DJ237" s="324"/>
      <c r="DK237" s="324"/>
      <c r="DL237" s="324"/>
      <c r="DM237" s="324"/>
      <c r="DN237" s="324"/>
      <c r="DO237" s="324"/>
      <c r="DP237" s="324"/>
      <c r="DQ237" s="324"/>
      <c r="DR237" s="324"/>
      <c r="DS237" s="324"/>
      <c r="DT237" s="324"/>
      <c r="DU237" s="324"/>
      <c r="DV237" s="324"/>
      <c r="DW237" s="324"/>
      <c r="DX237" s="324"/>
      <c r="DY237" s="324"/>
      <c r="DZ237" s="324"/>
      <c r="EA237" s="324"/>
      <c r="EB237" s="324"/>
      <c r="EC237" s="324"/>
      <c r="ED237" s="324"/>
      <c r="EE237" s="324"/>
      <c r="EF237" s="324"/>
      <c r="EG237" s="324"/>
      <c r="EH237" s="324"/>
      <c r="EI237" s="324"/>
      <c r="EJ237" s="324"/>
      <c r="EK237" s="324"/>
      <c r="EL237" s="324"/>
      <c r="EM237" s="324"/>
      <c r="EN237" s="324"/>
      <c r="EO237" s="324"/>
      <c r="EP237" s="324"/>
      <c r="EQ237" s="324"/>
      <c r="ER237" s="324"/>
      <c r="ES237" s="324"/>
      <c r="ET237" s="324"/>
      <c r="EU237" s="324"/>
      <c r="EV237" s="324"/>
      <c r="EW237" s="324"/>
      <c r="EX237" s="324"/>
      <c r="EY237" s="324"/>
      <c r="EZ237" s="324"/>
      <c r="FA237" s="324"/>
      <c r="FB237" s="324"/>
      <c r="FC237" s="324"/>
      <c r="FD237" s="324"/>
      <c r="FE237" s="324"/>
      <c r="FF237" s="324"/>
      <c r="FG237" s="324"/>
      <c r="FH237" s="324"/>
      <c r="FI237" s="324"/>
      <c r="FJ237" s="324"/>
      <c r="FK237" s="324"/>
      <c r="FL237" s="324"/>
      <c r="FM237" s="324"/>
      <c r="FN237" s="324"/>
      <c r="FO237" s="324"/>
      <c r="FP237" s="324"/>
      <c r="FQ237" s="324"/>
      <c r="FR237" s="324"/>
      <c r="FS237" s="324"/>
      <c r="FT237" s="324"/>
      <c r="FU237" s="324"/>
      <c r="FV237" s="324"/>
      <c r="FW237" s="324"/>
      <c r="FX237" s="324"/>
      <c r="FY237" s="324"/>
      <c r="FZ237" s="324"/>
      <c r="GA237" s="324"/>
      <c r="GB237" s="324"/>
      <c r="GC237" s="324"/>
      <c r="GD237" s="324"/>
      <c r="GE237" s="324"/>
      <c r="GF237" s="324"/>
      <c r="GG237" s="324"/>
      <c r="GH237" s="324"/>
      <c r="GI237" s="324"/>
      <c r="GJ237" s="324"/>
      <c r="GK237" s="324"/>
      <c r="GL237" s="324"/>
      <c r="GM237" s="324"/>
      <c r="GN237" s="324"/>
      <c r="GO237" s="324"/>
      <c r="GP237" s="324"/>
      <c r="GQ237" s="324"/>
      <c r="GR237" s="324"/>
      <c r="GS237" s="324"/>
      <c r="GT237" s="324"/>
      <c r="GU237" s="324"/>
      <c r="GV237" s="324"/>
      <c r="GW237" s="324"/>
      <c r="GX237" s="324"/>
      <c r="GY237" s="324"/>
      <c r="GZ237" s="324"/>
      <c r="HA237" s="324"/>
      <c r="HB237" s="324"/>
      <c r="HC237" s="324"/>
      <c r="HD237" s="324"/>
      <c r="HE237" s="324"/>
      <c r="HF237" s="324"/>
      <c r="HG237" s="324"/>
      <c r="HH237" s="324"/>
      <c r="HI237" s="324"/>
      <c r="HJ237" s="324"/>
      <c r="HK237" s="324"/>
      <c r="HL237" s="324"/>
      <c r="HM237" s="324"/>
      <c r="HN237" s="324"/>
      <c r="HO237" s="324"/>
      <c r="HP237" s="324"/>
      <c r="HQ237" s="324"/>
      <c r="HR237" s="324"/>
      <c r="HS237" s="324"/>
      <c r="HT237" s="324"/>
      <c r="HU237" s="324"/>
      <c r="HV237" s="324"/>
      <c r="HW237" s="324"/>
      <c r="HX237" s="324"/>
      <c r="HY237" s="324"/>
      <c r="HZ237" s="324"/>
      <c r="IA237" s="324"/>
      <c r="IB237" s="324"/>
      <c r="IC237" s="324"/>
      <c r="ID237" s="324"/>
      <c r="IE237" s="324"/>
      <c r="IF237" s="324"/>
      <c r="IG237" s="324"/>
      <c r="IH237" s="324"/>
      <c r="II237" s="324"/>
      <c r="IJ237" s="324"/>
      <c r="IK237" s="324"/>
      <c r="IL237" s="324"/>
      <c r="IM237" s="324"/>
    </row>
    <row r="238" spans="1:247" x14ac:dyDescent="0.35">
      <c r="A238" s="356">
        <v>8511</v>
      </c>
      <c r="B238" s="357" t="s">
        <v>247</v>
      </c>
      <c r="C238" s="172" t="s">
        <v>3</v>
      </c>
      <c r="D238" s="358" t="s">
        <v>2052</v>
      </c>
      <c r="E238" s="336"/>
      <c r="F238" s="331">
        <f t="shared" si="57"/>
        <v>1.0209999999999999</v>
      </c>
      <c r="G238" s="337">
        <f>+$G$3</f>
        <v>1.0269999999999999</v>
      </c>
      <c r="H238" s="336"/>
      <c r="I238" s="338"/>
      <c r="J238" s="338"/>
      <c r="K238" s="338"/>
      <c r="L238" s="338"/>
      <c r="M238" s="338"/>
      <c r="N238" s="337"/>
      <c r="O238" s="339"/>
      <c r="P238" s="336">
        <f t="shared" si="61"/>
        <v>1.032</v>
      </c>
      <c r="Q238" s="337">
        <f t="shared" si="62"/>
        <v>1.0349999999999999</v>
      </c>
      <c r="R238" s="340">
        <f t="shared" si="58"/>
        <v>1.1199953840399997</v>
      </c>
      <c r="S238" s="324"/>
      <c r="T238" s="324"/>
      <c r="U238" s="324"/>
      <c r="V238" s="324"/>
      <c r="W238" s="324"/>
      <c r="X238" s="324"/>
      <c r="Y238" s="324"/>
      <c r="Z238" s="324"/>
      <c r="AA238" s="324"/>
      <c r="AB238" s="324"/>
      <c r="AC238" s="324"/>
      <c r="AD238" s="324"/>
      <c r="AE238" s="324"/>
      <c r="AF238" s="324"/>
      <c r="AG238" s="324"/>
      <c r="AH238" s="324"/>
      <c r="AI238" s="324"/>
      <c r="AJ238" s="324"/>
      <c r="AK238" s="324"/>
      <c r="AL238" s="324"/>
      <c r="AM238" s="324"/>
      <c r="AN238" s="324"/>
      <c r="AO238" s="324"/>
      <c r="AP238" s="324"/>
      <c r="AQ238" s="324"/>
      <c r="AR238" s="324"/>
      <c r="AS238" s="324"/>
      <c r="AT238" s="324"/>
      <c r="AU238" s="324"/>
      <c r="AV238" s="324"/>
      <c r="AW238" s="324"/>
      <c r="AX238" s="324"/>
      <c r="AY238" s="324"/>
      <c r="AZ238" s="324"/>
      <c r="BA238" s="324"/>
      <c r="BB238" s="324"/>
      <c r="BC238" s="324"/>
      <c r="BD238" s="324"/>
      <c r="BE238" s="324"/>
      <c r="BF238" s="324"/>
      <c r="BG238" s="324"/>
      <c r="BH238" s="324"/>
      <c r="BI238" s="324"/>
      <c r="BJ238" s="324"/>
      <c r="BK238" s="324"/>
      <c r="BL238" s="324"/>
      <c r="BM238" s="324"/>
      <c r="BN238" s="324"/>
      <c r="BO238" s="324"/>
      <c r="BP238" s="324"/>
      <c r="BQ238" s="324"/>
      <c r="BR238" s="324"/>
      <c r="BS238" s="324"/>
      <c r="BT238" s="324"/>
      <c r="BU238" s="324"/>
      <c r="BV238" s="324"/>
      <c r="BW238" s="324"/>
      <c r="BX238" s="324"/>
      <c r="BY238" s="324"/>
      <c r="BZ238" s="324"/>
      <c r="CA238" s="324"/>
      <c r="CB238" s="324"/>
      <c r="CC238" s="324"/>
      <c r="CD238" s="324"/>
      <c r="CE238" s="324"/>
      <c r="CF238" s="324"/>
      <c r="CG238" s="324"/>
      <c r="CH238" s="324"/>
      <c r="CI238" s="324"/>
      <c r="CJ238" s="324"/>
      <c r="CK238" s="324"/>
      <c r="CL238" s="324"/>
      <c r="CM238" s="324"/>
      <c r="CN238" s="324"/>
      <c r="CO238" s="324"/>
      <c r="CP238" s="324"/>
      <c r="CQ238" s="324"/>
      <c r="CR238" s="324"/>
      <c r="CS238" s="324"/>
      <c r="CT238" s="324"/>
      <c r="CU238" s="324"/>
      <c r="CV238" s="324"/>
      <c r="CW238" s="324"/>
      <c r="CX238" s="324"/>
      <c r="CY238" s="324"/>
      <c r="CZ238" s="324"/>
      <c r="DA238" s="324"/>
      <c r="DB238" s="324"/>
      <c r="DC238" s="324"/>
      <c r="DD238" s="324"/>
      <c r="DE238" s="324"/>
      <c r="DF238" s="324"/>
      <c r="DG238" s="324"/>
      <c r="DH238" s="324"/>
      <c r="DI238" s="324"/>
      <c r="DJ238" s="324"/>
      <c r="DK238" s="324"/>
      <c r="DL238" s="324"/>
      <c r="DM238" s="324"/>
      <c r="DN238" s="324"/>
      <c r="DO238" s="324"/>
      <c r="DP238" s="324"/>
      <c r="DQ238" s="324"/>
      <c r="DR238" s="324"/>
      <c r="DS238" s="324"/>
      <c r="DT238" s="324"/>
      <c r="DU238" s="324"/>
      <c r="DV238" s="324"/>
      <c r="DW238" s="324"/>
      <c r="DX238" s="324"/>
      <c r="DY238" s="324"/>
      <c r="DZ238" s="324"/>
      <c r="EA238" s="324"/>
      <c r="EB238" s="324"/>
      <c r="EC238" s="324"/>
      <c r="ED238" s="324"/>
      <c r="EE238" s="324"/>
      <c r="EF238" s="324"/>
      <c r="EG238" s="324"/>
      <c r="EH238" s="324"/>
      <c r="EI238" s="324"/>
      <c r="EJ238" s="324"/>
      <c r="EK238" s="324"/>
      <c r="EL238" s="324"/>
      <c r="EM238" s="324"/>
      <c r="EN238" s="324"/>
      <c r="EO238" s="324"/>
      <c r="EP238" s="324"/>
      <c r="EQ238" s="324"/>
      <c r="ER238" s="324"/>
      <c r="ES238" s="324"/>
      <c r="ET238" s="324"/>
      <c r="EU238" s="324"/>
      <c r="EV238" s="324"/>
      <c r="EW238" s="324"/>
      <c r="EX238" s="324"/>
      <c r="EY238" s="324"/>
      <c r="EZ238" s="324"/>
      <c r="FA238" s="324"/>
      <c r="FB238" s="324"/>
      <c r="FC238" s="324"/>
      <c r="FD238" s="324"/>
      <c r="FE238" s="324"/>
      <c r="FF238" s="324"/>
      <c r="FG238" s="324"/>
      <c r="FH238" s="324"/>
      <c r="FI238" s="324"/>
      <c r="FJ238" s="324"/>
      <c r="FK238" s="324"/>
      <c r="FL238" s="324"/>
      <c r="FM238" s="324"/>
      <c r="FN238" s="324"/>
      <c r="FO238" s="324"/>
      <c r="FP238" s="324"/>
      <c r="FQ238" s="324"/>
      <c r="FR238" s="324"/>
      <c r="FS238" s="324"/>
      <c r="FT238" s="324"/>
      <c r="FU238" s="324"/>
      <c r="FV238" s="324"/>
      <c r="FW238" s="324"/>
      <c r="FX238" s="324"/>
      <c r="FY238" s="324"/>
      <c r="FZ238" s="324"/>
      <c r="GA238" s="324"/>
      <c r="GB238" s="324"/>
      <c r="GC238" s="324"/>
      <c r="GD238" s="324"/>
      <c r="GE238" s="324"/>
      <c r="GF238" s="324"/>
      <c r="GG238" s="324"/>
      <c r="GH238" s="324"/>
      <c r="GI238" s="324"/>
      <c r="GJ238" s="324"/>
      <c r="GK238" s="324"/>
      <c r="GL238" s="324"/>
      <c r="GM238" s="324"/>
      <c r="GN238" s="324"/>
      <c r="GO238" s="324"/>
      <c r="GP238" s="324"/>
      <c r="GQ238" s="324"/>
      <c r="GR238" s="324"/>
      <c r="GS238" s="324"/>
      <c r="GT238" s="324"/>
      <c r="GU238" s="324"/>
      <c r="GV238" s="324"/>
      <c r="GW238" s="324"/>
      <c r="GX238" s="324"/>
      <c r="GY238" s="324"/>
      <c r="GZ238" s="324"/>
      <c r="HA238" s="324"/>
      <c r="HB238" s="324"/>
      <c r="HC238" s="324"/>
      <c r="HD238" s="324"/>
      <c r="HE238" s="324"/>
      <c r="HF238" s="324"/>
      <c r="HG238" s="324"/>
      <c r="HH238" s="324"/>
      <c r="HI238" s="324"/>
      <c r="HJ238" s="324"/>
      <c r="HK238" s="324"/>
      <c r="HL238" s="324"/>
      <c r="HM238" s="324"/>
      <c r="HN238" s="324"/>
      <c r="HO238" s="324"/>
      <c r="HP238" s="324"/>
      <c r="HQ238" s="324"/>
      <c r="HR238" s="324"/>
      <c r="HS238" s="324"/>
      <c r="HT238" s="324"/>
      <c r="HU238" s="324"/>
      <c r="HV238" s="324"/>
      <c r="HW238" s="324"/>
      <c r="HX238" s="324"/>
      <c r="HY238" s="324"/>
      <c r="HZ238" s="324"/>
      <c r="IA238" s="324"/>
      <c r="IB238" s="324"/>
      <c r="IC238" s="324"/>
      <c r="ID238" s="324"/>
      <c r="IE238" s="324"/>
      <c r="IF238" s="324"/>
      <c r="IG238" s="324"/>
      <c r="IH238" s="324"/>
      <c r="II238" s="324"/>
      <c r="IJ238" s="324"/>
      <c r="IK238" s="324"/>
      <c r="IL238" s="324"/>
      <c r="IM238" s="324"/>
    </row>
    <row r="239" spans="1:247" x14ac:dyDescent="0.35">
      <c r="A239" s="356">
        <v>8513</v>
      </c>
      <c r="B239" s="357" t="s">
        <v>248</v>
      </c>
      <c r="C239" s="172" t="s">
        <v>3</v>
      </c>
      <c r="D239" s="358" t="s">
        <v>2051</v>
      </c>
      <c r="E239" s="336"/>
      <c r="F239" s="331">
        <f t="shared" si="57"/>
        <v>1.0209999999999999</v>
      </c>
      <c r="G239" s="337">
        <f>+$G$3</f>
        <v>1.0269999999999999</v>
      </c>
      <c r="H239" s="336"/>
      <c r="I239" s="338"/>
      <c r="J239" s="338"/>
      <c r="K239" s="338"/>
      <c r="L239" s="338"/>
      <c r="M239" s="338"/>
      <c r="N239" s="337"/>
      <c r="O239" s="339"/>
      <c r="P239" s="336">
        <f t="shared" si="61"/>
        <v>1.032</v>
      </c>
      <c r="Q239" s="337">
        <f t="shared" si="62"/>
        <v>1.0349999999999999</v>
      </c>
      <c r="R239" s="340">
        <f t="shared" si="58"/>
        <v>1.1199953840399997</v>
      </c>
      <c r="S239" s="324"/>
      <c r="T239" s="324"/>
      <c r="U239" s="324"/>
      <c r="V239" s="324"/>
      <c r="W239" s="324"/>
      <c r="X239" s="324"/>
      <c r="Y239" s="324"/>
      <c r="Z239" s="324"/>
      <c r="AA239" s="324"/>
      <c r="AB239" s="324"/>
      <c r="AC239" s="324"/>
      <c r="AD239" s="324"/>
      <c r="AE239" s="324"/>
      <c r="AF239" s="324"/>
      <c r="AG239" s="324"/>
      <c r="AH239" s="324"/>
      <c r="AI239" s="324"/>
      <c r="AJ239" s="324"/>
      <c r="AK239" s="324"/>
      <c r="AL239" s="324"/>
      <c r="AM239" s="324"/>
      <c r="AN239" s="324"/>
      <c r="AO239" s="324"/>
      <c r="AP239" s="324"/>
      <c r="AQ239" s="324"/>
      <c r="AR239" s="324"/>
      <c r="AS239" s="324"/>
      <c r="AT239" s="324"/>
      <c r="AU239" s="324"/>
      <c r="AV239" s="324"/>
      <c r="AW239" s="324"/>
      <c r="AX239" s="324"/>
      <c r="AY239" s="324"/>
      <c r="AZ239" s="324"/>
      <c r="BA239" s="324"/>
      <c r="BB239" s="324"/>
      <c r="BC239" s="324"/>
      <c r="BD239" s="324"/>
      <c r="BE239" s="324"/>
      <c r="BF239" s="324"/>
      <c r="BG239" s="324"/>
      <c r="BH239" s="324"/>
      <c r="BI239" s="324"/>
      <c r="BJ239" s="324"/>
      <c r="BK239" s="324"/>
      <c r="BL239" s="324"/>
      <c r="BM239" s="324"/>
      <c r="BN239" s="324"/>
      <c r="BO239" s="324"/>
      <c r="BP239" s="324"/>
      <c r="BQ239" s="324"/>
      <c r="BR239" s="324"/>
      <c r="BS239" s="324"/>
      <c r="BT239" s="324"/>
      <c r="BU239" s="324"/>
      <c r="BV239" s="324"/>
      <c r="BW239" s="324"/>
      <c r="BX239" s="324"/>
      <c r="BY239" s="324"/>
      <c r="BZ239" s="324"/>
      <c r="CA239" s="324"/>
      <c r="CB239" s="324"/>
      <c r="CC239" s="324"/>
      <c r="CD239" s="324"/>
      <c r="CE239" s="324"/>
      <c r="CF239" s="324"/>
      <c r="CG239" s="324"/>
      <c r="CH239" s="324"/>
      <c r="CI239" s="324"/>
      <c r="CJ239" s="324"/>
      <c r="CK239" s="324"/>
      <c r="CL239" s="324"/>
      <c r="CM239" s="324"/>
      <c r="CN239" s="324"/>
      <c r="CO239" s="324"/>
      <c r="CP239" s="324"/>
      <c r="CQ239" s="324"/>
      <c r="CR239" s="324"/>
      <c r="CS239" s="324"/>
      <c r="CT239" s="324"/>
      <c r="CU239" s="324"/>
      <c r="CV239" s="324"/>
      <c r="CW239" s="324"/>
      <c r="CX239" s="324"/>
      <c r="CY239" s="324"/>
      <c r="CZ239" s="324"/>
      <c r="DA239" s="324"/>
      <c r="DB239" s="324"/>
      <c r="DC239" s="324"/>
      <c r="DD239" s="324"/>
      <c r="DE239" s="324"/>
      <c r="DF239" s="324"/>
      <c r="DG239" s="324"/>
      <c r="DH239" s="324"/>
      <c r="DI239" s="324"/>
      <c r="DJ239" s="324"/>
      <c r="DK239" s="324"/>
      <c r="DL239" s="324"/>
      <c r="DM239" s="324"/>
      <c r="DN239" s="324"/>
      <c r="DO239" s="324"/>
      <c r="DP239" s="324"/>
      <c r="DQ239" s="324"/>
      <c r="DR239" s="324"/>
      <c r="DS239" s="324"/>
      <c r="DT239" s="324"/>
      <c r="DU239" s="324"/>
      <c r="DV239" s="324"/>
      <c r="DW239" s="324"/>
      <c r="DX239" s="324"/>
      <c r="DY239" s="324"/>
      <c r="DZ239" s="324"/>
      <c r="EA239" s="324"/>
      <c r="EB239" s="324"/>
      <c r="EC239" s="324"/>
      <c r="ED239" s="324"/>
      <c r="EE239" s="324"/>
      <c r="EF239" s="324"/>
      <c r="EG239" s="324"/>
      <c r="EH239" s="324"/>
      <c r="EI239" s="324"/>
      <c r="EJ239" s="324"/>
      <c r="EK239" s="324"/>
      <c r="EL239" s="324"/>
      <c r="EM239" s="324"/>
      <c r="EN239" s="324"/>
      <c r="EO239" s="324"/>
      <c r="EP239" s="324"/>
      <c r="EQ239" s="324"/>
      <c r="ER239" s="324"/>
      <c r="ES239" s="324"/>
      <c r="ET239" s="324"/>
      <c r="EU239" s="324"/>
      <c r="EV239" s="324"/>
      <c r="EW239" s="324"/>
      <c r="EX239" s="324"/>
      <c r="EY239" s="324"/>
      <c r="EZ239" s="324"/>
      <c r="FA239" s="324"/>
      <c r="FB239" s="324"/>
      <c r="FC239" s="324"/>
      <c r="FD239" s="324"/>
      <c r="FE239" s="324"/>
      <c r="FF239" s="324"/>
      <c r="FG239" s="324"/>
      <c r="FH239" s="324"/>
      <c r="FI239" s="324"/>
      <c r="FJ239" s="324"/>
      <c r="FK239" s="324"/>
      <c r="FL239" s="324"/>
      <c r="FM239" s="324"/>
      <c r="FN239" s="324"/>
      <c r="FO239" s="324"/>
      <c r="FP239" s="324"/>
      <c r="FQ239" s="324"/>
      <c r="FR239" s="324"/>
      <c r="FS239" s="324"/>
      <c r="FT239" s="324"/>
      <c r="FU239" s="324"/>
      <c r="FV239" s="324"/>
      <c r="FW239" s="324"/>
      <c r="FX239" s="324"/>
      <c r="FY239" s="324"/>
      <c r="FZ239" s="324"/>
      <c r="GA239" s="324"/>
      <c r="GB239" s="324"/>
      <c r="GC239" s="324"/>
      <c r="GD239" s="324"/>
      <c r="GE239" s="324"/>
      <c r="GF239" s="324"/>
      <c r="GG239" s="324"/>
      <c r="GH239" s="324"/>
      <c r="GI239" s="324"/>
      <c r="GJ239" s="324"/>
      <c r="GK239" s="324"/>
      <c r="GL239" s="324"/>
      <c r="GM239" s="324"/>
      <c r="GN239" s="324"/>
      <c r="GO239" s="324"/>
      <c r="GP239" s="324"/>
      <c r="GQ239" s="324"/>
      <c r="GR239" s="324"/>
      <c r="GS239" s="324"/>
      <c r="GT239" s="324"/>
      <c r="GU239" s="324"/>
      <c r="GV239" s="324"/>
      <c r="GW239" s="324"/>
      <c r="GX239" s="324"/>
      <c r="GY239" s="324"/>
      <c r="GZ239" s="324"/>
      <c r="HA239" s="324"/>
      <c r="HB239" s="324"/>
      <c r="HC239" s="324"/>
      <c r="HD239" s="324"/>
      <c r="HE239" s="324"/>
      <c r="HF239" s="324"/>
      <c r="HG239" s="324"/>
      <c r="HH239" s="324"/>
      <c r="HI239" s="324"/>
      <c r="HJ239" s="324"/>
      <c r="HK239" s="324"/>
      <c r="HL239" s="324"/>
      <c r="HM239" s="324"/>
      <c r="HN239" s="324"/>
      <c r="HO239" s="324"/>
      <c r="HP239" s="324"/>
      <c r="HQ239" s="324"/>
      <c r="HR239" s="324"/>
      <c r="HS239" s="324"/>
      <c r="HT239" s="324"/>
      <c r="HU239" s="324"/>
      <c r="HV239" s="324"/>
      <c r="HW239" s="324"/>
      <c r="HX239" s="324"/>
      <c r="HY239" s="324"/>
      <c r="HZ239" s="324"/>
      <c r="IA239" s="324"/>
      <c r="IB239" s="324"/>
      <c r="IC239" s="324"/>
      <c r="ID239" s="324"/>
      <c r="IE239" s="324"/>
      <c r="IF239" s="324"/>
      <c r="IG239" s="324"/>
      <c r="IH239" s="324"/>
      <c r="II239" s="324"/>
      <c r="IJ239" s="324"/>
      <c r="IK239" s="324"/>
      <c r="IL239" s="324"/>
      <c r="IM239" s="324"/>
    </row>
    <row r="240" spans="1:247" x14ac:dyDescent="0.35">
      <c r="A240" s="356">
        <v>8514</v>
      </c>
      <c r="B240" s="357" t="s">
        <v>249</v>
      </c>
      <c r="C240" s="172" t="s">
        <v>6</v>
      </c>
      <c r="D240" s="358" t="s">
        <v>2052</v>
      </c>
      <c r="E240" s="336"/>
      <c r="F240" s="331">
        <f t="shared" si="57"/>
        <v>1.0209999999999999</v>
      </c>
      <c r="G240" s="337">
        <f>+$G$3</f>
        <v>1.0269999999999999</v>
      </c>
      <c r="H240" s="336"/>
      <c r="I240" s="338"/>
      <c r="J240" s="338"/>
      <c r="K240" s="338"/>
      <c r="L240" s="338"/>
      <c r="M240" s="338"/>
      <c r="N240" s="337"/>
      <c r="O240" s="339"/>
      <c r="P240" s="336">
        <f t="shared" si="61"/>
        <v>1.032</v>
      </c>
      <c r="Q240" s="337">
        <f t="shared" si="62"/>
        <v>1.0349999999999999</v>
      </c>
      <c r="R240" s="340">
        <f t="shared" si="58"/>
        <v>1.1199953840399997</v>
      </c>
      <c r="S240" s="324"/>
      <c r="T240" s="324"/>
      <c r="U240" s="324"/>
      <c r="V240" s="324"/>
      <c r="W240" s="324"/>
      <c r="X240" s="324"/>
      <c r="Y240" s="324"/>
      <c r="Z240" s="324"/>
      <c r="AA240" s="324"/>
      <c r="AB240" s="324"/>
      <c r="AC240" s="324"/>
      <c r="AD240" s="324"/>
      <c r="AE240" s="324"/>
      <c r="AF240" s="324"/>
      <c r="AG240" s="324"/>
      <c r="AH240" s="324"/>
      <c r="AI240" s="324"/>
      <c r="AJ240" s="324"/>
      <c r="AK240" s="324"/>
      <c r="AL240" s="324"/>
      <c r="AM240" s="324"/>
      <c r="AN240" s="324"/>
      <c r="AO240" s="324"/>
      <c r="AP240" s="324"/>
      <c r="AQ240" s="324"/>
      <c r="AR240" s="324"/>
      <c r="AS240" s="324"/>
      <c r="AT240" s="324"/>
      <c r="AU240" s="324"/>
      <c r="AV240" s="324"/>
      <c r="AW240" s="324"/>
      <c r="AX240" s="324"/>
      <c r="AY240" s="324"/>
      <c r="AZ240" s="324"/>
      <c r="BA240" s="324"/>
      <c r="BB240" s="324"/>
      <c r="BC240" s="324"/>
      <c r="BD240" s="324"/>
      <c r="BE240" s="324"/>
      <c r="BF240" s="324"/>
      <c r="BG240" s="324"/>
      <c r="BH240" s="324"/>
      <c r="BI240" s="324"/>
      <c r="BJ240" s="324"/>
      <c r="BK240" s="324"/>
      <c r="BL240" s="324"/>
      <c r="BM240" s="324"/>
      <c r="BN240" s="324"/>
      <c r="BO240" s="324"/>
      <c r="BP240" s="324"/>
      <c r="BQ240" s="324"/>
      <c r="BR240" s="324"/>
      <c r="BS240" s="324"/>
      <c r="BT240" s="324"/>
      <c r="BU240" s="324"/>
      <c r="BV240" s="324"/>
      <c r="BW240" s="324"/>
      <c r="BX240" s="324"/>
      <c r="BY240" s="324"/>
      <c r="BZ240" s="324"/>
      <c r="CA240" s="324"/>
      <c r="CB240" s="324"/>
      <c r="CC240" s="324"/>
      <c r="CD240" s="324"/>
      <c r="CE240" s="324"/>
      <c r="CF240" s="324"/>
      <c r="CG240" s="324"/>
      <c r="CH240" s="324"/>
      <c r="CI240" s="324"/>
      <c r="CJ240" s="324"/>
      <c r="CK240" s="324"/>
      <c r="CL240" s="324"/>
      <c r="CM240" s="324"/>
      <c r="CN240" s="324"/>
      <c r="CO240" s="324"/>
      <c r="CP240" s="324"/>
      <c r="CQ240" s="324"/>
      <c r="CR240" s="324"/>
      <c r="CS240" s="324"/>
      <c r="CT240" s="324"/>
      <c r="CU240" s="324"/>
      <c r="CV240" s="324"/>
      <c r="CW240" s="324"/>
      <c r="CX240" s="324"/>
      <c r="CY240" s="324"/>
      <c r="CZ240" s="324"/>
      <c r="DA240" s="324"/>
      <c r="DB240" s="324"/>
      <c r="DC240" s="324"/>
      <c r="DD240" s="324"/>
      <c r="DE240" s="324"/>
      <c r="DF240" s="324"/>
      <c r="DG240" s="324"/>
      <c r="DH240" s="324"/>
      <c r="DI240" s="324"/>
      <c r="DJ240" s="324"/>
      <c r="DK240" s="324"/>
      <c r="DL240" s="324"/>
      <c r="DM240" s="324"/>
      <c r="DN240" s="324"/>
      <c r="DO240" s="324"/>
      <c r="DP240" s="324"/>
      <c r="DQ240" s="324"/>
      <c r="DR240" s="324"/>
      <c r="DS240" s="324"/>
      <c r="DT240" s="324"/>
      <c r="DU240" s="324"/>
      <c r="DV240" s="324"/>
      <c r="DW240" s="324"/>
      <c r="DX240" s="324"/>
      <c r="DY240" s="324"/>
      <c r="DZ240" s="324"/>
      <c r="EA240" s="324"/>
      <c r="EB240" s="324"/>
      <c r="EC240" s="324"/>
      <c r="ED240" s="324"/>
      <c r="EE240" s="324"/>
      <c r="EF240" s="324"/>
      <c r="EG240" s="324"/>
      <c r="EH240" s="324"/>
      <c r="EI240" s="324"/>
      <c r="EJ240" s="324"/>
      <c r="EK240" s="324"/>
      <c r="EL240" s="324"/>
      <c r="EM240" s="324"/>
      <c r="EN240" s="324"/>
      <c r="EO240" s="324"/>
      <c r="EP240" s="324"/>
      <c r="EQ240" s="324"/>
      <c r="ER240" s="324"/>
      <c r="ES240" s="324"/>
      <c r="ET240" s="324"/>
      <c r="EU240" s="324"/>
      <c r="EV240" s="324"/>
      <c r="EW240" s="324"/>
      <c r="EX240" s="324"/>
      <c r="EY240" s="324"/>
      <c r="EZ240" s="324"/>
      <c r="FA240" s="324"/>
      <c r="FB240" s="324"/>
      <c r="FC240" s="324"/>
      <c r="FD240" s="324"/>
      <c r="FE240" s="324"/>
      <c r="FF240" s="324"/>
      <c r="FG240" s="324"/>
      <c r="FH240" s="324"/>
      <c r="FI240" s="324"/>
      <c r="FJ240" s="324"/>
      <c r="FK240" s="324"/>
      <c r="FL240" s="324"/>
      <c r="FM240" s="324"/>
      <c r="FN240" s="324"/>
      <c r="FO240" s="324"/>
      <c r="FP240" s="324"/>
      <c r="FQ240" s="324"/>
      <c r="FR240" s="324"/>
      <c r="FS240" s="324"/>
      <c r="FT240" s="324"/>
      <c r="FU240" s="324"/>
      <c r="FV240" s="324"/>
      <c r="FW240" s="324"/>
      <c r="FX240" s="324"/>
      <c r="FY240" s="324"/>
      <c r="FZ240" s="324"/>
      <c r="GA240" s="324"/>
      <c r="GB240" s="324"/>
      <c r="GC240" s="324"/>
      <c r="GD240" s="324"/>
      <c r="GE240" s="324"/>
      <c r="GF240" s="324"/>
      <c r="GG240" s="324"/>
      <c r="GH240" s="324"/>
      <c r="GI240" s="324"/>
      <c r="GJ240" s="324"/>
      <c r="GK240" s="324"/>
      <c r="GL240" s="324"/>
      <c r="GM240" s="324"/>
      <c r="GN240" s="324"/>
      <c r="GO240" s="324"/>
      <c r="GP240" s="324"/>
      <c r="GQ240" s="324"/>
      <c r="GR240" s="324"/>
      <c r="GS240" s="324"/>
      <c r="GT240" s="324"/>
      <c r="GU240" s="324"/>
      <c r="GV240" s="324"/>
      <c r="GW240" s="324"/>
      <c r="GX240" s="324"/>
      <c r="GY240" s="324"/>
      <c r="GZ240" s="324"/>
      <c r="HA240" s="324"/>
      <c r="HB240" s="324"/>
      <c r="HC240" s="324"/>
      <c r="HD240" s="324"/>
      <c r="HE240" s="324"/>
      <c r="HF240" s="324"/>
      <c r="HG240" s="324"/>
      <c r="HH240" s="324"/>
      <c r="HI240" s="324"/>
      <c r="HJ240" s="324"/>
      <c r="HK240" s="324"/>
      <c r="HL240" s="324"/>
      <c r="HM240" s="324"/>
      <c r="HN240" s="324"/>
      <c r="HO240" s="324"/>
      <c r="HP240" s="324"/>
      <c r="HQ240" s="324"/>
      <c r="HR240" s="324"/>
      <c r="HS240" s="324"/>
      <c r="HT240" s="324"/>
      <c r="HU240" s="324"/>
      <c r="HV240" s="324"/>
      <c r="HW240" s="324"/>
      <c r="HX240" s="324"/>
      <c r="HY240" s="324"/>
      <c r="HZ240" s="324"/>
      <c r="IA240" s="324"/>
      <c r="IB240" s="324"/>
      <c r="IC240" s="324"/>
      <c r="ID240" s="324"/>
      <c r="IE240" s="324"/>
      <c r="IF240" s="324"/>
      <c r="IG240" s="324"/>
      <c r="IH240" s="324"/>
      <c r="II240" s="324"/>
      <c r="IJ240" s="324"/>
      <c r="IK240" s="324"/>
      <c r="IL240" s="324"/>
      <c r="IM240" s="324"/>
    </row>
    <row r="241" spans="1:247" x14ac:dyDescent="0.35">
      <c r="A241" s="356">
        <v>8521</v>
      </c>
      <c r="B241" s="357" t="s">
        <v>250</v>
      </c>
      <c r="C241" s="172" t="s">
        <v>3</v>
      </c>
      <c r="D241" s="358" t="s">
        <v>2052</v>
      </c>
      <c r="E241" s="336"/>
      <c r="F241" s="331">
        <f t="shared" si="57"/>
        <v>1.0209999999999999</v>
      </c>
      <c r="G241" s="337">
        <f>+$G$3</f>
        <v>1.0269999999999999</v>
      </c>
      <c r="H241" s="336"/>
      <c r="I241" s="338"/>
      <c r="J241" s="338"/>
      <c r="K241" s="338"/>
      <c r="L241" s="338"/>
      <c r="M241" s="338"/>
      <c r="N241" s="337"/>
      <c r="O241" s="339"/>
      <c r="P241" s="336">
        <f t="shared" si="61"/>
        <v>1.032</v>
      </c>
      <c r="Q241" s="337">
        <f t="shared" si="62"/>
        <v>1.0349999999999999</v>
      </c>
      <c r="R241" s="340">
        <f t="shared" si="58"/>
        <v>1.1199953840399997</v>
      </c>
      <c r="S241" s="324"/>
      <c r="T241" s="324"/>
      <c r="U241" s="324"/>
      <c r="V241" s="324"/>
      <c r="W241" s="324"/>
      <c r="X241" s="324"/>
      <c r="Y241" s="324"/>
      <c r="Z241" s="324"/>
      <c r="AA241" s="324"/>
      <c r="AB241" s="324"/>
      <c r="AC241" s="324"/>
      <c r="AD241" s="324"/>
      <c r="AE241" s="324"/>
      <c r="AF241" s="324"/>
      <c r="AG241" s="324"/>
      <c r="AH241" s="324"/>
      <c r="AI241" s="324"/>
      <c r="AJ241" s="324"/>
      <c r="AK241" s="324"/>
      <c r="AL241" s="324"/>
      <c r="AM241" s="324"/>
      <c r="AN241" s="324"/>
      <c r="AO241" s="324"/>
      <c r="AP241" s="324"/>
      <c r="AQ241" s="324"/>
      <c r="AR241" s="324"/>
      <c r="AS241" s="324"/>
      <c r="AT241" s="324"/>
      <c r="AU241" s="324"/>
      <c r="AV241" s="324"/>
      <c r="AW241" s="324"/>
      <c r="AX241" s="324"/>
      <c r="AY241" s="324"/>
      <c r="AZ241" s="324"/>
      <c r="BA241" s="324"/>
      <c r="BB241" s="324"/>
      <c r="BC241" s="324"/>
      <c r="BD241" s="324"/>
      <c r="BE241" s="324"/>
      <c r="BF241" s="324"/>
      <c r="BG241" s="324"/>
      <c r="BH241" s="324"/>
      <c r="BI241" s="324"/>
      <c r="BJ241" s="324"/>
      <c r="BK241" s="324"/>
      <c r="BL241" s="324"/>
      <c r="BM241" s="324"/>
      <c r="BN241" s="324"/>
      <c r="BO241" s="324"/>
      <c r="BP241" s="324"/>
      <c r="BQ241" s="324"/>
      <c r="BR241" s="324"/>
      <c r="BS241" s="324"/>
      <c r="BT241" s="324"/>
      <c r="BU241" s="324"/>
      <c r="BV241" s="324"/>
      <c r="BW241" s="324"/>
      <c r="BX241" s="324"/>
      <c r="BY241" s="324"/>
      <c r="BZ241" s="324"/>
      <c r="CA241" s="324"/>
      <c r="CB241" s="324"/>
      <c r="CC241" s="324"/>
      <c r="CD241" s="324"/>
      <c r="CE241" s="324"/>
      <c r="CF241" s="324"/>
      <c r="CG241" s="324"/>
      <c r="CH241" s="324"/>
      <c r="CI241" s="324"/>
      <c r="CJ241" s="324"/>
      <c r="CK241" s="324"/>
      <c r="CL241" s="324"/>
      <c r="CM241" s="324"/>
      <c r="CN241" s="324"/>
      <c r="CO241" s="324"/>
      <c r="CP241" s="324"/>
      <c r="CQ241" s="324"/>
      <c r="CR241" s="324"/>
      <c r="CS241" s="324"/>
      <c r="CT241" s="324"/>
      <c r="CU241" s="324"/>
      <c r="CV241" s="324"/>
      <c r="CW241" s="324"/>
      <c r="CX241" s="324"/>
      <c r="CY241" s="324"/>
      <c r="CZ241" s="324"/>
      <c r="DA241" s="324"/>
      <c r="DB241" s="324"/>
      <c r="DC241" s="324"/>
      <c r="DD241" s="324"/>
      <c r="DE241" s="324"/>
      <c r="DF241" s="324"/>
      <c r="DG241" s="324"/>
      <c r="DH241" s="324"/>
      <c r="DI241" s="324"/>
      <c r="DJ241" s="324"/>
      <c r="DK241" s="324"/>
      <c r="DL241" s="324"/>
      <c r="DM241" s="324"/>
      <c r="DN241" s="324"/>
      <c r="DO241" s="324"/>
      <c r="DP241" s="324"/>
      <c r="DQ241" s="324"/>
      <c r="DR241" s="324"/>
      <c r="DS241" s="324"/>
      <c r="DT241" s="324"/>
      <c r="DU241" s="324"/>
      <c r="DV241" s="324"/>
      <c r="DW241" s="324"/>
      <c r="DX241" s="324"/>
      <c r="DY241" s="324"/>
      <c r="DZ241" s="324"/>
      <c r="EA241" s="324"/>
      <c r="EB241" s="324"/>
      <c r="EC241" s="324"/>
      <c r="ED241" s="324"/>
      <c r="EE241" s="324"/>
      <c r="EF241" s="324"/>
      <c r="EG241" s="324"/>
      <c r="EH241" s="324"/>
      <c r="EI241" s="324"/>
      <c r="EJ241" s="324"/>
      <c r="EK241" s="324"/>
      <c r="EL241" s="324"/>
      <c r="EM241" s="324"/>
      <c r="EN241" s="324"/>
      <c r="EO241" s="324"/>
      <c r="EP241" s="324"/>
      <c r="EQ241" s="324"/>
      <c r="ER241" s="324"/>
      <c r="ES241" s="324"/>
      <c r="ET241" s="324"/>
      <c r="EU241" s="324"/>
      <c r="EV241" s="324"/>
      <c r="EW241" s="324"/>
      <c r="EX241" s="324"/>
      <c r="EY241" s="324"/>
      <c r="EZ241" s="324"/>
      <c r="FA241" s="324"/>
      <c r="FB241" s="324"/>
      <c r="FC241" s="324"/>
      <c r="FD241" s="324"/>
      <c r="FE241" s="324"/>
      <c r="FF241" s="324"/>
      <c r="FG241" s="324"/>
      <c r="FH241" s="324"/>
      <c r="FI241" s="324"/>
      <c r="FJ241" s="324"/>
      <c r="FK241" s="324"/>
      <c r="FL241" s="324"/>
      <c r="FM241" s="324"/>
      <c r="FN241" s="324"/>
      <c r="FO241" s="324"/>
      <c r="FP241" s="324"/>
      <c r="FQ241" s="324"/>
      <c r="FR241" s="324"/>
      <c r="FS241" s="324"/>
      <c r="FT241" s="324"/>
      <c r="FU241" s="324"/>
      <c r="FV241" s="324"/>
      <c r="FW241" s="324"/>
      <c r="FX241" s="324"/>
      <c r="FY241" s="324"/>
      <c r="FZ241" s="324"/>
      <c r="GA241" s="324"/>
      <c r="GB241" s="324"/>
      <c r="GC241" s="324"/>
      <c r="GD241" s="324"/>
      <c r="GE241" s="324"/>
      <c r="GF241" s="324"/>
      <c r="GG241" s="324"/>
      <c r="GH241" s="324"/>
      <c r="GI241" s="324"/>
      <c r="GJ241" s="324"/>
      <c r="GK241" s="324"/>
      <c r="GL241" s="324"/>
      <c r="GM241" s="324"/>
      <c r="GN241" s="324"/>
      <c r="GO241" s="324"/>
      <c r="GP241" s="324"/>
      <c r="GQ241" s="324"/>
      <c r="GR241" s="324"/>
      <c r="GS241" s="324"/>
      <c r="GT241" s="324"/>
      <c r="GU241" s="324"/>
      <c r="GV241" s="324"/>
      <c r="GW241" s="324"/>
      <c r="GX241" s="324"/>
      <c r="GY241" s="324"/>
      <c r="GZ241" s="324"/>
      <c r="HA241" s="324"/>
      <c r="HB241" s="324"/>
      <c r="HC241" s="324"/>
      <c r="HD241" s="324"/>
      <c r="HE241" s="324"/>
      <c r="HF241" s="324"/>
      <c r="HG241" s="324"/>
      <c r="HH241" s="324"/>
      <c r="HI241" s="324"/>
      <c r="HJ241" s="324"/>
      <c r="HK241" s="324"/>
      <c r="HL241" s="324"/>
      <c r="HM241" s="324"/>
      <c r="HN241" s="324"/>
      <c r="HO241" s="324"/>
      <c r="HP241" s="324"/>
      <c r="HQ241" s="324"/>
      <c r="HR241" s="324"/>
      <c r="HS241" s="324"/>
      <c r="HT241" s="324"/>
      <c r="HU241" s="324"/>
      <c r="HV241" s="324"/>
      <c r="HW241" s="324"/>
      <c r="HX241" s="324"/>
      <c r="HY241" s="324"/>
      <c r="HZ241" s="324"/>
      <c r="IA241" s="324"/>
      <c r="IB241" s="324"/>
      <c r="IC241" s="324"/>
      <c r="ID241" s="324"/>
      <c r="IE241" s="324"/>
      <c r="IF241" s="324"/>
      <c r="IG241" s="324"/>
      <c r="IH241" s="324"/>
      <c r="II241" s="324"/>
      <c r="IJ241" s="324"/>
      <c r="IK241" s="324"/>
      <c r="IL241" s="324"/>
      <c r="IM241" s="324"/>
    </row>
    <row r="242" spans="1:247" x14ac:dyDescent="0.35">
      <c r="A242" s="356">
        <v>8522</v>
      </c>
      <c r="B242" s="357" t="s">
        <v>251</v>
      </c>
      <c r="C242" s="172" t="s">
        <v>3</v>
      </c>
      <c r="D242" s="358" t="s">
        <v>2052</v>
      </c>
      <c r="E242" s="336"/>
      <c r="F242" s="331">
        <f t="shared" si="57"/>
        <v>1.0209999999999999</v>
      </c>
      <c r="G242" s="337"/>
      <c r="H242" s="336"/>
      <c r="I242" s="338"/>
      <c r="J242" s="338"/>
      <c r="K242" s="338"/>
      <c r="L242" s="338"/>
      <c r="M242" s="338"/>
      <c r="N242" s="337"/>
      <c r="O242" s="339"/>
      <c r="P242" s="336"/>
      <c r="Q242" s="337"/>
      <c r="R242" s="340">
        <f t="shared" si="58"/>
        <v>1.0209999999999999</v>
      </c>
      <c r="S242" s="324"/>
      <c r="T242" s="324"/>
      <c r="U242" s="324"/>
      <c r="V242" s="324"/>
      <c r="W242" s="324"/>
      <c r="X242" s="324"/>
      <c r="Y242" s="324"/>
      <c r="Z242" s="324"/>
      <c r="AA242" s="324"/>
      <c r="AB242" s="324"/>
      <c r="AC242" s="324"/>
      <c r="AD242" s="324"/>
      <c r="AE242" s="324"/>
      <c r="AF242" s="324"/>
      <c r="AG242" s="324"/>
      <c r="AH242" s="324"/>
      <c r="AI242" s="324"/>
      <c r="AJ242" s="324"/>
      <c r="AK242" s="324"/>
      <c r="AL242" s="324"/>
      <c r="AM242" s="324"/>
      <c r="AN242" s="324"/>
      <c r="AO242" s="324"/>
      <c r="AP242" s="324"/>
      <c r="AQ242" s="324"/>
      <c r="AR242" s="324"/>
      <c r="AS242" s="324"/>
      <c r="AT242" s="324"/>
      <c r="AU242" s="324"/>
      <c r="AV242" s="324"/>
      <c r="AW242" s="324"/>
      <c r="AX242" s="324"/>
      <c r="AY242" s="324"/>
      <c r="AZ242" s="324"/>
      <c r="BA242" s="324"/>
      <c r="BB242" s="324"/>
      <c r="BC242" s="324"/>
      <c r="BD242" s="324"/>
      <c r="BE242" s="324"/>
      <c r="BF242" s="324"/>
      <c r="BG242" s="324"/>
      <c r="BH242" s="324"/>
      <c r="BI242" s="324"/>
      <c r="BJ242" s="324"/>
      <c r="BK242" s="324"/>
      <c r="BL242" s="324"/>
      <c r="BM242" s="324"/>
      <c r="BN242" s="324"/>
      <c r="BO242" s="324"/>
      <c r="BP242" s="324"/>
      <c r="BQ242" s="324"/>
      <c r="BR242" s="324"/>
      <c r="BS242" s="324"/>
      <c r="BT242" s="324"/>
      <c r="BU242" s="324"/>
      <c r="BV242" s="324"/>
      <c r="BW242" s="324"/>
      <c r="BX242" s="324"/>
      <c r="BY242" s="324"/>
      <c r="BZ242" s="324"/>
      <c r="CA242" s="324"/>
      <c r="CB242" s="324"/>
      <c r="CC242" s="324"/>
      <c r="CD242" s="324"/>
      <c r="CE242" s="324"/>
      <c r="CF242" s="324"/>
      <c r="CG242" s="324"/>
      <c r="CH242" s="324"/>
      <c r="CI242" s="324"/>
      <c r="CJ242" s="324"/>
      <c r="CK242" s="324"/>
      <c r="CL242" s="324"/>
      <c r="CM242" s="324"/>
      <c r="CN242" s="324"/>
      <c r="CO242" s="324"/>
      <c r="CP242" s="324"/>
      <c r="CQ242" s="324"/>
      <c r="CR242" s="324"/>
      <c r="CS242" s="324"/>
      <c r="CT242" s="324"/>
      <c r="CU242" s="324"/>
      <c r="CV242" s="324"/>
      <c r="CW242" s="324"/>
      <c r="CX242" s="324"/>
      <c r="CY242" s="324"/>
      <c r="CZ242" s="324"/>
      <c r="DA242" s="324"/>
      <c r="DB242" s="324"/>
      <c r="DC242" s="324"/>
      <c r="DD242" s="324"/>
      <c r="DE242" s="324"/>
      <c r="DF242" s="324"/>
      <c r="DG242" s="324"/>
      <c r="DH242" s="324"/>
      <c r="DI242" s="324"/>
      <c r="DJ242" s="324"/>
      <c r="DK242" s="324"/>
      <c r="DL242" s="324"/>
      <c r="DM242" s="324"/>
      <c r="DN242" s="324"/>
      <c r="DO242" s="324"/>
      <c r="DP242" s="324"/>
      <c r="DQ242" s="324"/>
      <c r="DR242" s="324"/>
      <c r="DS242" s="324"/>
      <c r="DT242" s="324"/>
      <c r="DU242" s="324"/>
      <c r="DV242" s="324"/>
      <c r="DW242" s="324"/>
      <c r="DX242" s="324"/>
      <c r="DY242" s="324"/>
      <c r="DZ242" s="324"/>
      <c r="EA242" s="324"/>
      <c r="EB242" s="324"/>
      <c r="EC242" s="324"/>
      <c r="ED242" s="324"/>
      <c r="EE242" s="324"/>
      <c r="EF242" s="324"/>
      <c r="EG242" s="324"/>
      <c r="EH242" s="324"/>
      <c r="EI242" s="324"/>
      <c r="EJ242" s="324"/>
      <c r="EK242" s="324"/>
      <c r="EL242" s="324"/>
      <c r="EM242" s="324"/>
      <c r="EN242" s="324"/>
      <c r="EO242" s="324"/>
      <c r="EP242" s="324"/>
      <c r="EQ242" s="324"/>
      <c r="ER242" s="324"/>
      <c r="ES242" s="324"/>
      <c r="ET242" s="324"/>
      <c r="EU242" s="324"/>
      <c r="EV242" s="324"/>
      <c r="EW242" s="324"/>
      <c r="EX242" s="324"/>
      <c r="EY242" s="324"/>
      <c r="EZ242" s="324"/>
      <c r="FA242" s="324"/>
      <c r="FB242" s="324"/>
      <c r="FC242" s="324"/>
      <c r="FD242" s="324"/>
      <c r="FE242" s="324"/>
      <c r="FF242" s="324"/>
      <c r="FG242" s="324"/>
      <c r="FH242" s="324"/>
      <c r="FI242" s="324"/>
      <c r="FJ242" s="324"/>
      <c r="FK242" s="324"/>
      <c r="FL242" s="324"/>
      <c r="FM242" s="324"/>
      <c r="FN242" s="324"/>
      <c r="FO242" s="324"/>
      <c r="FP242" s="324"/>
      <c r="FQ242" s="324"/>
      <c r="FR242" s="324"/>
      <c r="FS242" s="324"/>
      <c r="FT242" s="324"/>
      <c r="FU242" s="324"/>
      <c r="FV242" s="324"/>
      <c r="FW242" s="324"/>
      <c r="FX242" s="324"/>
      <c r="FY242" s="324"/>
      <c r="FZ242" s="324"/>
      <c r="GA242" s="324"/>
      <c r="GB242" s="324"/>
      <c r="GC242" s="324"/>
      <c r="GD242" s="324"/>
      <c r="GE242" s="324"/>
      <c r="GF242" s="324"/>
      <c r="GG242" s="324"/>
      <c r="GH242" s="324"/>
      <c r="GI242" s="324"/>
      <c r="GJ242" s="324"/>
      <c r="GK242" s="324"/>
      <c r="GL242" s="324"/>
      <c r="GM242" s="324"/>
      <c r="GN242" s="324"/>
      <c r="GO242" s="324"/>
      <c r="GP242" s="324"/>
      <c r="GQ242" s="324"/>
      <c r="GR242" s="324"/>
      <c r="GS242" s="324"/>
      <c r="GT242" s="324"/>
      <c r="GU242" s="324"/>
      <c r="GV242" s="324"/>
      <c r="GW242" s="324"/>
      <c r="GX242" s="324"/>
      <c r="GY242" s="324"/>
      <c r="GZ242" s="324"/>
      <c r="HA242" s="324"/>
      <c r="HB242" s="324"/>
      <c r="HC242" s="324"/>
      <c r="HD242" s="324"/>
      <c r="HE242" s="324"/>
      <c r="HF242" s="324"/>
      <c r="HG242" s="324"/>
      <c r="HH242" s="324"/>
      <c r="HI242" s="324"/>
      <c r="HJ242" s="324"/>
      <c r="HK242" s="324"/>
      <c r="HL242" s="324"/>
      <c r="HM242" s="324"/>
      <c r="HN242" s="324"/>
      <c r="HO242" s="324"/>
      <c r="HP242" s="324"/>
      <c r="HQ242" s="324"/>
      <c r="HR242" s="324"/>
      <c r="HS242" s="324"/>
      <c r="HT242" s="324"/>
      <c r="HU242" s="324"/>
      <c r="HV242" s="324"/>
      <c r="HW242" s="324"/>
      <c r="HX242" s="324"/>
      <c r="HY242" s="324"/>
      <c r="HZ242" s="324"/>
      <c r="IA242" s="324"/>
      <c r="IB242" s="324"/>
      <c r="IC242" s="324"/>
      <c r="ID242" s="324"/>
      <c r="IE242" s="324"/>
      <c r="IF242" s="324"/>
      <c r="IG242" s="324"/>
      <c r="IH242" s="324"/>
      <c r="II242" s="324"/>
      <c r="IJ242" s="324"/>
      <c r="IK242" s="324"/>
      <c r="IL242" s="324"/>
      <c r="IM242" s="324"/>
    </row>
    <row r="243" spans="1:247" x14ac:dyDescent="0.35">
      <c r="A243" s="356">
        <v>8523</v>
      </c>
      <c r="B243" s="357" t="s">
        <v>252</v>
      </c>
      <c r="C243" s="172" t="s">
        <v>3</v>
      </c>
      <c r="D243" s="358" t="s">
        <v>2052</v>
      </c>
      <c r="E243" s="336"/>
      <c r="F243" s="331">
        <f t="shared" si="57"/>
        <v>1.0209999999999999</v>
      </c>
      <c r="G243" s="337">
        <f>+$G$3</f>
        <v>1.0269999999999999</v>
      </c>
      <c r="H243" s="336"/>
      <c r="I243" s="338"/>
      <c r="J243" s="338"/>
      <c r="K243" s="338"/>
      <c r="L243" s="338"/>
      <c r="M243" s="338"/>
      <c r="N243" s="337"/>
      <c r="O243" s="339"/>
      <c r="P243" s="336">
        <f>+$P$3</f>
        <v>1.032</v>
      </c>
      <c r="Q243" s="337">
        <f>+$Q$3</f>
        <v>1.0349999999999999</v>
      </c>
      <c r="R243" s="340">
        <f t="shared" si="58"/>
        <v>1.1199953840399997</v>
      </c>
      <c r="S243" s="324"/>
      <c r="T243" s="324"/>
      <c r="U243" s="324"/>
      <c r="V243" s="324"/>
      <c r="W243" s="324"/>
      <c r="X243" s="324"/>
      <c r="Y243" s="324"/>
      <c r="Z243" s="324"/>
      <c r="AA243" s="324"/>
      <c r="AB243" s="324"/>
      <c r="AC243" s="324"/>
      <c r="AD243" s="324"/>
      <c r="AE243" s="324"/>
      <c r="AF243" s="324"/>
      <c r="AG243" s="324"/>
      <c r="AH243" s="324"/>
      <c r="AI243" s="324"/>
      <c r="AJ243" s="324"/>
      <c r="AK243" s="324"/>
      <c r="AL243" s="324"/>
      <c r="AM243" s="324"/>
      <c r="AN243" s="324"/>
      <c r="AO243" s="324"/>
      <c r="AP243" s="324"/>
      <c r="AQ243" s="324"/>
      <c r="AR243" s="324"/>
      <c r="AS243" s="324"/>
      <c r="AT243" s="324"/>
      <c r="AU243" s="324"/>
      <c r="AV243" s="324"/>
      <c r="AW243" s="324"/>
      <c r="AX243" s="324"/>
      <c r="AY243" s="324"/>
      <c r="AZ243" s="324"/>
      <c r="BA243" s="324"/>
      <c r="BB243" s="324"/>
      <c r="BC243" s="324"/>
      <c r="BD243" s="324"/>
      <c r="BE243" s="324"/>
      <c r="BF243" s="324"/>
      <c r="BG243" s="324"/>
      <c r="BH243" s="324"/>
      <c r="BI243" s="324"/>
      <c r="BJ243" s="324"/>
      <c r="BK243" s="324"/>
      <c r="BL243" s="324"/>
      <c r="BM243" s="324"/>
      <c r="BN243" s="324"/>
      <c r="BO243" s="324"/>
      <c r="BP243" s="324"/>
      <c r="BQ243" s="324"/>
      <c r="BR243" s="324"/>
      <c r="BS243" s="324"/>
      <c r="BT243" s="324"/>
      <c r="BU243" s="324"/>
      <c r="BV243" s="324"/>
      <c r="BW243" s="324"/>
      <c r="BX243" s="324"/>
      <c r="BY243" s="324"/>
      <c r="BZ243" s="324"/>
      <c r="CA243" s="324"/>
      <c r="CB243" s="324"/>
      <c r="CC243" s="324"/>
      <c r="CD243" s="324"/>
      <c r="CE243" s="324"/>
      <c r="CF243" s="324"/>
      <c r="CG243" s="324"/>
      <c r="CH243" s="324"/>
      <c r="CI243" s="324"/>
      <c r="CJ243" s="324"/>
      <c r="CK243" s="324"/>
      <c r="CL243" s="324"/>
      <c r="CM243" s="324"/>
      <c r="CN243" s="324"/>
      <c r="CO243" s="324"/>
      <c r="CP243" s="324"/>
      <c r="CQ243" s="324"/>
      <c r="CR243" s="324"/>
      <c r="CS243" s="324"/>
      <c r="CT243" s="324"/>
      <c r="CU243" s="324"/>
      <c r="CV243" s="324"/>
      <c r="CW243" s="324"/>
      <c r="CX243" s="324"/>
      <c r="CY243" s="324"/>
      <c r="CZ243" s="324"/>
      <c r="DA243" s="324"/>
      <c r="DB243" s="324"/>
      <c r="DC243" s="324"/>
      <c r="DD243" s="324"/>
      <c r="DE243" s="324"/>
      <c r="DF243" s="324"/>
      <c r="DG243" s="324"/>
      <c r="DH243" s="324"/>
      <c r="DI243" s="324"/>
      <c r="DJ243" s="324"/>
      <c r="DK243" s="324"/>
      <c r="DL243" s="324"/>
      <c r="DM243" s="324"/>
      <c r="DN243" s="324"/>
      <c r="DO243" s="324"/>
      <c r="DP243" s="324"/>
      <c r="DQ243" s="324"/>
      <c r="DR243" s="324"/>
      <c r="DS243" s="324"/>
      <c r="DT243" s="324"/>
      <c r="DU243" s="324"/>
      <c r="DV243" s="324"/>
      <c r="DW243" s="324"/>
      <c r="DX243" s="324"/>
      <c r="DY243" s="324"/>
      <c r="DZ243" s="324"/>
      <c r="EA243" s="324"/>
      <c r="EB243" s="324"/>
      <c r="EC243" s="324"/>
      <c r="ED243" s="324"/>
      <c r="EE243" s="324"/>
      <c r="EF243" s="324"/>
      <c r="EG243" s="324"/>
      <c r="EH243" s="324"/>
      <c r="EI243" s="324"/>
      <c r="EJ243" s="324"/>
      <c r="EK243" s="324"/>
      <c r="EL243" s="324"/>
      <c r="EM243" s="324"/>
      <c r="EN243" s="324"/>
      <c r="EO243" s="324"/>
      <c r="EP243" s="324"/>
      <c r="EQ243" s="324"/>
      <c r="ER243" s="324"/>
      <c r="ES243" s="324"/>
      <c r="ET243" s="324"/>
      <c r="EU243" s="324"/>
      <c r="EV243" s="324"/>
      <c r="EW243" s="324"/>
      <c r="EX243" s="324"/>
      <c r="EY243" s="324"/>
      <c r="EZ243" s="324"/>
      <c r="FA243" s="324"/>
      <c r="FB243" s="324"/>
      <c r="FC243" s="324"/>
      <c r="FD243" s="324"/>
      <c r="FE243" s="324"/>
      <c r="FF243" s="324"/>
      <c r="FG243" s="324"/>
      <c r="FH243" s="324"/>
      <c r="FI243" s="324"/>
      <c r="FJ243" s="324"/>
      <c r="FK243" s="324"/>
      <c r="FL243" s="324"/>
      <c r="FM243" s="324"/>
      <c r="FN243" s="324"/>
      <c r="FO243" s="324"/>
      <c r="FP243" s="324"/>
      <c r="FQ243" s="324"/>
      <c r="FR243" s="324"/>
      <c r="FS243" s="324"/>
      <c r="FT243" s="324"/>
      <c r="FU243" s="324"/>
      <c r="FV243" s="324"/>
      <c r="FW243" s="324"/>
      <c r="FX243" s="324"/>
      <c r="FY243" s="324"/>
      <c r="FZ243" s="324"/>
      <c r="GA243" s="324"/>
      <c r="GB243" s="324"/>
      <c r="GC243" s="324"/>
      <c r="GD243" s="324"/>
      <c r="GE243" s="324"/>
      <c r="GF243" s="324"/>
      <c r="GG243" s="324"/>
      <c r="GH243" s="324"/>
      <c r="GI243" s="324"/>
      <c r="GJ243" s="324"/>
      <c r="GK243" s="324"/>
      <c r="GL243" s="324"/>
      <c r="GM243" s="324"/>
      <c r="GN243" s="324"/>
      <c r="GO243" s="324"/>
      <c r="GP243" s="324"/>
      <c r="GQ243" s="324"/>
      <c r="GR243" s="324"/>
      <c r="GS243" s="324"/>
      <c r="GT243" s="324"/>
      <c r="GU243" s="324"/>
      <c r="GV243" s="324"/>
      <c r="GW243" s="324"/>
      <c r="GX243" s="324"/>
      <c r="GY243" s="324"/>
      <c r="GZ243" s="324"/>
      <c r="HA243" s="324"/>
      <c r="HB243" s="324"/>
      <c r="HC243" s="324"/>
      <c r="HD243" s="324"/>
      <c r="HE243" s="324"/>
      <c r="HF243" s="324"/>
      <c r="HG243" s="324"/>
      <c r="HH243" s="324"/>
      <c r="HI243" s="324"/>
      <c r="HJ243" s="324"/>
      <c r="HK243" s="324"/>
      <c r="HL243" s="324"/>
      <c r="HM243" s="324"/>
      <c r="HN243" s="324"/>
      <c r="HO243" s="324"/>
      <c r="HP243" s="324"/>
      <c r="HQ243" s="324"/>
      <c r="HR243" s="324"/>
      <c r="HS243" s="324"/>
      <c r="HT243" s="324"/>
      <c r="HU243" s="324"/>
      <c r="HV243" s="324"/>
      <c r="HW243" s="324"/>
      <c r="HX243" s="324"/>
      <c r="HY243" s="324"/>
      <c r="HZ243" s="324"/>
      <c r="IA243" s="324"/>
      <c r="IB243" s="324"/>
      <c r="IC243" s="324"/>
      <c r="ID243" s="324"/>
      <c r="IE243" s="324"/>
      <c r="IF243" s="324"/>
      <c r="IG243" s="324"/>
      <c r="IH243" s="324"/>
      <c r="II243" s="324"/>
      <c r="IJ243" s="324"/>
      <c r="IK243" s="324"/>
      <c r="IL243" s="324"/>
      <c r="IM243" s="324"/>
    </row>
    <row r="244" spans="1:247" x14ac:dyDescent="0.35">
      <c r="A244" s="356">
        <v>8524</v>
      </c>
      <c r="B244" s="357" t="s">
        <v>253</v>
      </c>
      <c r="C244" s="172" t="s">
        <v>3</v>
      </c>
      <c r="D244" s="358" t="s">
        <v>2051</v>
      </c>
      <c r="E244" s="336"/>
      <c r="F244" s="331">
        <f t="shared" si="57"/>
        <v>1.0209999999999999</v>
      </c>
      <c r="G244" s="337"/>
      <c r="H244" s="336"/>
      <c r="I244" s="338"/>
      <c r="J244" s="338"/>
      <c r="K244" s="338"/>
      <c r="L244" s="338"/>
      <c r="M244" s="338"/>
      <c r="N244" s="337"/>
      <c r="O244" s="339"/>
      <c r="P244" s="336"/>
      <c r="Q244" s="337"/>
      <c r="R244" s="340">
        <f t="shared" si="58"/>
        <v>1.0209999999999999</v>
      </c>
      <c r="S244" s="324"/>
      <c r="T244" s="324"/>
      <c r="U244" s="324"/>
      <c r="V244" s="324"/>
      <c r="W244" s="324"/>
      <c r="X244" s="324"/>
      <c r="Y244" s="324"/>
      <c r="Z244" s="324"/>
      <c r="AA244" s="324"/>
      <c r="AB244" s="324"/>
      <c r="AC244" s="324"/>
      <c r="AD244" s="324"/>
      <c r="AE244" s="324"/>
      <c r="AF244" s="324"/>
      <c r="AG244" s="324"/>
      <c r="AH244" s="324"/>
      <c r="AI244" s="324"/>
      <c r="AJ244" s="324"/>
      <c r="AK244" s="324"/>
      <c r="AL244" s="324"/>
      <c r="AM244" s="324"/>
      <c r="AN244" s="324"/>
      <c r="AO244" s="324"/>
      <c r="AP244" s="324"/>
      <c r="AQ244" s="324"/>
      <c r="AR244" s="324"/>
      <c r="AS244" s="324"/>
      <c r="AT244" s="324"/>
      <c r="AU244" s="324"/>
      <c r="AV244" s="324"/>
      <c r="AW244" s="324"/>
      <c r="AX244" s="324"/>
      <c r="AY244" s="324"/>
      <c r="AZ244" s="324"/>
      <c r="BA244" s="324"/>
      <c r="BB244" s="324"/>
      <c r="BC244" s="324"/>
      <c r="BD244" s="324"/>
      <c r="BE244" s="324"/>
      <c r="BF244" s="324"/>
      <c r="BG244" s="324"/>
      <c r="BH244" s="324"/>
      <c r="BI244" s="324"/>
      <c r="BJ244" s="324"/>
      <c r="BK244" s="324"/>
      <c r="BL244" s="324"/>
      <c r="BM244" s="324"/>
      <c r="BN244" s="324"/>
      <c r="BO244" s="324"/>
      <c r="BP244" s="324"/>
      <c r="BQ244" s="324"/>
      <c r="BR244" s="324"/>
      <c r="BS244" s="324"/>
      <c r="BT244" s="324"/>
      <c r="BU244" s="324"/>
      <c r="BV244" s="324"/>
      <c r="BW244" s="324"/>
      <c r="BX244" s="324"/>
      <c r="BY244" s="324"/>
      <c r="BZ244" s="324"/>
      <c r="CA244" s="324"/>
      <c r="CB244" s="324"/>
      <c r="CC244" s="324"/>
      <c r="CD244" s="324"/>
      <c r="CE244" s="324"/>
      <c r="CF244" s="324"/>
      <c r="CG244" s="324"/>
      <c r="CH244" s="324"/>
      <c r="CI244" s="324"/>
      <c r="CJ244" s="324"/>
      <c r="CK244" s="324"/>
      <c r="CL244" s="324"/>
      <c r="CM244" s="324"/>
      <c r="CN244" s="324"/>
      <c r="CO244" s="324"/>
      <c r="CP244" s="324"/>
      <c r="CQ244" s="324"/>
      <c r="CR244" s="324"/>
      <c r="CS244" s="324"/>
      <c r="CT244" s="324"/>
      <c r="CU244" s="324"/>
      <c r="CV244" s="324"/>
      <c r="CW244" s="324"/>
      <c r="CX244" s="324"/>
      <c r="CY244" s="324"/>
      <c r="CZ244" s="324"/>
      <c r="DA244" s="324"/>
      <c r="DB244" s="324"/>
      <c r="DC244" s="324"/>
      <c r="DD244" s="324"/>
      <c r="DE244" s="324"/>
      <c r="DF244" s="324"/>
      <c r="DG244" s="324"/>
      <c r="DH244" s="324"/>
      <c r="DI244" s="324"/>
      <c r="DJ244" s="324"/>
      <c r="DK244" s="324"/>
      <c r="DL244" s="324"/>
      <c r="DM244" s="324"/>
      <c r="DN244" s="324"/>
      <c r="DO244" s="324"/>
      <c r="DP244" s="324"/>
      <c r="DQ244" s="324"/>
      <c r="DR244" s="324"/>
      <c r="DS244" s="324"/>
      <c r="DT244" s="324"/>
      <c r="DU244" s="324"/>
      <c r="DV244" s="324"/>
      <c r="DW244" s="324"/>
      <c r="DX244" s="324"/>
      <c r="DY244" s="324"/>
      <c r="DZ244" s="324"/>
      <c r="EA244" s="324"/>
      <c r="EB244" s="324"/>
      <c r="EC244" s="324"/>
      <c r="ED244" s="324"/>
      <c r="EE244" s="324"/>
      <c r="EF244" s="324"/>
      <c r="EG244" s="324"/>
      <c r="EH244" s="324"/>
      <c r="EI244" s="324"/>
      <c r="EJ244" s="324"/>
      <c r="EK244" s="324"/>
      <c r="EL244" s="324"/>
      <c r="EM244" s="324"/>
      <c r="EN244" s="324"/>
      <c r="EO244" s="324"/>
      <c r="EP244" s="324"/>
      <c r="EQ244" s="324"/>
      <c r="ER244" s="324"/>
      <c r="ES244" s="324"/>
      <c r="ET244" s="324"/>
      <c r="EU244" s="324"/>
      <c r="EV244" s="324"/>
      <c r="EW244" s="324"/>
      <c r="EX244" s="324"/>
      <c r="EY244" s="324"/>
      <c r="EZ244" s="324"/>
      <c r="FA244" s="324"/>
      <c r="FB244" s="324"/>
      <c r="FC244" s="324"/>
      <c r="FD244" s="324"/>
      <c r="FE244" s="324"/>
      <c r="FF244" s="324"/>
      <c r="FG244" s="324"/>
      <c r="FH244" s="324"/>
      <c r="FI244" s="324"/>
      <c r="FJ244" s="324"/>
      <c r="FK244" s="324"/>
      <c r="FL244" s="324"/>
      <c r="FM244" s="324"/>
      <c r="FN244" s="324"/>
      <c r="FO244" s="324"/>
      <c r="FP244" s="324"/>
      <c r="FQ244" s="324"/>
      <c r="FR244" s="324"/>
      <c r="FS244" s="324"/>
      <c r="FT244" s="324"/>
      <c r="FU244" s="324"/>
      <c r="FV244" s="324"/>
      <c r="FW244" s="324"/>
      <c r="FX244" s="324"/>
      <c r="FY244" s="324"/>
      <c r="FZ244" s="324"/>
      <c r="GA244" s="324"/>
      <c r="GB244" s="324"/>
      <c r="GC244" s="324"/>
      <c r="GD244" s="324"/>
      <c r="GE244" s="324"/>
      <c r="GF244" s="324"/>
      <c r="GG244" s="324"/>
      <c r="GH244" s="324"/>
      <c r="GI244" s="324"/>
      <c r="GJ244" s="324"/>
      <c r="GK244" s="324"/>
      <c r="GL244" s="324"/>
      <c r="GM244" s="324"/>
      <c r="GN244" s="324"/>
      <c r="GO244" s="324"/>
      <c r="GP244" s="324"/>
      <c r="GQ244" s="324"/>
      <c r="GR244" s="324"/>
      <c r="GS244" s="324"/>
      <c r="GT244" s="324"/>
      <c r="GU244" s="324"/>
      <c r="GV244" s="324"/>
      <c r="GW244" s="324"/>
      <c r="GX244" s="324"/>
      <c r="GY244" s="324"/>
      <c r="GZ244" s="324"/>
      <c r="HA244" s="324"/>
      <c r="HB244" s="324"/>
      <c r="HC244" s="324"/>
      <c r="HD244" s="324"/>
      <c r="HE244" s="324"/>
      <c r="HF244" s="324"/>
      <c r="HG244" s="324"/>
      <c r="HH244" s="324"/>
      <c r="HI244" s="324"/>
      <c r="HJ244" s="324"/>
      <c r="HK244" s="324"/>
      <c r="HL244" s="324"/>
      <c r="HM244" s="324"/>
      <c r="HN244" s="324"/>
      <c r="HO244" s="324"/>
      <c r="HP244" s="324"/>
      <c r="HQ244" s="324"/>
      <c r="HR244" s="324"/>
      <c r="HS244" s="324"/>
      <c r="HT244" s="324"/>
      <c r="HU244" s="324"/>
      <c r="HV244" s="324"/>
      <c r="HW244" s="324"/>
      <c r="HX244" s="324"/>
      <c r="HY244" s="324"/>
      <c r="HZ244" s="324"/>
      <c r="IA244" s="324"/>
      <c r="IB244" s="324"/>
      <c r="IC244" s="324"/>
      <c r="ID244" s="324"/>
      <c r="IE244" s="324"/>
      <c r="IF244" s="324"/>
      <c r="IG244" s="324"/>
      <c r="IH244" s="324"/>
      <c r="II244" s="324"/>
      <c r="IJ244" s="324"/>
      <c r="IK244" s="324"/>
      <c r="IL244" s="324"/>
      <c r="IM244" s="324"/>
    </row>
    <row r="245" spans="1:247" x14ac:dyDescent="0.35">
      <c r="A245" s="356">
        <v>8525</v>
      </c>
      <c r="B245" s="357" t="s">
        <v>254</v>
      </c>
      <c r="C245" s="172" t="s">
        <v>3</v>
      </c>
      <c r="D245" s="358" t="s">
        <v>2051</v>
      </c>
      <c r="E245" s="336"/>
      <c r="F245" s="331">
        <f t="shared" si="57"/>
        <v>1.0209999999999999</v>
      </c>
      <c r="G245" s="337"/>
      <c r="H245" s="336"/>
      <c r="I245" s="338"/>
      <c r="J245" s="338"/>
      <c r="K245" s="338"/>
      <c r="L245" s="338"/>
      <c r="M245" s="338"/>
      <c r="N245" s="337"/>
      <c r="O245" s="339"/>
      <c r="P245" s="336">
        <f t="shared" ref="P245:P251" si="63">+$P$3</f>
        <v>1.032</v>
      </c>
      <c r="Q245" s="337">
        <f t="shared" ref="Q245:Q251" si="64">+$Q$3</f>
        <v>1.0349999999999999</v>
      </c>
      <c r="R245" s="340">
        <f t="shared" si="58"/>
        <v>1.0905505199999999</v>
      </c>
      <c r="S245" s="324"/>
      <c r="T245" s="324"/>
      <c r="U245" s="324"/>
      <c r="V245" s="324"/>
      <c r="W245" s="324"/>
      <c r="X245" s="324"/>
      <c r="Y245" s="324"/>
      <c r="Z245" s="324"/>
      <c r="AA245" s="324"/>
      <c r="AB245" s="324"/>
      <c r="AC245" s="324"/>
      <c r="AD245" s="324"/>
      <c r="AE245" s="324"/>
      <c r="AF245" s="324"/>
      <c r="AG245" s="324"/>
      <c r="AH245" s="324"/>
      <c r="AI245" s="324"/>
      <c r="AJ245" s="324"/>
      <c r="AK245" s="324"/>
      <c r="AL245" s="324"/>
      <c r="AM245" s="324"/>
      <c r="AN245" s="324"/>
      <c r="AO245" s="324"/>
      <c r="AP245" s="324"/>
      <c r="AQ245" s="324"/>
      <c r="AR245" s="324"/>
      <c r="AS245" s="324"/>
      <c r="AT245" s="324"/>
      <c r="AU245" s="324"/>
      <c r="AV245" s="324"/>
      <c r="AW245" s="324"/>
      <c r="AX245" s="324"/>
      <c r="AY245" s="324"/>
      <c r="AZ245" s="324"/>
      <c r="BA245" s="324"/>
      <c r="BB245" s="324"/>
      <c r="BC245" s="324"/>
      <c r="BD245" s="324"/>
      <c r="BE245" s="324"/>
      <c r="BF245" s="324"/>
      <c r="BG245" s="324"/>
      <c r="BH245" s="324"/>
      <c r="BI245" s="324"/>
      <c r="BJ245" s="324"/>
      <c r="BK245" s="324"/>
      <c r="BL245" s="324"/>
      <c r="BM245" s="324"/>
      <c r="BN245" s="324"/>
      <c r="BO245" s="324"/>
      <c r="BP245" s="324"/>
      <c r="BQ245" s="324"/>
      <c r="BR245" s="324"/>
      <c r="BS245" s="324"/>
      <c r="BT245" s="324"/>
      <c r="BU245" s="324"/>
      <c r="BV245" s="324"/>
      <c r="BW245" s="324"/>
      <c r="BX245" s="324"/>
      <c r="BY245" s="324"/>
      <c r="BZ245" s="324"/>
      <c r="CA245" s="324"/>
      <c r="CB245" s="324"/>
      <c r="CC245" s="324"/>
      <c r="CD245" s="324"/>
      <c r="CE245" s="324"/>
      <c r="CF245" s="324"/>
      <c r="CG245" s="324"/>
      <c r="CH245" s="324"/>
      <c r="CI245" s="324"/>
      <c r="CJ245" s="324"/>
      <c r="CK245" s="324"/>
      <c r="CL245" s="324"/>
      <c r="CM245" s="324"/>
      <c r="CN245" s="324"/>
      <c r="CO245" s="324"/>
      <c r="CP245" s="324"/>
      <c r="CQ245" s="324"/>
      <c r="CR245" s="324"/>
      <c r="CS245" s="324"/>
      <c r="CT245" s="324"/>
      <c r="CU245" s="324"/>
      <c r="CV245" s="324"/>
      <c r="CW245" s="324"/>
      <c r="CX245" s="324"/>
      <c r="CY245" s="324"/>
      <c r="CZ245" s="324"/>
      <c r="DA245" s="324"/>
      <c r="DB245" s="324"/>
      <c r="DC245" s="324"/>
      <c r="DD245" s="324"/>
      <c r="DE245" s="324"/>
      <c r="DF245" s="324"/>
      <c r="DG245" s="324"/>
      <c r="DH245" s="324"/>
      <c r="DI245" s="324"/>
      <c r="DJ245" s="324"/>
      <c r="DK245" s="324"/>
      <c r="DL245" s="324"/>
      <c r="DM245" s="324"/>
      <c r="DN245" s="324"/>
      <c r="DO245" s="324"/>
      <c r="DP245" s="324"/>
      <c r="DQ245" s="324"/>
      <c r="DR245" s="324"/>
      <c r="DS245" s="324"/>
      <c r="DT245" s="324"/>
      <c r="DU245" s="324"/>
      <c r="DV245" s="324"/>
      <c r="DW245" s="324"/>
      <c r="DX245" s="324"/>
      <c r="DY245" s="324"/>
      <c r="DZ245" s="324"/>
      <c r="EA245" s="324"/>
      <c r="EB245" s="324"/>
      <c r="EC245" s="324"/>
      <c r="ED245" s="324"/>
      <c r="EE245" s="324"/>
      <c r="EF245" s="324"/>
      <c r="EG245" s="324"/>
      <c r="EH245" s="324"/>
      <c r="EI245" s="324"/>
      <c r="EJ245" s="324"/>
      <c r="EK245" s="324"/>
      <c r="EL245" s="324"/>
      <c r="EM245" s="324"/>
      <c r="EN245" s="324"/>
      <c r="EO245" s="324"/>
      <c r="EP245" s="324"/>
      <c r="EQ245" s="324"/>
      <c r="ER245" s="324"/>
      <c r="ES245" s="324"/>
      <c r="ET245" s="324"/>
      <c r="EU245" s="324"/>
      <c r="EV245" s="324"/>
      <c r="EW245" s="324"/>
      <c r="EX245" s="324"/>
      <c r="EY245" s="324"/>
      <c r="EZ245" s="324"/>
      <c r="FA245" s="324"/>
      <c r="FB245" s="324"/>
      <c r="FC245" s="324"/>
      <c r="FD245" s="324"/>
      <c r="FE245" s="324"/>
      <c r="FF245" s="324"/>
      <c r="FG245" s="324"/>
      <c r="FH245" s="324"/>
      <c r="FI245" s="324"/>
      <c r="FJ245" s="324"/>
      <c r="FK245" s="324"/>
      <c r="FL245" s="324"/>
      <c r="FM245" s="324"/>
      <c r="FN245" s="324"/>
      <c r="FO245" s="324"/>
      <c r="FP245" s="324"/>
      <c r="FQ245" s="324"/>
      <c r="FR245" s="324"/>
      <c r="FS245" s="324"/>
      <c r="FT245" s="324"/>
      <c r="FU245" s="324"/>
      <c r="FV245" s="324"/>
      <c r="FW245" s="324"/>
      <c r="FX245" s="324"/>
      <c r="FY245" s="324"/>
      <c r="FZ245" s="324"/>
      <c r="GA245" s="324"/>
      <c r="GB245" s="324"/>
      <c r="GC245" s="324"/>
      <c r="GD245" s="324"/>
      <c r="GE245" s="324"/>
      <c r="GF245" s="324"/>
      <c r="GG245" s="324"/>
      <c r="GH245" s="324"/>
      <c r="GI245" s="324"/>
      <c r="GJ245" s="324"/>
      <c r="GK245" s="324"/>
      <c r="GL245" s="324"/>
      <c r="GM245" s="324"/>
      <c r="GN245" s="324"/>
      <c r="GO245" s="324"/>
      <c r="GP245" s="324"/>
      <c r="GQ245" s="324"/>
      <c r="GR245" s="324"/>
      <c r="GS245" s="324"/>
      <c r="GT245" s="324"/>
      <c r="GU245" s="324"/>
      <c r="GV245" s="324"/>
      <c r="GW245" s="324"/>
      <c r="GX245" s="324"/>
      <c r="GY245" s="324"/>
      <c r="GZ245" s="324"/>
      <c r="HA245" s="324"/>
      <c r="HB245" s="324"/>
      <c r="HC245" s="324"/>
      <c r="HD245" s="324"/>
      <c r="HE245" s="324"/>
      <c r="HF245" s="324"/>
      <c r="HG245" s="324"/>
      <c r="HH245" s="324"/>
      <c r="HI245" s="324"/>
      <c r="HJ245" s="324"/>
      <c r="HK245" s="324"/>
      <c r="HL245" s="324"/>
      <c r="HM245" s="324"/>
      <c r="HN245" s="324"/>
      <c r="HO245" s="324"/>
      <c r="HP245" s="324"/>
      <c r="HQ245" s="324"/>
      <c r="HR245" s="324"/>
      <c r="HS245" s="324"/>
      <c r="HT245" s="324"/>
      <c r="HU245" s="324"/>
      <c r="HV245" s="324"/>
      <c r="HW245" s="324"/>
      <c r="HX245" s="324"/>
      <c r="HY245" s="324"/>
      <c r="HZ245" s="324"/>
      <c r="IA245" s="324"/>
      <c r="IB245" s="324"/>
      <c r="IC245" s="324"/>
      <c r="ID245" s="324"/>
      <c r="IE245" s="324"/>
      <c r="IF245" s="324"/>
      <c r="IG245" s="324"/>
      <c r="IH245" s="324"/>
      <c r="II245" s="324"/>
      <c r="IJ245" s="324"/>
      <c r="IK245" s="324"/>
      <c r="IL245" s="324"/>
      <c r="IM245" s="324"/>
    </row>
    <row r="246" spans="1:247" x14ac:dyDescent="0.35">
      <c r="A246" s="356">
        <v>8526</v>
      </c>
      <c r="B246" s="357" t="s">
        <v>255</v>
      </c>
      <c r="C246" s="172" t="s">
        <v>3</v>
      </c>
      <c r="D246" s="358" t="s">
        <v>2052</v>
      </c>
      <c r="E246" s="336"/>
      <c r="F246" s="331">
        <f t="shared" si="57"/>
        <v>1.0209999999999999</v>
      </c>
      <c r="G246" s="337"/>
      <c r="H246" s="336"/>
      <c r="I246" s="338"/>
      <c r="J246" s="338"/>
      <c r="K246" s="338"/>
      <c r="L246" s="338"/>
      <c r="M246" s="338"/>
      <c r="N246" s="337"/>
      <c r="O246" s="339"/>
      <c r="P246" s="336">
        <f t="shared" si="63"/>
        <v>1.032</v>
      </c>
      <c r="Q246" s="337">
        <f t="shared" si="64"/>
        <v>1.0349999999999999</v>
      </c>
      <c r="R246" s="340">
        <f t="shared" si="58"/>
        <v>1.0905505199999999</v>
      </c>
      <c r="S246" s="324"/>
      <c r="T246" s="324"/>
      <c r="U246" s="324"/>
      <c r="V246" s="324"/>
      <c r="W246" s="324"/>
      <c r="X246" s="324"/>
      <c r="Y246" s="324"/>
      <c r="Z246" s="324"/>
      <c r="AA246" s="324"/>
      <c r="AB246" s="324"/>
      <c r="AC246" s="324"/>
      <c r="AD246" s="324"/>
      <c r="AE246" s="324"/>
      <c r="AF246" s="324"/>
      <c r="AG246" s="324"/>
      <c r="AH246" s="324"/>
      <c r="AI246" s="324"/>
      <c r="AJ246" s="324"/>
      <c r="AK246" s="324"/>
      <c r="AL246" s="324"/>
      <c r="AM246" s="324"/>
      <c r="AN246" s="324"/>
      <c r="AO246" s="324"/>
      <c r="AP246" s="324"/>
      <c r="AQ246" s="324"/>
      <c r="AR246" s="324"/>
      <c r="AS246" s="324"/>
      <c r="AT246" s="324"/>
      <c r="AU246" s="324"/>
      <c r="AV246" s="324"/>
      <c r="AW246" s="324"/>
      <c r="AX246" s="324"/>
      <c r="AY246" s="324"/>
      <c r="AZ246" s="324"/>
      <c r="BA246" s="324"/>
      <c r="BB246" s="324"/>
      <c r="BC246" s="324"/>
      <c r="BD246" s="324"/>
      <c r="BE246" s="324"/>
      <c r="BF246" s="324"/>
      <c r="BG246" s="324"/>
      <c r="BH246" s="324"/>
      <c r="BI246" s="324"/>
      <c r="BJ246" s="324"/>
      <c r="BK246" s="324"/>
      <c r="BL246" s="324"/>
      <c r="BM246" s="324"/>
      <c r="BN246" s="324"/>
      <c r="BO246" s="324"/>
      <c r="BP246" s="324"/>
      <c r="BQ246" s="324"/>
      <c r="BR246" s="324"/>
      <c r="BS246" s="324"/>
      <c r="BT246" s="324"/>
      <c r="BU246" s="324"/>
      <c r="BV246" s="324"/>
      <c r="BW246" s="324"/>
      <c r="BX246" s="324"/>
      <c r="BY246" s="324"/>
      <c r="BZ246" s="324"/>
      <c r="CA246" s="324"/>
      <c r="CB246" s="324"/>
      <c r="CC246" s="324"/>
      <c r="CD246" s="324"/>
      <c r="CE246" s="324"/>
      <c r="CF246" s="324"/>
      <c r="CG246" s="324"/>
      <c r="CH246" s="324"/>
      <c r="CI246" s="324"/>
      <c r="CJ246" s="324"/>
      <c r="CK246" s="324"/>
      <c r="CL246" s="324"/>
      <c r="CM246" s="324"/>
      <c r="CN246" s="324"/>
      <c r="CO246" s="324"/>
      <c r="CP246" s="324"/>
      <c r="CQ246" s="324"/>
      <c r="CR246" s="324"/>
      <c r="CS246" s="324"/>
      <c r="CT246" s="324"/>
      <c r="CU246" s="324"/>
      <c r="CV246" s="324"/>
      <c r="CW246" s="324"/>
      <c r="CX246" s="324"/>
      <c r="CY246" s="324"/>
      <c r="CZ246" s="324"/>
      <c r="DA246" s="324"/>
      <c r="DB246" s="324"/>
      <c r="DC246" s="324"/>
      <c r="DD246" s="324"/>
      <c r="DE246" s="324"/>
      <c r="DF246" s="324"/>
      <c r="DG246" s="324"/>
      <c r="DH246" s="324"/>
      <c r="DI246" s="324"/>
      <c r="DJ246" s="324"/>
      <c r="DK246" s="324"/>
      <c r="DL246" s="324"/>
      <c r="DM246" s="324"/>
      <c r="DN246" s="324"/>
      <c r="DO246" s="324"/>
      <c r="DP246" s="324"/>
      <c r="DQ246" s="324"/>
      <c r="DR246" s="324"/>
      <c r="DS246" s="324"/>
      <c r="DT246" s="324"/>
      <c r="DU246" s="324"/>
      <c r="DV246" s="324"/>
      <c r="DW246" s="324"/>
      <c r="DX246" s="324"/>
      <c r="DY246" s="324"/>
      <c r="DZ246" s="324"/>
      <c r="EA246" s="324"/>
      <c r="EB246" s="324"/>
      <c r="EC246" s="324"/>
      <c r="ED246" s="324"/>
      <c r="EE246" s="324"/>
      <c r="EF246" s="324"/>
      <c r="EG246" s="324"/>
      <c r="EH246" s="324"/>
      <c r="EI246" s="324"/>
      <c r="EJ246" s="324"/>
      <c r="EK246" s="324"/>
      <c r="EL246" s="324"/>
      <c r="EM246" s="324"/>
      <c r="EN246" s="324"/>
      <c r="EO246" s="324"/>
      <c r="EP246" s="324"/>
      <c r="EQ246" s="324"/>
      <c r="ER246" s="324"/>
      <c r="ES246" s="324"/>
      <c r="ET246" s="324"/>
      <c r="EU246" s="324"/>
      <c r="EV246" s="324"/>
      <c r="EW246" s="324"/>
      <c r="EX246" s="324"/>
      <c r="EY246" s="324"/>
      <c r="EZ246" s="324"/>
      <c r="FA246" s="324"/>
      <c r="FB246" s="324"/>
      <c r="FC246" s="324"/>
      <c r="FD246" s="324"/>
      <c r="FE246" s="324"/>
      <c r="FF246" s="324"/>
      <c r="FG246" s="324"/>
      <c r="FH246" s="324"/>
      <c r="FI246" s="324"/>
      <c r="FJ246" s="324"/>
      <c r="FK246" s="324"/>
      <c r="FL246" s="324"/>
      <c r="FM246" s="324"/>
      <c r="FN246" s="324"/>
      <c r="FO246" s="324"/>
      <c r="FP246" s="324"/>
      <c r="FQ246" s="324"/>
      <c r="FR246" s="324"/>
      <c r="FS246" s="324"/>
      <c r="FT246" s="324"/>
      <c r="FU246" s="324"/>
      <c r="FV246" s="324"/>
      <c r="FW246" s="324"/>
      <c r="FX246" s="324"/>
      <c r="FY246" s="324"/>
      <c r="FZ246" s="324"/>
      <c r="GA246" s="324"/>
      <c r="GB246" s="324"/>
      <c r="GC246" s="324"/>
      <c r="GD246" s="324"/>
      <c r="GE246" s="324"/>
      <c r="GF246" s="324"/>
      <c r="GG246" s="324"/>
      <c r="GH246" s="324"/>
      <c r="GI246" s="324"/>
      <c r="GJ246" s="324"/>
      <c r="GK246" s="324"/>
      <c r="GL246" s="324"/>
      <c r="GM246" s="324"/>
      <c r="GN246" s="324"/>
      <c r="GO246" s="324"/>
      <c r="GP246" s="324"/>
      <c r="GQ246" s="324"/>
      <c r="GR246" s="324"/>
      <c r="GS246" s="324"/>
      <c r="GT246" s="324"/>
      <c r="GU246" s="324"/>
      <c r="GV246" s="324"/>
      <c r="GW246" s="324"/>
      <c r="GX246" s="324"/>
      <c r="GY246" s="324"/>
      <c r="GZ246" s="324"/>
      <c r="HA246" s="324"/>
      <c r="HB246" s="324"/>
      <c r="HC246" s="324"/>
      <c r="HD246" s="324"/>
      <c r="HE246" s="324"/>
      <c r="HF246" s="324"/>
      <c r="HG246" s="324"/>
      <c r="HH246" s="324"/>
      <c r="HI246" s="324"/>
      <c r="HJ246" s="324"/>
      <c r="HK246" s="324"/>
      <c r="HL246" s="324"/>
      <c r="HM246" s="324"/>
      <c r="HN246" s="324"/>
      <c r="HO246" s="324"/>
      <c r="HP246" s="324"/>
      <c r="HQ246" s="324"/>
      <c r="HR246" s="324"/>
      <c r="HS246" s="324"/>
      <c r="HT246" s="324"/>
      <c r="HU246" s="324"/>
      <c r="HV246" s="324"/>
      <c r="HW246" s="324"/>
      <c r="HX246" s="324"/>
      <c r="HY246" s="324"/>
      <c r="HZ246" s="324"/>
      <c r="IA246" s="324"/>
      <c r="IB246" s="324"/>
      <c r="IC246" s="324"/>
      <c r="ID246" s="324"/>
      <c r="IE246" s="324"/>
      <c r="IF246" s="324"/>
      <c r="IG246" s="324"/>
      <c r="IH246" s="324"/>
      <c r="II246" s="324"/>
      <c r="IJ246" s="324"/>
      <c r="IK246" s="324"/>
      <c r="IL246" s="324"/>
      <c r="IM246" s="324"/>
    </row>
    <row r="247" spans="1:247" x14ac:dyDescent="0.35">
      <c r="A247" s="356">
        <v>8541</v>
      </c>
      <c r="B247" s="357" t="s">
        <v>256</v>
      </c>
      <c r="C247" s="172" t="s">
        <v>10</v>
      </c>
      <c r="D247" s="358" t="s">
        <v>2051</v>
      </c>
      <c r="E247" s="336"/>
      <c r="F247" s="331">
        <f t="shared" si="57"/>
        <v>1.0209999999999999</v>
      </c>
      <c r="G247" s="337"/>
      <c r="H247" s="336"/>
      <c r="I247" s="338"/>
      <c r="J247" s="338"/>
      <c r="K247" s="338"/>
      <c r="L247" s="338"/>
      <c r="M247" s="338"/>
      <c r="N247" s="337"/>
      <c r="O247" s="339"/>
      <c r="P247" s="336">
        <f t="shared" si="63"/>
        <v>1.032</v>
      </c>
      <c r="Q247" s="337">
        <f t="shared" si="64"/>
        <v>1.0349999999999999</v>
      </c>
      <c r="R247" s="340">
        <f t="shared" si="58"/>
        <v>1.0905505199999999</v>
      </c>
      <c r="S247" s="324"/>
      <c r="T247" s="324"/>
      <c r="U247" s="324"/>
      <c r="V247" s="324"/>
      <c r="W247" s="324"/>
      <c r="X247" s="324"/>
      <c r="Y247" s="324"/>
      <c r="Z247" s="324"/>
      <c r="AA247" s="324"/>
      <c r="AB247" s="324"/>
      <c r="AC247" s="324"/>
      <c r="AD247" s="324"/>
      <c r="AE247" s="324"/>
      <c r="AF247" s="324"/>
      <c r="AG247" s="324"/>
      <c r="AH247" s="324"/>
      <c r="AI247" s="324"/>
      <c r="AJ247" s="324"/>
      <c r="AK247" s="324"/>
      <c r="AL247" s="324"/>
      <c r="AM247" s="324"/>
      <c r="AN247" s="324"/>
      <c r="AO247" s="324"/>
      <c r="AP247" s="324"/>
      <c r="AQ247" s="324"/>
      <c r="AR247" s="324"/>
      <c r="AS247" s="324"/>
      <c r="AT247" s="324"/>
      <c r="AU247" s="324"/>
      <c r="AV247" s="324"/>
      <c r="AW247" s="324"/>
      <c r="AX247" s="324"/>
      <c r="AY247" s="324"/>
      <c r="AZ247" s="324"/>
      <c r="BA247" s="324"/>
      <c r="BB247" s="324"/>
      <c r="BC247" s="324"/>
      <c r="BD247" s="324"/>
      <c r="BE247" s="324"/>
      <c r="BF247" s="324"/>
      <c r="BG247" s="324"/>
      <c r="BH247" s="324"/>
      <c r="BI247" s="324"/>
      <c r="BJ247" s="324"/>
      <c r="BK247" s="324"/>
      <c r="BL247" s="324"/>
      <c r="BM247" s="324"/>
      <c r="BN247" s="324"/>
      <c r="BO247" s="324"/>
      <c r="BP247" s="324"/>
      <c r="BQ247" s="324"/>
      <c r="BR247" s="324"/>
      <c r="BS247" s="324"/>
      <c r="BT247" s="324"/>
      <c r="BU247" s="324"/>
      <c r="BV247" s="324"/>
      <c r="BW247" s="324"/>
      <c r="BX247" s="324"/>
      <c r="BY247" s="324"/>
      <c r="BZ247" s="324"/>
      <c r="CA247" s="324"/>
      <c r="CB247" s="324"/>
      <c r="CC247" s="324"/>
      <c r="CD247" s="324"/>
      <c r="CE247" s="324"/>
      <c r="CF247" s="324"/>
      <c r="CG247" s="324"/>
      <c r="CH247" s="324"/>
      <c r="CI247" s="324"/>
      <c r="CJ247" s="324"/>
      <c r="CK247" s="324"/>
      <c r="CL247" s="324"/>
      <c r="CM247" s="324"/>
      <c r="CN247" s="324"/>
      <c r="CO247" s="324"/>
      <c r="CP247" s="324"/>
      <c r="CQ247" s="324"/>
      <c r="CR247" s="324"/>
      <c r="CS247" s="324"/>
      <c r="CT247" s="324"/>
      <c r="CU247" s="324"/>
      <c r="CV247" s="324"/>
      <c r="CW247" s="324"/>
      <c r="CX247" s="324"/>
      <c r="CY247" s="324"/>
      <c r="CZ247" s="324"/>
      <c r="DA247" s="324"/>
      <c r="DB247" s="324"/>
      <c r="DC247" s="324"/>
      <c r="DD247" s="324"/>
      <c r="DE247" s="324"/>
      <c r="DF247" s="324"/>
      <c r="DG247" s="324"/>
      <c r="DH247" s="324"/>
      <c r="DI247" s="324"/>
      <c r="DJ247" s="324"/>
      <c r="DK247" s="324"/>
      <c r="DL247" s="324"/>
      <c r="DM247" s="324"/>
      <c r="DN247" s="324"/>
      <c r="DO247" s="324"/>
      <c r="DP247" s="324"/>
      <c r="DQ247" s="324"/>
      <c r="DR247" s="324"/>
      <c r="DS247" s="324"/>
      <c r="DT247" s="324"/>
      <c r="DU247" s="324"/>
      <c r="DV247" s="324"/>
      <c r="DW247" s="324"/>
      <c r="DX247" s="324"/>
      <c r="DY247" s="324"/>
      <c r="DZ247" s="324"/>
      <c r="EA247" s="324"/>
      <c r="EB247" s="324"/>
      <c r="EC247" s="324"/>
      <c r="ED247" s="324"/>
      <c r="EE247" s="324"/>
      <c r="EF247" s="324"/>
      <c r="EG247" s="324"/>
      <c r="EH247" s="324"/>
      <c r="EI247" s="324"/>
      <c r="EJ247" s="324"/>
      <c r="EK247" s="324"/>
      <c r="EL247" s="324"/>
      <c r="EM247" s="324"/>
      <c r="EN247" s="324"/>
      <c r="EO247" s="324"/>
      <c r="EP247" s="324"/>
      <c r="EQ247" s="324"/>
      <c r="ER247" s="324"/>
      <c r="ES247" s="324"/>
      <c r="ET247" s="324"/>
      <c r="EU247" s="324"/>
      <c r="EV247" s="324"/>
      <c r="EW247" s="324"/>
      <c r="EX247" s="324"/>
      <c r="EY247" s="324"/>
      <c r="EZ247" s="324"/>
      <c r="FA247" s="324"/>
      <c r="FB247" s="324"/>
      <c r="FC247" s="324"/>
      <c r="FD247" s="324"/>
      <c r="FE247" s="324"/>
      <c r="FF247" s="324"/>
      <c r="FG247" s="324"/>
      <c r="FH247" s="324"/>
      <c r="FI247" s="324"/>
      <c r="FJ247" s="324"/>
      <c r="FK247" s="324"/>
      <c r="FL247" s="324"/>
      <c r="FM247" s="324"/>
      <c r="FN247" s="324"/>
      <c r="FO247" s="324"/>
      <c r="FP247" s="324"/>
      <c r="FQ247" s="324"/>
      <c r="FR247" s="324"/>
      <c r="FS247" s="324"/>
      <c r="FT247" s="324"/>
      <c r="FU247" s="324"/>
      <c r="FV247" s="324"/>
      <c r="FW247" s="324"/>
      <c r="FX247" s="324"/>
      <c r="FY247" s="324"/>
      <c r="FZ247" s="324"/>
      <c r="GA247" s="324"/>
      <c r="GB247" s="324"/>
      <c r="GC247" s="324"/>
      <c r="GD247" s="324"/>
      <c r="GE247" s="324"/>
      <c r="GF247" s="324"/>
      <c r="GG247" s="324"/>
      <c r="GH247" s="324"/>
      <c r="GI247" s="324"/>
      <c r="GJ247" s="324"/>
      <c r="GK247" s="324"/>
      <c r="GL247" s="324"/>
      <c r="GM247" s="324"/>
      <c r="GN247" s="324"/>
      <c r="GO247" s="324"/>
      <c r="GP247" s="324"/>
      <c r="GQ247" s="324"/>
      <c r="GR247" s="324"/>
      <c r="GS247" s="324"/>
      <c r="GT247" s="324"/>
      <c r="GU247" s="324"/>
      <c r="GV247" s="324"/>
      <c r="GW247" s="324"/>
      <c r="GX247" s="324"/>
      <c r="GY247" s="324"/>
      <c r="GZ247" s="324"/>
      <c r="HA247" s="324"/>
      <c r="HB247" s="324"/>
      <c r="HC247" s="324"/>
      <c r="HD247" s="324"/>
      <c r="HE247" s="324"/>
      <c r="HF247" s="324"/>
      <c r="HG247" s="324"/>
      <c r="HH247" s="324"/>
      <c r="HI247" s="324"/>
      <c r="HJ247" s="324"/>
      <c r="HK247" s="324"/>
      <c r="HL247" s="324"/>
      <c r="HM247" s="324"/>
      <c r="HN247" s="324"/>
      <c r="HO247" s="324"/>
      <c r="HP247" s="324"/>
      <c r="HQ247" s="324"/>
      <c r="HR247" s="324"/>
      <c r="HS247" s="324"/>
      <c r="HT247" s="324"/>
      <c r="HU247" s="324"/>
      <c r="HV247" s="324"/>
      <c r="HW247" s="324"/>
      <c r="HX247" s="324"/>
      <c r="HY247" s="324"/>
      <c r="HZ247" s="324"/>
      <c r="IA247" s="324"/>
      <c r="IB247" s="324"/>
      <c r="IC247" s="324"/>
      <c r="ID247" s="324"/>
      <c r="IE247" s="324"/>
      <c r="IF247" s="324"/>
      <c r="IG247" s="324"/>
      <c r="IH247" s="324"/>
      <c r="II247" s="324"/>
      <c r="IJ247" s="324"/>
      <c r="IK247" s="324"/>
      <c r="IL247" s="324"/>
      <c r="IM247" s="324"/>
    </row>
    <row r="248" spans="1:247" x14ac:dyDescent="0.35">
      <c r="A248" s="356">
        <v>8601</v>
      </c>
      <c r="B248" s="357" t="s">
        <v>257</v>
      </c>
      <c r="C248" s="172" t="s">
        <v>13</v>
      </c>
      <c r="D248" s="358" t="s">
        <v>2052</v>
      </c>
      <c r="E248" s="336"/>
      <c r="F248" s="331">
        <f t="shared" si="57"/>
        <v>1.0209999999999999</v>
      </c>
      <c r="G248" s="337">
        <f>+$G$3</f>
        <v>1.0269999999999999</v>
      </c>
      <c r="H248" s="336"/>
      <c r="I248" s="338"/>
      <c r="J248" s="338"/>
      <c r="K248" s="338"/>
      <c r="L248" s="338"/>
      <c r="M248" s="338"/>
      <c r="N248" s="337"/>
      <c r="O248" s="339"/>
      <c r="P248" s="336">
        <f t="shared" si="63"/>
        <v>1.032</v>
      </c>
      <c r="Q248" s="337">
        <f t="shared" si="64"/>
        <v>1.0349999999999999</v>
      </c>
      <c r="R248" s="340">
        <f t="shared" si="58"/>
        <v>1.1199953840399997</v>
      </c>
      <c r="S248" s="324"/>
      <c r="T248" s="324"/>
      <c r="U248" s="324"/>
      <c r="V248" s="324"/>
      <c r="W248" s="324"/>
      <c r="X248" s="324"/>
      <c r="Y248" s="324"/>
      <c r="Z248" s="324"/>
      <c r="AA248" s="324"/>
      <c r="AB248" s="324"/>
      <c r="AC248" s="324"/>
      <c r="AD248" s="324"/>
      <c r="AE248" s="324"/>
      <c r="AF248" s="324"/>
      <c r="AG248" s="324"/>
      <c r="AH248" s="324"/>
      <c r="AI248" s="324"/>
      <c r="AJ248" s="324"/>
      <c r="AK248" s="324"/>
      <c r="AL248" s="324"/>
      <c r="AM248" s="324"/>
      <c r="AN248" s="324"/>
      <c r="AO248" s="324"/>
      <c r="AP248" s="324"/>
      <c r="AQ248" s="324"/>
      <c r="AR248" s="324"/>
      <c r="AS248" s="324"/>
      <c r="AT248" s="324"/>
      <c r="AU248" s="324"/>
      <c r="AV248" s="324"/>
      <c r="AW248" s="324"/>
      <c r="AX248" s="324"/>
      <c r="AY248" s="324"/>
      <c r="AZ248" s="324"/>
      <c r="BA248" s="324"/>
      <c r="BB248" s="324"/>
      <c r="BC248" s="324"/>
      <c r="BD248" s="324"/>
      <c r="BE248" s="324"/>
      <c r="BF248" s="324"/>
      <c r="BG248" s="324"/>
      <c r="BH248" s="324"/>
      <c r="BI248" s="324"/>
      <c r="BJ248" s="324"/>
      <c r="BK248" s="324"/>
      <c r="BL248" s="324"/>
      <c r="BM248" s="324"/>
      <c r="BN248" s="324"/>
      <c r="BO248" s="324"/>
      <c r="BP248" s="324"/>
      <c r="BQ248" s="324"/>
      <c r="BR248" s="324"/>
      <c r="BS248" s="324"/>
      <c r="BT248" s="324"/>
      <c r="BU248" s="324"/>
      <c r="BV248" s="324"/>
      <c r="BW248" s="324"/>
      <c r="BX248" s="324"/>
      <c r="BY248" s="324"/>
      <c r="BZ248" s="324"/>
      <c r="CA248" s="324"/>
      <c r="CB248" s="324"/>
      <c r="CC248" s="324"/>
      <c r="CD248" s="324"/>
      <c r="CE248" s="324"/>
      <c r="CF248" s="324"/>
      <c r="CG248" s="324"/>
      <c r="CH248" s="324"/>
      <c r="CI248" s="324"/>
      <c r="CJ248" s="324"/>
      <c r="CK248" s="324"/>
      <c r="CL248" s="324"/>
      <c r="CM248" s="324"/>
      <c r="CN248" s="324"/>
      <c r="CO248" s="324"/>
      <c r="CP248" s="324"/>
      <c r="CQ248" s="324"/>
      <c r="CR248" s="324"/>
      <c r="CS248" s="324"/>
      <c r="CT248" s="324"/>
      <c r="CU248" s="324"/>
      <c r="CV248" s="324"/>
      <c r="CW248" s="324"/>
      <c r="CX248" s="324"/>
      <c r="CY248" s="324"/>
      <c r="CZ248" s="324"/>
      <c r="DA248" s="324"/>
      <c r="DB248" s="324"/>
      <c r="DC248" s="324"/>
      <c r="DD248" s="324"/>
      <c r="DE248" s="324"/>
      <c r="DF248" s="324"/>
      <c r="DG248" s="324"/>
      <c r="DH248" s="324"/>
      <c r="DI248" s="324"/>
      <c r="DJ248" s="324"/>
      <c r="DK248" s="324"/>
      <c r="DL248" s="324"/>
      <c r="DM248" s="324"/>
      <c r="DN248" s="324"/>
      <c r="DO248" s="324"/>
      <c r="DP248" s="324"/>
      <c r="DQ248" s="324"/>
      <c r="DR248" s="324"/>
      <c r="DS248" s="324"/>
      <c r="DT248" s="324"/>
      <c r="DU248" s="324"/>
      <c r="DV248" s="324"/>
      <c r="DW248" s="324"/>
      <c r="DX248" s="324"/>
      <c r="DY248" s="324"/>
      <c r="DZ248" s="324"/>
      <c r="EA248" s="324"/>
      <c r="EB248" s="324"/>
      <c r="EC248" s="324"/>
      <c r="ED248" s="324"/>
      <c r="EE248" s="324"/>
      <c r="EF248" s="324"/>
      <c r="EG248" s="324"/>
      <c r="EH248" s="324"/>
      <c r="EI248" s="324"/>
      <c r="EJ248" s="324"/>
      <c r="EK248" s="324"/>
      <c r="EL248" s="324"/>
      <c r="EM248" s="324"/>
      <c r="EN248" s="324"/>
      <c r="EO248" s="324"/>
      <c r="EP248" s="324"/>
      <c r="EQ248" s="324"/>
      <c r="ER248" s="324"/>
      <c r="ES248" s="324"/>
      <c r="ET248" s="324"/>
      <c r="EU248" s="324"/>
      <c r="EV248" s="324"/>
      <c r="EW248" s="324"/>
      <c r="EX248" s="324"/>
      <c r="EY248" s="324"/>
      <c r="EZ248" s="324"/>
      <c r="FA248" s="324"/>
      <c r="FB248" s="324"/>
      <c r="FC248" s="324"/>
      <c r="FD248" s="324"/>
      <c r="FE248" s="324"/>
      <c r="FF248" s="324"/>
      <c r="FG248" s="324"/>
      <c r="FH248" s="324"/>
      <c r="FI248" s="324"/>
      <c r="FJ248" s="324"/>
      <c r="FK248" s="324"/>
      <c r="FL248" s="324"/>
      <c r="FM248" s="324"/>
      <c r="FN248" s="324"/>
      <c r="FO248" s="324"/>
      <c r="FP248" s="324"/>
      <c r="FQ248" s="324"/>
      <c r="FR248" s="324"/>
      <c r="FS248" s="324"/>
      <c r="FT248" s="324"/>
      <c r="FU248" s="324"/>
      <c r="FV248" s="324"/>
      <c r="FW248" s="324"/>
      <c r="FX248" s="324"/>
      <c r="FY248" s="324"/>
      <c r="FZ248" s="324"/>
      <c r="GA248" s="324"/>
      <c r="GB248" s="324"/>
      <c r="GC248" s="324"/>
      <c r="GD248" s="324"/>
      <c r="GE248" s="324"/>
      <c r="GF248" s="324"/>
      <c r="GG248" s="324"/>
      <c r="GH248" s="324"/>
      <c r="GI248" s="324"/>
      <c r="GJ248" s="324"/>
      <c r="GK248" s="324"/>
      <c r="GL248" s="324"/>
      <c r="GM248" s="324"/>
      <c r="GN248" s="324"/>
      <c r="GO248" s="324"/>
      <c r="GP248" s="324"/>
      <c r="GQ248" s="324"/>
      <c r="GR248" s="324"/>
      <c r="GS248" s="324"/>
      <c r="GT248" s="324"/>
      <c r="GU248" s="324"/>
      <c r="GV248" s="324"/>
      <c r="GW248" s="324"/>
      <c r="GX248" s="324"/>
      <c r="GY248" s="324"/>
      <c r="GZ248" s="324"/>
      <c r="HA248" s="324"/>
      <c r="HB248" s="324"/>
      <c r="HC248" s="324"/>
      <c r="HD248" s="324"/>
      <c r="HE248" s="324"/>
      <c r="HF248" s="324"/>
      <c r="HG248" s="324"/>
      <c r="HH248" s="324"/>
      <c r="HI248" s="324"/>
      <c r="HJ248" s="324"/>
      <c r="HK248" s="324"/>
      <c r="HL248" s="324"/>
      <c r="HM248" s="324"/>
      <c r="HN248" s="324"/>
      <c r="HO248" s="324"/>
      <c r="HP248" s="324"/>
      <c r="HQ248" s="324"/>
      <c r="HR248" s="324"/>
      <c r="HS248" s="324"/>
      <c r="HT248" s="324"/>
      <c r="HU248" s="324"/>
      <c r="HV248" s="324"/>
      <c r="HW248" s="324"/>
      <c r="HX248" s="324"/>
      <c r="HY248" s="324"/>
      <c r="HZ248" s="324"/>
      <c r="IA248" s="324"/>
      <c r="IB248" s="324"/>
      <c r="IC248" s="324"/>
      <c r="ID248" s="324"/>
      <c r="IE248" s="324"/>
      <c r="IF248" s="324"/>
      <c r="IG248" s="324"/>
      <c r="IH248" s="324"/>
      <c r="II248" s="324"/>
      <c r="IJ248" s="324"/>
      <c r="IK248" s="324"/>
      <c r="IL248" s="324"/>
      <c r="IM248" s="324"/>
    </row>
    <row r="249" spans="1:247" x14ac:dyDescent="0.35">
      <c r="A249" s="356">
        <v>8611</v>
      </c>
      <c r="B249" s="357" t="s">
        <v>258</v>
      </c>
      <c r="C249" s="172" t="s">
        <v>6</v>
      </c>
      <c r="D249" s="358" t="s">
        <v>2051</v>
      </c>
      <c r="E249" s="336"/>
      <c r="F249" s="331">
        <f t="shared" si="57"/>
        <v>1.0209999999999999</v>
      </c>
      <c r="G249" s="337">
        <f>+$G$3</f>
        <v>1.0269999999999999</v>
      </c>
      <c r="H249" s="336"/>
      <c r="I249" s="338"/>
      <c r="J249" s="338"/>
      <c r="K249" s="338"/>
      <c r="L249" s="338"/>
      <c r="M249" s="338"/>
      <c r="N249" s="337"/>
      <c r="O249" s="339"/>
      <c r="P249" s="336">
        <f t="shared" si="63"/>
        <v>1.032</v>
      </c>
      <c r="Q249" s="337">
        <f t="shared" si="64"/>
        <v>1.0349999999999999</v>
      </c>
      <c r="R249" s="340">
        <f t="shared" si="58"/>
        <v>1.1199953840399997</v>
      </c>
      <c r="S249" s="324"/>
      <c r="T249" s="324"/>
      <c r="U249" s="324"/>
      <c r="V249" s="324"/>
      <c r="W249" s="324"/>
      <c r="X249" s="324"/>
      <c r="Y249" s="324"/>
      <c r="Z249" s="324"/>
      <c r="AA249" s="324"/>
      <c r="AB249" s="324"/>
      <c r="AC249" s="324"/>
      <c r="AD249" s="324"/>
      <c r="AE249" s="324"/>
      <c r="AF249" s="324"/>
      <c r="AG249" s="324"/>
      <c r="AH249" s="324"/>
      <c r="AI249" s="324"/>
      <c r="AJ249" s="324"/>
      <c r="AK249" s="324"/>
      <c r="AL249" s="324"/>
      <c r="AM249" s="324"/>
      <c r="AN249" s="324"/>
      <c r="AO249" s="324"/>
      <c r="AP249" s="324"/>
      <c r="AQ249" s="324"/>
      <c r="AR249" s="324"/>
      <c r="AS249" s="324"/>
      <c r="AT249" s="324"/>
      <c r="AU249" s="324"/>
      <c r="AV249" s="324"/>
      <c r="AW249" s="324"/>
      <c r="AX249" s="324"/>
      <c r="AY249" s="324"/>
      <c r="AZ249" s="324"/>
      <c r="BA249" s="324"/>
      <c r="BB249" s="324"/>
      <c r="BC249" s="324"/>
      <c r="BD249" s="324"/>
      <c r="BE249" s="324"/>
      <c r="BF249" s="324"/>
      <c r="BG249" s="324"/>
      <c r="BH249" s="324"/>
      <c r="BI249" s="324"/>
      <c r="BJ249" s="324"/>
      <c r="BK249" s="324"/>
      <c r="BL249" s="324"/>
      <c r="BM249" s="324"/>
      <c r="BN249" s="324"/>
      <c r="BO249" s="324"/>
      <c r="BP249" s="324"/>
      <c r="BQ249" s="324"/>
      <c r="BR249" s="324"/>
      <c r="BS249" s="324"/>
      <c r="BT249" s="324"/>
      <c r="BU249" s="324"/>
      <c r="BV249" s="324"/>
      <c r="BW249" s="324"/>
      <c r="BX249" s="324"/>
      <c r="BY249" s="324"/>
      <c r="BZ249" s="324"/>
      <c r="CA249" s="324"/>
      <c r="CB249" s="324"/>
      <c r="CC249" s="324"/>
      <c r="CD249" s="324"/>
      <c r="CE249" s="324"/>
      <c r="CF249" s="324"/>
      <c r="CG249" s="324"/>
      <c r="CH249" s="324"/>
      <c r="CI249" s="324"/>
      <c r="CJ249" s="324"/>
      <c r="CK249" s="324"/>
      <c r="CL249" s="324"/>
      <c r="CM249" s="324"/>
      <c r="CN249" s="324"/>
      <c r="CO249" s="324"/>
      <c r="CP249" s="324"/>
      <c r="CQ249" s="324"/>
      <c r="CR249" s="324"/>
      <c r="CS249" s="324"/>
      <c r="CT249" s="324"/>
      <c r="CU249" s="324"/>
      <c r="CV249" s="324"/>
      <c r="CW249" s="324"/>
      <c r="CX249" s="324"/>
      <c r="CY249" s="324"/>
      <c r="CZ249" s="324"/>
      <c r="DA249" s="324"/>
      <c r="DB249" s="324"/>
      <c r="DC249" s="324"/>
      <c r="DD249" s="324"/>
      <c r="DE249" s="324"/>
      <c r="DF249" s="324"/>
      <c r="DG249" s="324"/>
      <c r="DH249" s="324"/>
      <c r="DI249" s="324"/>
      <c r="DJ249" s="324"/>
      <c r="DK249" s="324"/>
      <c r="DL249" s="324"/>
      <c r="DM249" s="324"/>
      <c r="DN249" s="324"/>
      <c r="DO249" s="324"/>
      <c r="DP249" s="324"/>
      <c r="DQ249" s="324"/>
      <c r="DR249" s="324"/>
      <c r="DS249" s="324"/>
      <c r="DT249" s="324"/>
      <c r="DU249" s="324"/>
      <c r="DV249" s="324"/>
      <c r="DW249" s="324"/>
      <c r="DX249" s="324"/>
      <c r="DY249" s="324"/>
      <c r="DZ249" s="324"/>
      <c r="EA249" s="324"/>
      <c r="EB249" s="324"/>
      <c r="EC249" s="324"/>
      <c r="ED249" s="324"/>
      <c r="EE249" s="324"/>
      <c r="EF249" s="324"/>
      <c r="EG249" s="324"/>
      <c r="EH249" s="324"/>
      <c r="EI249" s="324"/>
      <c r="EJ249" s="324"/>
      <c r="EK249" s="324"/>
      <c r="EL249" s="324"/>
      <c r="EM249" s="324"/>
      <c r="EN249" s="324"/>
      <c r="EO249" s="324"/>
      <c r="EP249" s="324"/>
      <c r="EQ249" s="324"/>
      <c r="ER249" s="324"/>
      <c r="ES249" s="324"/>
      <c r="ET249" s="324"/>
      <c r="EU249" s="324"/>
      <c r="EV249" s="324"/>
      <c r="EW249" s="324"/>
      <c r="EX249" s="324"/>
      <c r="EY249" s="324"/>
      <c r="EZ249" s="324"/>
      <c r="FA249" s="324"/>
      <c r="FB249" s="324"/>
      <c r="FC249" s="324"/>
      <c r="FD249" s="324"/>
      <c r="FE249" s="324"/>
      <c r="FF249" s="324"/>
      <c r="FG249" s="324"/>
      <c r="FH249" s="324"/>
      <c r="FI249" s="324"/>
      <c r="FJ249" s="324"/>
      <c r="FK249" s="324"/>
      <c r="FL249" s="324"/>
      <c r="FM249" s="324"/>
      <c r="FN249" s="324"/>
      <c r="FO249" s="324"/>
      <c r="FP249" s="324"/>
      <c r="FQ249" s="324"/>
      <c r="FR249" s="324"/>
      <c r="FS249" s="324"/>
      <c r="FT249" s="324"/>
      <c r="FU249" s="324"/>
      <c r="FV249" s="324"/>
      <c r="FW249" s="324"/>
      <c r="FX249" s="324"/>
      <c r="FY249" s="324"/>
      <c r="FZ249" s="324"/>
      <c r="GA249" s="324"/>
      <c r="GB249" s="324"/>
      <c r="GC249" s="324"/>
      <c r="GD249" s="324"/>
      <c r="GE249" s="324"/>
      <c r="GF249" s="324"/>
      <c r="GG249" s="324"/>
      <c r="GH249" s="324"/>
      <c r="GI249" s="324"/>
      <c r="GJ249" s="324"/>
      <c r="GK249" s="324"/>
      <c r="GL249" s="324"/>
      <c r="GM249" s="324"/>
      <c r="GN249" s="324"/>
      <c r="GO249" s="324"/>
      <c r="GP249" s="324"/>
      <c r="GQ249" s="324"/>
      <c r="GR249" s="324"/>
      <c r="GS249" s="324"/>
      <c r="GT249" s="324"/>
      <c r="GU249" s="324"/>
      <c r="GV249" s="324"/>
      <c r="GW249" s="324"/>
      <c r="GX249" s="324"/>
      <c r="GY249" s="324"/>
      <c r="GZ249" s="324"/>
      <c r="HA249" s="324"/>
      <c r="HB249" s="324"/>
      <c r="HC249" s="324"/>
      <c r="HD249" s="324"/>
      <c r="HE249" s="324"/>
      <c r="HF249" s="324"/>
      <c r="HG249" s="324"/>
      <c r="HH249" s="324"/>
      <c r="HI249" s="324"/>
      <c r="HJ249" s="324"/>
      <c r="HK249" s="324"/>
      <c r="HL249" s="324"/>
      <c r="HM249" s="324"/>
      <c r="HN249" s="324"/>
      <c r="HO249" s="324"/>
      <c r="HP249" s="324"/>
      <c r="HQ249" s="324"/>
      <c r="HR249" s="324"/>
      <c r="HS249" s="324"/>
      <c r="HT249" s="324"/>
      <c r="HU249" s="324"/>
      <c r="HV249" s="324"/>
      <c r="HW249" s="324"/>
      <c r="HX249" s="324"/>
      <c r="HY249" s="324"/>
      <c r="HZ249" s="324"/>
      <c r="IA249" s="324"/>
      <c r="IB249" s="324"/>
      <c r="IC249" s="324"/>
      <c r="ID249" s="324"/>
      <c r="IE249" s="324"/>
      <c r="IF249" s="324"/>
      <c r="IG249" s="324"/>
      <c r="IH249" s="324"/>
      <c r="II249" s="324"/>
      <c r="IJ249" s="324"/>
      <c r="IK249" s="324"/>
      <c r="IL249" s="324"/>
      <c r="IM249" s="324"/>
    </row>
    <row r="250" spans="1:247" x14ac:dyDescent="0.35">
      <c r="A250" s="356">
        <v>8612</v>
      </c>
      <c r="B250" s="357" t="s">
        <v>259</v>
      </c>
      <c r="C250" s="172" t="s">
        <v>10</v>
      </c>
      <c r="D250" s="358" t="s">
        <v>2051</v>
      </c>
      <c r="E250" s="336"/>
      <c r="F250" s="331">
        <f t="shared" si="57"/>
        <v>1.0209999999999999</v>
      </c>
      <c r="G250" s="337"/>
      <c r="H250" s="336"/>
      <c r="I250" s="338"/>
      <c r="J250" s="338"/>
      <c r="K250" s="338"/>
      <c r="L250" s="338"/>
      <c r="M250" s="338"/>
      <c r="N250" s="337"/>
      <c r="O250" s="339"/>
      <c r="P250" s="336">
        <f t="shared" si="63"/>
        <v>1.032</v>
      </c>
      <c r="Q250" s="337">
        <f t="shared" si="64"/>
        <v>1.0349999999999999</v>
      </c>
      <c r="R250" s="340">
        <f t="shared" si="58"/>
        <v>1.0905505199999999</v>
      </c>
      <c r="S250" s="324"/>
      <c r="T250" s="324"/>
      <c r="U250" s="324"/>
      <c r="V250" s="324"/>
      <c r="W250" s="324"/>
      <c r="X250" s="324"/>
      <c r="Y250" s="324"/>
      <c r="Z250" s="324"/>
      <c r="AA250" s="324"/>
      <c r="AB250" s="324"/>
      <c r="AC250" s="324"/>
      <c r="AD250" s="324"/>
      <c r="AE250" s="324"/>
      <c r="AF250" s="324"/>
      <c r="AG250" s="324"/>
      <c r="AH250" s="324"/>
      <c r="AI250" s="324"/>
      <c r="AJ250" s="324"/>
      <c r="AK250" s="324"/>
      <c r="AL250" s="324"/>
      <c r="AM250" s="324"/>
      <c r="AN250" s="324"/>
      <c r="AO250" s="324"/>
      <c r="AP250" s="324"/>
      <c r="AQ250" s="324"/>
      <c r="AR250" s="324"/>
      <c r="AS250" s="324"/>
      <c r="AT250" s="324"/>
      <c r="AU250" s="324"/>
      <c r="AV250" s="324"/>
      <c r="AW250" s="324"/>
      <c r="AX250" s="324"/>
      <c r="AY250" s="324"/>
      <c r="AZ250" s="324"/>
      <c r="BA250" s="324"/>
      <c r="BB250" s="324"/>
      <c r="BC250" s="324"/>
      <c r="BD250" s="324"/>
      <c r="BE250" s="324"/>
      <c r="BF250" s="324"/>
      <c r="BG250" s="324"/>
      <c r="BH250" s="324"/>
      <c r="BI250" s="324"/>
      <c r="BJ250" s="324"/>
      <c r="BK250" s="324"/>
      <c r="BL250" s="324"/>
      <c r="BM250" s="324"/>
      <c r="BN250" s="324"/>
      <c r="BO250" s="324"/>
      <c r="BP250" s="324"/>
      <c r="BQ250" s="324"/>
      <c r="BR250" s="324"/>
      <c r="BS250" s="324"/>
      <c r="BT250" s="324"/>
      <c r="BU250" s="324"/>
      <c r="BV250" s="324"/>
      <c r="BW250" s="324"/>
      <c r="BX250" s="324"/>
      <c r="BY250" s="324"/>
      <c r="BZ250" s="324"/>
      <c r="CA250" s="324"/>
      <c r="CB250" s="324"/>
      <c r="CC250" s="324"/>
      <c r="CD250" s="324"/>
      <c r="CE250" s="324"/>
      <c r="CF250" s="324"/>
      <c r="CG250" s="324"/>
      <c r="CH250" s="324"/>
      <c r="CI250" s="324"/>
      <c r="CJ250" s="324"/>
      <c r="CK250" s="324"/>
      <c r="CL250" s="324"/>
      <c r="CM250" s="324"/>
      <c r="CN250" s="324"/>
      <c r="CO250" s="324"/>
      <c r="CP250" s="324"/>
      <c r="CQ250" s="324"/>
      <c r="CR250" s="324"/>
      <c r="CS250" s="324"/>
      <c r="CT250" s="324"/>
      <c r="CU250" s="324"/>
      <c r="CV250" s="324"/>
      <c r="CW250" s="324"/>
      <c r="CX250" s="324"/>
      <c r="CY250" s="324"/>
      <c r="CZ250" s="324"/>
      <c r="DA250" s="324"/>
      <c r="DB250" s="324"/>
      <c r="DC250" s="324"/>
      <c r="DD250" s="324"/>
      <c r="DE250" s="324"/>
      <c r="DF250" s="324"/>
      <c r="DG250" s="324"/>
      <c r="DH250" s="324"/>
      <c r="DI250" s="324"/>
      <c r="DJ250" s="324"/>
      <c r="DK250" s="324"/>
      <c r="DL250" s="324"/>
      <c r="DM250" s="324"/>
      <c r="DN250" s="324"/>
      <c r="DO250" s="324"/>
      <c r="DP250" s="324"/>
      <c r="DQ250" s="324"/>
      <c r="DR250" s="324"/>
      <c r="DS250" s="324"/>
      <c r="DT250" s="324"/>
      <c r="DU250" s="324"/>
      <c r="DV250" s="324"/>
      <c r="DW250" s="324"/>
      <c r="DX250" s="324"/>
      <c r="DY250" s="324"/>
      <c r="DZ250" s="324"/>
      <c r="EA250" s="324"/>
      <c r="EB250" s="324"/>
      <c r="EC250" s="324"/>
      <c r="ED250" s="324"/>
      <c r="EE250" s="324"/>
      <c r="EF250" s="324"/>
      <c r="EG250" s="324"/>
      <c r="EH250" s="324"/>
      <c r="EI250" s="324"/>
      <c r="EJ250" s="324"/>
      <c r="EK250" s="324"/>
      <c r="EL250" s="324"/>
      <c r="EM250" s="324"/>
      <c r="EN250" s="324"/>
      <c r="EO250" s="324"/>
      <c r="EP250" s="324"/>
      <c r="EQ250" s="324"/>
      <c r="ER250" s="324"/>
      <c r="ES250" s="324"/>
      <c r="ET250" s="324"/>
      <c r="EU250" s="324"/>
      <c r="EV250" s="324"/>
      <c r="EW250" s="324"/>
      <c r="EX250" s="324"/>
      <c r="EY250" s="324"/>
      <c r="EZ250" s="324"/>
      <c r="FA250" s="324"/>
      <c r="FB250" s="324"/>
      <c r="FC250" s="324"/>
      <c r="FD250" s="324"/>
      <c r="FE250" s="324"/>
      <c r="FF250" s="324"/>
      <c r="FG250" s="324"/>
      <c r="FH250" s="324"/>
      <c r="FI250" s="324"/>
      <c r="FJ250" s="324"/>
      <c r="FK250" s="324"/>
      <c r="FL250" s="324"/>
      <c r="FM250" s="324"/>
      <c r="FN250" s="324"/>
      <c r="FO250" s="324"/>
      <c r="FP250" s="324"/>
      <c r="FQ250" s="324"/>
      <c r="FR250" s="324"/>
      <c r="FS250" s="324"/>
      <c r="FT250" s="324"/>
      <c r="FU250" s="324"/>
      <c r="FV250" s="324"/>
      <c r="FW250" s="324"/>
      <c r="FX250" s="324"/>
      <c r="FY250" s="324"/>
      <c r="FZ250" s="324"/>
      <c r="GA250" s="324"/>
      <c r="GB250" s="324"/>
      <c r="GC250" s="324"/>
      <c r="GD250" s="324"/>
      <c r="GE250" s="324"/>
      <c r="GF250" s="324"/>
      <c r="GG250" s="324"/>
      <c r="GH250" s="324"/>
      <c r="GI250" s="324"/>
      <c r="GJ250" s="324"/>
      <c r="GK250" s="324"/>
      <c r="GL250" s="324"/>
      <c r="GM250" s="324"/>
      <c r="GN250" s="324"/>
      <c r="GO250" s="324"/>
      <c r="GP250" s="324"/>
      <c r="GQ250" s="324"/>
      <c r="GR250" s="324"/>
      <c r="GS250" s="324"/>
      <c r="GT250" s="324"/>
      <c r="GU250" s="324"/>
      <c r="GV250" s="324"/>
      <c r="GW250" s="324"/>
      <c r="GX250" s="324"/>
      <c r="GY250" s="324"/>
      <c r="GZ250" s="324"/>
      <c r="HA250" s="324"/>
      <c r="HB250" s="324"/>
      <c r="HC250" s="324"/>
      <c r="HD250" s="324"/>
      <c r="HE250" s="324"/>
      <c r="HF250" s="324"/>
      <c r="HG250" s="324"/>
      <c r="HH250" s="324"/>
      <c r="HI250" s="324"/>
      <c r="HJ250" s="324"/>
      <c r="HK250" s="324"/>
      <c r="HL250" s="324"/>
      <c r="HM250" s="324"/>
      <c r="HN250" s="324"/>
      <c r="HO250" s="324"/>
      <c r="HP250" s="324"/>
      <c r="HQ250" s="324"/>
      <c r="HR250" s="324"/>
      <c r="HS250" s="324"/>
      <c r="HT250" s="324"/>
      <c r="HU250" s="324"/>
      <c r="HV250" s="324"/>
      <c r="HW250" s="324"/>
      <c r="HX250" s="324"/>
      <c r="HY250" s="324"/>
      <c r="HZ250" s="324"/>
      <c r="IA250" s="324"/>
      <c r="IB250" s="324"/>
      <c r="IC250" s="324"/>
      <c r="ID250" s="324"/>
      <c r="IE250" s="324"/>
      <c r="IF250" s="324"/>
      <c r="IG250" s="324"/>
      <c r="IH250" s="324"/>
      <c r="II250" s="324"/>
      <c r="IJ250" s="324"/>
      <c r="IK250" s="324"/>
      <c r="IL250" s="324"/>
      <c r="IM250" s="324"/>
    </row>
    <row r="251" spans="1:247" x14ac:dyDescent="0.35">
      <c r="A251" s="356">
        <v>8711</v>
      </c>
      <c r="B251" s="357" t="s">
        <v>260</v>
      </c>
      <c r="C251" s="172" t="s">
        <v>6</v>
      </c>
      <c r="D251" s="358" t="s">
        <v>2052</v>
      </c>
      <c r="E251" s="336"/>
      <c r="F251" s="331">
        <f t="shared" si="57"/>
        <v>1.0209999999999999</v>
      </c>
      <c r="G251" s="337"/>
      <c r="H251" s="336"/>
      <c r="I251" s="338"/>
      <c r="J251" s="338"/>
      <c r="K251" s="338"/>
      <c r="L251" s="338"/>
      <c r="M251" s="338"/>
      <c r="N251" s="337"/>
      <c r="O251" s="339"/>
      <c r="P251" s="336">
        <f t="shared" si="63"/>
        <v>1.032</v>
      </c>
      <c r="Q251" s="337">
        <f t="shared" si="64"/>
        <v>1.0349999999999999</v>
      </c>
      <c r="R251" s="340">
        <f t="shared" si="58"/>
        <v>1.0905505199999999</v>
      </c>
      <c r="S251" s="324"/>
      <c r="T251" s="324"/>
      <c r="U251" s="324"/>
      <c r="V251" s="324"/>
      <c r="W251" s="324"/>
      <c r="X251" s="324"/>
      <c r="Y251" s="324"/>
      <c r="Z251" s="324"/>
      <c r="AA251" s="324"/>
      <c r="AB251" s="324"/>
      <c r="AC251" s="324"/>
      <c r="AD251" s="324"/>
      <c r="AE251" s="324"/>
      <c r="AF251" s="324"/>
      <c r="AG251" s="324"/>
      <c r="AH251" s="324"/>
      <c r="AI251" s="324"/>
      <c r="AJ251" s="324"/>
      <c r="AK251" s="324"/>
      <c r="AL251" s="324"/>
      <c r="AM251" s="324"/>
      <c r="AN251" s="324"/>
      <c r="AO251" s="324"/>
      <c r="AP251" s="324"/>
      <c r="AQ251" s="324"/>
      <c r="AR251" s="324"/>
      <c r="AS251" s="324"/>
      <c r="AT251" s="324"/>
      <c r="AU251" s="324"/>
      <c r="AV251" s="324"/>
      <c r="AW251" s="324"/>
      <c r="AX251" s="324"/>
      <c r="AY251" s="324"/>
      <c r="AZ251" s="324"/>
      <c r="BA251" s="324"/>
      <c r="BB251" s="324"/>
      <c r="BC251" s="324"/>
      <c r="BD251" s="324"/>
      <c r="BE251" s="324"/>
      <c r="BF251" s="324"/>
      <c r="BG251" s="324"/>
      <c r="BH251" s="324"/>
      <c r="BI251" s="324"/>
      <c r="BJ251" s="324"/>
      <c r="BK251" s="324"/>
      <c r="BL251" s="324"/>
      <c r="BM251" s="324"/>
      <c r="BN251" s="324"/>
      <c r="BO251" s="324"/>
      <c r="BP251" s="324"/>
      <c r="BQ251" s="324"/>
      <c r="BR251" s="324"/>
      <c r="BS251" s="324"/>
      <c r="BT251" s="324"/>
      <c r="BU251" s="324"/>
      <c r="BV251" s="324"/>
      <c r="BW251" s="324"/>
      <c r="BX251" s="324"/>
      <c r="BY251" s="324"/>
      <c r="BZ251" s="324"/>
      <c r="CA251" s="324"/>
      <c r="CB251" s="324"/>
      <c r="CC251" s="324"/>
      <c r="CD251" s="324"/>
      <c r="CE251" s="324"/>
      <c r="CF251" s="324"/>
      <c r="CG251" s="324"/>
      <c r="CH251" s="324"/>
      <c r="CI251" s="324"/>
      <c r="CJ251" s="324"/>
      <c r="CK251" s="324"/>
      <c r="CL251" s="324"/>
      <c r="CM251" s="324"/>
      <c r="CN251" s="324"/>
      <c r="CO251" s="324"/>
      <c r="CP251" s="324"/>
      <c r="CQ251" s="324"/>
      <c r="CR251" s="324"/>
      <c r="CS251" s="324"/>
      <c r="CT251" s="324"/>
      <c r="CU251" s="324"/>
      <c r="CV251" s="324"/>
      <c r="CW251" s="324"/>
      <c r="CX251" s="324"/>
      <c r="CY251" s="324"/>
      <c r="CZ251" s="324"/>
      <c r="DA251" s="324"/>
      <c r="DB251" s="324"/>
      <c r="DC251" s="324"/>
      <c r="DD251" s="324"/>
      <c r="DE251" s="324"/>
      <c r="DF251" s="324"/>
      <c r="DG251" s="324"/>
      <c r="DH251" s="324"/>
      <c r="DI251" s="324"/>
      <c r="DJ251" s="324"/>
      <c r="DK251" s="324"/>
      <c r="DL251" s="324"/>
      <c r="DM251" s="324"/>
      <c r="DN251" s="324"/>
      <c r="DO251" s="324"/>
      <c r="DP251" s="324"/>
      <c r="DQ251" s="324"/>
      <c r="DR251" s="324"/>
      <c r="DS251" s="324"/>
      <c r="DT251" s="324"/>
      <c r="DU251" s="324"/>
      <c r="DV251" s="324"/>
      <c r="DW251" s="324"/>
      <c r="DX251" s="324"/>
      <c r="DY251" s="324"/>
      <c r="DZ251" s="324"/>
      <c r="EA251" s="324"/>
      <c r="EB251" s="324"/>
      <c r="EC251" s="324"/>
      <c r="ED251" s="324"/>
      <c r="EE251" s="324"/>
      <c r="EF251" s="324"/>
      <c r="EG251" s="324"/>
      <c r="EH251" s="324"/>
      <c r="EI251" s="324"/>
      <c r="EJ251" s="324"/>
      <c r="EK251" s="324"/>
      <c r="EL251" s="324"/>
      <c r="EM251" s="324"/>
      <c r="EN251" s="324"/>
      <c r="EO251" s="324"/>
      <c r="EP251" s="324"/>
      <c r="EQ251" s="324"/>
      <c r="ER251" s="324"/>
      <c r="ES251" s="324"/>
      <c r="ET251" s="324"/>
      <c r="EU251" s="324"/>
      <c r="EV251" s="324"/>
      <c r="EW251" s="324"/>
      <c r="EX251" s="324"/>
      <c r="EY251" s="324"/>
      <c r="EZ251" s="324"/>
      <c r="FA251" s="324"/>
      <c r="FB251" s="324"/>
      <c r="FC251" s="324"/>
      <c r="FD251" s="324"/>
      <c r="FE251" s="324"/>
      <c r="FF251" s="324"/>
      <c r="FG251" s="324"/>
      <c r="FH251" s="324"/>
      <c r="FI251" s="324"/>
      <c r="FJ251" s="324"/>
      <c r="FK251" s="324"/>
      <c r="FL251" s="324"/>
      <c r="FM251" s="324"/>
      <c r="FN251" s="324"/>
      <c r="FO251" s="324"/>
      <c r="FP251" s="324"/>
      <c r="FQ251" s="324"/>
      <c r="FR251" s="324"/>
      <c r="FS251" s="324"/>
      <c r="FT251" s="324"/>
      <c r="FU251" s="324"/>
      <c r="FV251" s="324"/>
      <c r="FW251" s="324"/>
      <c r="FX251" s="324"/>
      <c r="FY251" s="324"/>
      <c r="FZ251" s="324"/>
      <c r="GA251" s="324"/>
      <c r="GB251" s="324"/>
      <c r="GC251" s="324"/>
      <c r="GD251" s="324"/>
      <c r="GE251" s="324"/>
      <c r="GF251" s="324"/>
      <c r="GG251" s="324"/>
      <c r="GH251" s="324"/>
      <c r="GI251" s="324"/>
      <c r="GJ251" s="324"/>
      <c r="GK251" s="324"/>
      <c r="GL251" s="324"/>
      <c r="GM251" s="324"/>
      <c r="GN251" s="324"/>
      <c r="GO251" s="324"/>
      <c r="GP251" s="324"/>
      <c r="GQ251" s="324"/>
      <c r="GR251" s="324"/>
      <c r="GS251" s="324"/>
      <c r="GT251" s="324"/>
      <c r="GU251" s="324"/>
      <c r="GV251" s="324"/>
      <c r="GW251" s="324"/>
      <c r="GX251" s="324"/>
      <c r="GY251" s="324"/>
      <c r="GZ251" s="324"/>
      <c r="HA251" s="324"/>
      <c r="HB251" s="324"/>
      <c r="HC251" s="324"/>
      <c r="HD251" s="324"/>
      <c r="HE251" s="324"/>
      <c r="HF251" s="324"/>
      <c r="HG251" s="324"/>
      <c r="HH251" s="324"/>
      <c r="HI251" s="324"/>
      <c r="HJ251" s="324"/>
      <c r="HK251" s="324"/>
      <c r="HL251" s="324"/>
      <c r="HM251" s="324"/>
      <c r="HN251" s="324"/>
      <c r="HO251" s="324"/>
      <c r="HP251" s="324"/>
      <c r="HQ251" s="324"/>
      <c r="HR251" s="324"/>
      <c r="HS251" s="324"/>
      <c r="HT251" s="324"/>
      <c r="HU251" s="324"/>
      <c r="HV251" s="324"/>
      <c r="HW251" s="324"/>
      <c r="HX251" s="324"/>
      <c r="HY251" s="324"/>
      <c r="HZ251" s="324"/>
      <c r="IA251" s="324"/>
      <c r="IB251" s="324"/>
      <c r="IC251" s="324"/>
      <c r="ID251" s="324"/>
      <c r="IE251" s="324"/>
      <c r="IF251" s="324"/>
      <c r="IG251" s="324"/>
      <c r="IH251" s="324"/>
      <c r="II251" s="324"/>
      <c r="IJ251" s="324"/>
      <c r="IK251" s="324"/>
      <c r="IL251" s="324"/>
      <c r="IM251" s="324"/>
    </row>
    <row r="252" spans="1:247" x14ac:dyDescent="0.35">
      <c r="A252" s="356">
        <v>8712</v>
      </c>
      <c r="B252" s="357" t="s">
        <v>261</v>
      </c>
      <c r="C252" s="172" t="s">
        <v>6</v>
      </c>
      <c r="D252" s="358" t="s">
        <v>2051</v>
      </c>
      <c r="E252" s="336"/>
      <c r="F252" s="331">
        <f t="shared" si="57"/>
        <v>1.0209999999999999</v>
      </c>
      <c r="G252" s="337"/>
      <c r="H252" s="336"/>
      <c r="I252" s="338"/>
      <c r="J252" s="338"/>
      <c r="K252" s="338"/>
      <c r="L252" s="338"/>
      <c r="M252" s="338"/>
      <c r="N252" s="337"/>
      <c r="O252" s="339"/>
      <c r="P252" s="336"/>
      <c r="Q252" s="337"/>
      <c r="R252" s="340">
        <f t="shared" si="58"/>
        <v>1.0209999999999999</v>
      </c>
      <c r="S252" s="324"/>
      <c r="T252" s="324"/>
      <c r="U252" s="324"/>
      <c r="V252" s="324"/>
      <c r="W252" s="324"/>
      <c r="X252" s="324"/>
      <c r="Y252" s="324"/>
      <c r="Z252" s="324"/>
      <c r="AA252" s="324"/>
      <c r="AB252" s="324"/>
      <c r="AC252" s="324"/>
      <c r="AD252" s="324"/>
      <c r="AE252" s="324"/>
      <c r="AF252" s="324"/>
      <c r="AG252" s="324"/>
      <c r="AH252" s="324"/>
      <c r="AI252" s="324"/>
      <c r="AJ252" s="324"/>
      <c r="AK252" s="324"/>
      <c r="AL252" s="324"/>
      <c r="AM252" s="324"/>
      <c r="AN252" s="324"/>
      <c r="AO252" s="324"/>
      <c r="AP252" s="324"/>
      <c r="AQ252" s="324"/>
      <c r="AR252" s="324"/>
      <c r="AS252" s="324"/>
      <c r="AT252" s="324"/>
      <c r="AU252" s="324"/>
      <c r="AV252" s="324"/>
      <c r="AW252" s="324"/>
      <c r="AX252" s="324"/>
      <c r="AY252" s="324"/>
      <c r="AZ252" s="324"/>
      <c r="BA252" s="324"/>
      <c r="BB252" s="324"/>
      <c r="BC252" s="324"/>
      <c r="BD252" s="324"/>
      <c r="BE252" s="324"/>
      <c r="BF252" s="324"/>
      <c r="BG252" s="324"/>
      <c r="BH252" s="324"/>
      <c r="BI252" s="324"/>
      <c r="BJ252" s="324"/>
      <c r="BK252" s="324"/>
      <c r="BL252" s="324"/>
      <c r="BM252" s="324"/>
      <c r="BN252" s="324"/>
      <c r="BO252" s="324"/>
      <c r="BP252" s="324"/>
      <c r="BQ252" s="324"/>
      <c r="BR252" s="324"/>
      <c r="BS252" s="324"/>
      <c r="BT252" s="324"/>
      <c r="BU252" s="324"/>
      <c r="BV252" s="324"/>
      <c r="BW252" s="324"/>
      <c r="BX252" s="324"/>
      <c r="BY252" s="324"/>
      <c r="BZ252" s="324"/>
      <c r="CA252" s="324"/>
      <c r="CB252" s="324"/>
      <c r="CC252" s="324"/>
      <c r="CD252" s="324"/>
      <c r="CE252" s="324"/>
      <c r="CF252" s="324"/>
      <c r="CG252" s="324"/>
      <c r="CH252" s="324"/>
      <c r="CI252" s="324"/>
      <c r="CJ252" s="324"/>
      <c r="CK252" s="324"/>
      <c r="CL252" s="324"/>
      <c r="CM252" s="324"/>
      <c r="CN252" s="324"/>
      <c r="CO252" s="324"/>
      <c r="CP252" s="324"/>
      <c r="CQ252" s="324"/>
      <c r="CR252" s="324"/>
      <c r="CS252" s="324"/>
      <c r="CT252" s="324"/>
      <c r="CU252" s="324"/>
      <c r="CV252" s="324"/>
      <c r="CW252" s="324"/>
      <c r="CX252" s="324"/>
      <c r="CY252" s="324"/>
      <c r="CZ252" s="324"/>
      <c r="DA252" s="324"/>
      <c r="DB252" s="324"/>
      <c r="DC252" s="324"/>
      <c r="DD252" s="324"/>
      <c r="DE252" s="324"/>
      <c r="DF252" s="324"/>
      <c r="DG252" s="324"/>
      <c r="DH252" s="324"/>
      <c r="DI252" s="324"/>
      <c r="DJ252" s="324"/>
      <c r="DK252" s="324"/>
      <c r="DL252" s="324"/>
      <c r="DM252" s="324"/>
      <c r="DN252" s="324"/>
      <c r="DO252" s="324"/>
      <c r="DP252" s="324"/>
      <c r="DQ252" s="324"/>
      <c r="DR252" s="324"/>
      <c r="DS252" s="324"/>
      <c r="DT252" s="324"/>
      <c r="DU252" s="324"/>
      <c r="DV252" s="324"/>
      <c r="DW252" s="324"/>
      <c r="DX252" s="324"/>
      <c r="DY252" s="324"/>
      <c r="DZ252" s="324"/>
      <c r="EA252" s="324"/>
      <c r="EB252" s="324"/>
      <c r="EC252" s="324"/>
      <c r="ED252" s="324"/>
      <c r="EE252" s="324"/>
      <c r="EF252" s="324"/>
      <c r="EG252" s="324"/>
      <c r="EH252" s="324"/>
      <c r="EI252" s="324"/>
      <c r="EJ252" s="324"/>
      <c r="EK252" s="324"/>
      <c r="EL252" s="324"/>
      <c r="EM252" s="324"/>
      <c r="EN252" s="324"/>
      <c r="EO252" s="324"/>
      <c r="EP252" s="324"/>
      <c r="EQ252" s="324"/>
      <c r="ER252" s="324"/>
      <c r="ES252" s="324"/>
      <c r="ET252" s="324"/>
      <c r="EU252" s="324"/>
      <c r="EV252" s="324"/>
      <c r="EW252" s="324"/>
      <c r="EX252" s="324"/>
      <c r="EY252" s="324"/>
      <c r="EZ252" s="324"/>
      <c r="FA252" s="324"/>
      <c r="FB252" s="324"/>
      <c r="FC252" s="324"/>
      <c r="FD252" s="324"/>
      <c r="FE252" s="324"/>
      <c r="FF252" s="324"/>
      <c r="FG252" s="324"/>
      <c r="FH252" s="324"/>
      <c r="FI252" s="324"/>
      <c r="FJ252" s="324"/>
      <c r="FK252" s="324"/>
      <c r="FL252" s="324"/>
      <c r="FM252" s="324"/>
      <c r="FN252" s="324"/>
      <c r="FO252" s="324"/>
      <c r="FP252" s="324"/>
      <c r="FQ252" s="324"/>
      <c r="FR252" s="324"/>
      <c r="FS252" s="324"/>
      <c r="FT252" s="324"/>
      <c r="FU252" s="324"/>
      <c r="FV252" s="324"/>
      <c r="FW252" s="324"/>
      <c r="FX252" s="324"/>
      <c r="FY252" s="324"/>
      <c r="FZ252" s="324"/>
      <c r="GA252" s="324"/>
      <c r="GB252" s="324"/>
      <c r="GC252" s="324"/>
      <c r="GD252" s="324"/>
      <c r="GE252" s="324"/>
      <c r="GF252" s="324"/>
      <c r="GG252" s="324"/>
      <c r="GH252" s="324"/>
      <c r="GI252" s="324"/>
      <c r="GJ252" s="324"/>
      <c r="GK252" s="324"/>
      <c r="GL252" s="324"/>
      <c r="GM252" s="324"/>
      <c r="GN252" s="324"/>
      <c r="GO252" s="324"/>
      <c r="GP252" s="324"/>
      <c r="GQ252" s="324"/>
      <c r="GR252" s="324"/>
      <c r="GS252" s="324"/>
      <c r="GT252" s="324"/>
      <c r="GU252" s="324"/>
      <c r="GV252" s="324"/>
      <c r="GW252" s="324"/>
      <c r="GX252" s="324"/>
      <c r="GY252" s="324"/>
      <c r="GZ252" s="324"/>
      <c r="HA252" s="324"/>
      <c r="HB252" s="324"/>
      <c r="HC252" s="324"/>
      <c r="HD252" s="324"/>
      <c r="HE252" s="324"/>
      <c r="HF252" s="324"/>
      <c r="HG252" s="324"/>
      <c r="HH252" s="324"/>
      <c r="HI252" s="324"/>
      <c r="HJ252" s="324"/>
      <c r="HK252" s="324"/>
      <c r="HL252" s="324"/>
      <c r="HM252" s="324"/>
      <c r="HN252" s="324"/>
      <c r="HO252" s="324"/>
      <c r="HP252" s="324"/>
      <c r="HQ252" s="324"/>
      <c r="HR252" s="324"/>
      <c r="HS252" s="324"/>
      <c r="HT252" s="324"/>
      <c r="HU252" s="324"/>
      <c r="HV252" s="324"/>
      <c r="HW252" s="324"/>
      <c r="HX252" s="324"/>
      <c r="HY252" s="324"/>
      <c r="HZ252" s="324"/>
      <c r="IA252" s="324"/>
      <c r="IB252" s="324"/>
      <c r="IC252" s="324"/>
      <c r="ID252" s="324"/>
      <c r="IE252" s="324"/>
      <c r="IF252" s="324"/>
      <c r="IG252" s="324"/>
      <c r="IH252" s="324"/>
      <c r="II252" s="324"/>
      <c r="IJ252" s="324"/>
      <c r="IK252" s="324"/>
      <c r="IL252" s="324"/>
      <c r="IM252" s="324"/>
    </row>
    <row r="253" spans="1:247" x14ac:dyDescent="0.35">
      <c r="A253" s="356">
        <v>8714</v>
      </c>
      <c r="B253" s="357" t="s">
        <v>262</v>
      </c>
      <c r="C253" s="172" t="s">
        <v>6</v>
      </c>
      <c r="D253" s="358" t="s">
        <v>2051</v>
      </c>
      <c r="E253" s="336"/>
      <c r="F253" s="331">
        <f t="shared" si="57"/>
        <v>1.0209999999999999</v>
      </c>
      <c r="G253" s="337"/>
      <c r="H253" s="336"/>
      <c r="I253" s="338"/>
      <c r="J253" s="338"/>
      <c r="K253" s="338"/>
      <c r="L253" s="338"/>
      <c r="M253" s="338"/>
      <c r="N253" s="337"/>
      <c r="O253" s="339"/>
      <c r="P253" s="336"/>
      <c r="Q253" s="337"/>
      <c r="R253" s="340">
        <f>PRODUCT(E253:Q253)</f>
        <v>1.0209999999999999</v>
      </c>
      <c r="S253" s="324"/>
      <c r="T253" s="324"/>
      <c r="U253" s="324"/>
      <c r="V253" s="324"/>
      <c r="W253" s="324"/>
      <c r="X253" s="324"/>
      <c r="Y253" s="324"/>
      <c r="Z253" s="324"/>
      <c r="AA253" s="324"/>
      <c r="AB253" s="324"/>
      <c r="AC253" s="324"/>
      <c r="AD253" s="324"/>
      <c r="AE253" s="324"/>
      <c r="AF253" s="324"/>
      <c r="AG253" s="324"/>
      <c r="AH253" s="324"/>
      <c r="AI253" s="324"/>
      <c r="AJ253" s="324"/>
      <c r="AK253" s="324"/>
      <c r="AL253" s="324"/>
      <c r="AM253" s="324"/>
      <c r="AN253" s="324"/>
      <c r="AO253" s="324"/>
      <c r="AP253" s="324"/>
      <c r="AQ253" s="324"/>
      <c r="AR253" s="324"/>
      <c r="AS253" s="324"/>
      <c r="AT253" s="324"/>
      <c r="AU253" s="324"/>
      <c r="AV253" s="324"/>
      <c r="AW253" s="324"/>
      <c r="AX253" s="324"/>
      <c r="AY253" s="324"/>
      <c r="AZ253" s="324"/>
      <c r="BA253" s="324"/>
      <c r="BB253" s="324"/>
      <c r="BC253" s="324"/>
      <c r="BD253" s="324"/>
      <c r="BE253" s="324"/>
      <c r="BF253" s="324"/>
      <c r="BG253" s="324"/>
      <c r="BH253" s="324"/>
      <c r="BI253" s="324"/>
      <c r="BJ253" s="324"/>
      <c r="BK253" s="324"/>
      <c r="BL253" s="324"/>
      <c r="BM253" s="324"/>
      <c r="BN253" s="324"/>
      <c r="BO253" s="324"/>
      <c r="BP253" s="324"/>
      <c r="BQ253" s="324"/>
      <c r="BR253" s="324"/>
      <c r="BS253" s="324"/>
      <c r="BT253" s="324"/>
      <c r="BU253" s="324"/>
      <c r="BV253" s="324"/>
      <c r="BW253" s="324"/>
      <c r="BX253" s="324"/>
      <c r="BY253" s="324"/>
      <c r="BZ253" s="324"/>
      <c r="CA253" s="324"/>
      <c r="CB253" s="324"/>
      <c r="CC253" s="324"/>
      <c r="CD253" s="324"/>
      <c r="CE253" s="324"/>
      <c r="CF253" s="324"/>
      <c r="CG253" s="324"/>
      <c r="CH253" s="324"/>
      <c r="CI253" s="324"/>
      <c r="CJ253" s="324"/>
      <c r="CK253" s="324"/>
      <c r="CL253" s="324"/>
      <c r="CM253" s="324"/>
      <c r="CN253" s="324"/>
      <c r="CO253" s="324"/>
      <c r="CP253" s="324"/>
      <c r="CQ253" s="324"/>
      <c r="CR253" s="324"/>
      <c r="CS253" s="324"/>
      <c r="CT253" s="324"/>
      <c r="CU253" s="324"/>
      <c r="CV253" s="324"/>
      <c r="CW253" s="324"/>
      <c r="CX253" s="324"/>
      <c r="CY253" s="324"/>
      <c r="CZ253" s="324"/>
      <c r="DA253" s="324"/>
      <c r="DB253" s="324"/>
      <c r="DC253" s="324"/>
      <c r="DD253" s="324"/>
      <c r="DE253" s="324"/>
      <c r="DF253" s="324"/>
      <c r="DG253" s="324"/>
      <c r="DH253" s="324"/>
      <c r="DI253" s="324"/>
      <c r="DJ253" s="324"/>
      <c r="DK253" s="324"/>
      <c r="DL253" s="324"/>
      <c r="DM253" s="324"/>
      <c r="DN253" s="324"/>
      <c r="DO253" s="324"/>
      <c r="DP253" s="324"/>
      <c r="DQ253" s="324"/>
      <c r="DR253" s="324"/>
      <c r="DS253" s="324"/>
      <c r="DT253" s="324"/>
      <c r="DU253" s="324"/>
      <c r="DV253" s="324"/>
      <c r="DW253" s="324"/>
      <c r="DX253" s="324"/>
      <c r="DY253" s="324"/>
      <c r="DZ253" s="324"/>
      <c r="EA253" s="324"/>
      <c r="EB253" s="324"/>
      <c r="EC253" s="324"/>
      <c r="ED253" s="324"/>
      <c r="EE253" s="324"/>
      <c r="EF253" s="324"/>
      <c r="EG253" s="324"/>
      <c r="EH253" s="324"/>
      <c r="EI253" s="324"/>
      <c r="EJ253" s="324"/>
      <c r="EK253" s="324"/>
      <c r="EL253" s="324"/>
      <c r="EM253" s="324"/>
      <c r="EN253" s="324"/>
      <c r="EO253" s="324"/>
      <c r="EP253" s="324"/>
      <c r="EQ253" s="324"/>
      <c r="ER253" s="324"/>
      <c r="ES253" s="324"/>
      <c r="ET253" s="324"/>
      <c r="EU253" s="324"/>
      <c r="EV253" s="324"/>
      <c r="EW253" s="324"/>
      <c r="EX253" s="324"/>
      <c r="EY253" s="324"/>
      <c r="EZ253" s="324"/>
      <c r="FA253" s="324"/>
      <c r="FB253" s="324"/>
      <c r="FC253" s="324"/>
      <c r="FD253" s="324"/>
      <c r="FE253" s="324"/>
      <c r="FF253" s="324"/>
      <c r="FG253" s="324"/>
      <c r="FH253" s="324"/>
      <c r="FI253" s="324"/>
      <c r="FJ253" s="324"/>
      <c r="FK253" s="324"/>
      <c r="FL253" s="324"/>
      <c r="FM253" s="324"/>
      <c r="FN253" s="324"/>
      <c r="FO253" s="324"/>
      <c r="FP253" s="324"/>
      <c r="FQ253" s="324"/>
      <c r="FR253" s="324"/>
      <c r="FS253" s="324"/>
      <c r="FT253" s="324"/>
      <c r="FU253" s="324"/>
      <c r="FV253" s="324"/>
      <c r="FW253" s="324"/>
      <c r="FX253" s="324"/>
      <c r="FY253" s="324"/>
      <c r="FZ253" s="324"/>
      <c r="GA253" s="324"/>
      <c r="GB253" s="324"/>
      <c r="GC253" s="324"/>
      <c r="GD253" s="324"/>
      <c r="GE253" s="324"/>
      <c r="GF253" s="324"/>
      <c r="GG253" s="324"/>
      <c r="GH253" s="324"/>
      <c r="GI253" s="324"/>
      <c r="GJ253" s="324"/>
      <c r="GK253" s="324"/>
      <c r="GL253" s="324"/>
      <c r="GM253" s="324"/>
      <c r="GN253" s="324"/>
      <c r="GO253" s="324"/>
      <c r="GP253" s="324"/>
      <c r="GQ253" s="324"/>
      <c r="GR253" s="324"/>
      <c r="GS253" s="324"/>
      <c r="GT253" s="324"/>
      <c r="GU253" s="324"/>
      <c r="GV253" s="324"/>
      <c r="GW253" s="324"/>
      <c r="GX253" s="324"/>
      <c r="GY253" s="324"/>
      <c r="GZ253" s="324"/>
      <c r="HA253" s="324"/>
      <c r="HB253" s="324"/>
      <c r="HC253" s="324"/>
      <c r="HD253" s="324"/>
      <c r="HE253" s="324"/>
      <c r="HF253" s="324"/>
      <c r="HG253" s="324"/>
      <c r="HH253" s="324"/>
      <c r="HI253" s="324"/>
      <c r="HJ253" s="324"/>
      <c r="HK253" s="324"/>
      <c r="HL253" s="324"/>
      <c r="HM253" s="324"/>
      <c r="HN253" s="324"/>
      <c r="HO253" s="324"/>
      <c r="HP253" s="324"/>
      <c r="HQ253" s="324"/>
      <c r="HR253" s="324"/>
      <c r="HS253" s="324"/>
      <c r="HT253" s="324"/>
      <c r="HU253" s="324"/>
      <c r="HV253" s="324"/>
      <c r="HW253" s="324"/>
      <c r="HX253" s="324"/>
      <c r="HY253" s="324"/>
      <c r="HZ253" s="324"/>
      <c r="IA253" s="324"/>
      <c r="IB253" s="324"/>
      <c r="IC253" s="324"/>
      <c r="ID253" s="324"/>
      <c r="IE253" s="324"/>
      <c r="IF253" s="324"/>
      <c r="IG253" s="324"/>
      <c r="IH253" s="324"/>
      <c r="II253" s="324"/>
      <c r="IJ253" s="324"/>
      <c r="IK253" s="324"/>
      <c r="IL253" s="324"/>
      <c r="IM253" s="324"/>
    </row>
    <row r="254" spans="1:247" x14ac:dyDescent="0.35">
      <c r="A254" s="356">
        <v>8716</v>
      </c>
      <c r="B254" s="402" t="s">
        <v>2959</v>
      </c>
      <c r="C254" s="403" t="s">
        <v>3</v>
      </c>
      <c r="D254" s="358" t="s">
        <v>2051</v>
      </c>
      <c r="E254" s="404"/>
      <c r="F254" s="331">
        <f t="shared" si="57"/>
        <v>1.0209999999999999</v>
      </c>
      <c r="G254" s="337">
        <f>+$G$3</f>
        <v>1.0269999999999999</v>
      </c>
      <c r="H254" s="404"/>
      <c r="I254" s="405"/>
      <c r="J254" s="405"/>
      <c r="K254" s="405"/>
      <c r="L254" s="405"/>
      <c r="M254" s="405"/>
      <c r="N254" s="337"/>
      <c r="O254" s="339"/>
      <c r="P254" s="404"/>
      <c r="Q254" s="337"/>
      <c r="R254" s="340">
        <f>PRODUCT(E254:Q254)</f>
        <v>1.0485669999999998</v>
      </c>
      <c r="S254" s="324"/>
      <c r="T254" s="324"/>
      <c r="U254" s="324"/>
      <c r="V254" s="324"/>
      <c r="W254" s="324"/>
      <c r="X254" s="324"/>
      <c r="Y254" s="324"/>
      <c r="Z254" s="324"/>
      <c r="AA254" s="324"/>
      <c r="AB254" s="324"/>
      <c r="AC254" s="324"/>
      <c r="AD254" s="324"/>
      <c r="AE254" s="324"/>
      <c r="AF254" s="324"/>
      <c r="AG254" s="324"/>
      <c r="AH254" s="324"/>
      <c r="AI254" s="324"/>
      <c r="AJ254" s="324"/>
      <c r="AK254" s="324"/>
      <c r="AL254" s="324"/>
      <c r="AM254" s="324"/>
      <c r="AN254" s="324"/>
      <c r="AO254" s="324"/>
      <c r="AP254" s="324"/>
      <c r="AQ254" s="324"/>
      <c r="AR254" s="324"/>
      <c r="AS254" s="324"/>
      <c r="AT254" s="324"/>
      <c r="AU254" s="324"/>
      <c r="AV254" s="324"/>
      <c r="AW254" s="324"/>
      <c r="AX254" s="324"/>
      <c r="AY254" s="324"/>
      <c r="AZ254" s="324"/>
      <c r="BA254" s="324"/>
      <c r="BB254" s="324"/>
      <c r="BC254" s="324"/>
      <c r="BD254" s="324"/>
      <c r="BE254" s="324"/>
      <c r="BF254" s="324"/>
      <c r="BG254" s="324"/>
      <c r="BH254" s="324"/>
      <c r="BI254" s="324"/>
      <c r="BJ254" s="324"/>
      <c r="BK254" s="324"/>
      <c r="BL254" s="324"/>
      <c r="BM254" s="324"/>
      <c r="BN254" s="324"/>
      <c r="BO254" s="324"/>
      <c r="BP254" s="324"/>
      <c r="BQ254" s="324"/>
      <c r="BR254" s="324"/>
      <c r="BS254" s="324"/>
      <c r="BT254" s="324"/>
      <c r="BU254" s="324"/>
      <c r="BV254" s="324"/>
      <c r="BW254" s="324"/>
      <c r="BX254" s="324"/>
      <c r="BY254" s="324"/>
      <c r="BZ254" s="324"/>
      <c r="CA254" s="324"/>
      <c r="CB254" s="324"/>
      <c r="CC254" s="324"/>
      <c r="CD254" s="324"/>
      <c r="CE254" s="324"/>
      <c r="CF254" s="324"/>
      <c r="CG254" s="324"/>
      <c r="CH254" s="324"/>
      <c r="CI254" s="324"/>
      <c r="CJ254" s="324"/>
      <c r="CK254" s="324"/>
      <c r="CL254" s="324"/>
      <c r="CM254" s="324"/>
      <c r="CN254" s="324"/>
      <c r="CO254" s="324"/>
      <c r="CP254" s="324"/>
      <c r="CQ254" s="324"/>
      <c r="CR254" s="324"/>
      <c r="CS254" s="324"/>
      <c r="CT254" s="324"/>
      <c r="CU254" s="324"/>
      <c r="CV254" s="324"/>
      <c r="CW254" s="324"/>
      <c r="CX254" s="324"/>
      <c r="CY254" s="324"/>
      <c r="CZ254" s="324"/>
      <c r="DA254" s="324"/>
      <c r="DB254" s="324"/>
      <c r="DC254" s="324"/>
      <c r="DD254" s="324"/>
      <c r="DE254" s="324"/>
      <c r="DF254" s="324"/>
      <c r="DG254" s="324"/>
      <c r="DH254" s="324"/>
      <c r="DI254" s="324"/>
      <c r="DJ254" s="324"/>
      <c r="DK254" s="324"/>
      <c r="DL254" s="324"/>
      <c r="DM254" s="324"/>
      <c r="DN254" s="324"/>
      <c r="DO254" s="324"/>
      <c r="DP254" s="324"/>
      <c r="DQ254" s="324"/>
      <c r="DR254" s="324"/>
      <c r="DS254" s="324"/>
      <c r="DT254" s="324"/>
      <c r="DU254" s="324"/>
      <c r="DV254" s="324"/>
      <c r="DW254" s="324"/>
      <c r="DX254" s="324"/>
      <c r="DY254" s="324"/>
      <c r="DZ254" s="324"/>
      <c r="EA254" s="324"/>
      <c r="EB254" s="324"/>
      <c r="EC254" s="324"/>
      <c r="ED254" s="324"/>
      <c r="EE254" s="324"/>
      <c r="EF254" s="324"/>
      <c r="EG254" s="324"/>
      <c r="EH254" s="324"/>
      <c r="EI254" s="324"/>
      <c r="EJ254" s="324"/>
      <c r="EK254" s="324"/>
      <c r="EL254" s="324"/>
      <c r="EM254" s="324"/>
      <c r="EN254" s="324"/>
      <c r="EO254" s="324"/>
      <c r="EP254" s="324"/>
      <c r="EQ254" s="324"/>
      <c r="ER254" s="324"/>
      <c r="ES254" s="324"/>
      <c r="ET254" s="324"/>
      <c r="EU254" s="324"/>
      <c r="EV254" s="324"/>
      <c r="EW254" s="324"/>
      <c r="EX254" s="324"/>
      <c r="EY254" s="324"/>
      <c r="EZ254" s="324"/>
      <c r="FA254" s="324"/>
      <c r="FB254" s="324"/>
      <c r="FC254" s="324"/>
      <c r="FD254" s="324"/>
      <c r="FE254" s="324"/>
      <c r="FF254" s="324"/>
      <c r="FG254" s="324"/>
      <c r="FH254" s="324"/>
      <c r="FI254" s="324"/>
      <c r="FJ254" s="324"/>
      <c r="FK254" s="324"/>
      <c r="FL254" s="324"/>
      <c r="FM254" s="324"/>
      <c r="FN254" s="324"/>
      <c r="FO254" s="324"/>
      <c r="FP254" s="324"/>
      <c r="FQ254" s="324"/>
      <c r="FR254" s="324"/>
      <c r="FS254" s="324"/>
      <c r="FT254" s="324"/>
      <c r="FU254" s="324"/>
      <c r="FV254" s="324"/>
      <c r="FW254" s="324"/>
      <c r="FX254" s="324"/>
      <c r="FY254" s="324"/>
      <c r="FZ254" s="324"/>
      <c r="GA254" s="324"/>
      <c r="GB254" s="324"/>
      <c r="GC254" s="324"/>
      <c r="GD254" s="324"/>
      <c r="GE254" s="324"/>
      <c r="GF254" s="324"/>
      <c r="GG254" s="324"/>
      <c r="GH254" s="324"/>
      <c r="GI254" s="324"/>
      <c r="GJ254" s="324"/>
      <c r="GK254" s="324"/>
      <c r="GL254" s="324"/>
      <c r="GM254" s="324"/>
      <c r="GN254" s="324"/>
      <c r="GO254" s="324"/>
      <c r="GP254" s="324"/>
      <c r="GQ254" s="324"/>
      <c r="GR254" s="324"/>
      <c r="GS254" s="324"/>
      <c r="GT254" s="324"/>
      <c r="GU254" s="324"/>
      <c r="GV254" s="324"/>
      <c r="GW254" s="324"/>
      <c r="GX254" s="324"/>
      <c r="GY254" s="324"/>
      <c r="GZ254" s="324"/>
      <c r="HA254" s="324"/>
      <c r="HB254" s="324"/>
      <c r="HC254" s="324"/>
      <c r="HD254" s="324"/>
      <c r="HE254" s="324"/>
      <c r="HF254" s="324"/>
      <c r="HG254" s="324"/>
      <c r="HH254" s="324"/>
      <c r="HI254" s="324"/>
      <c r="HJ254" s="324"/>
      <c r="HK254" s="324"/>
      <c r="HL254" s="324"/>
      <c r="HM254" s="324"/>
      <c r="HN254" s="324"/>
      <c r="HO254" s="324"/>
      <c r="HP254" s="324"/>
      <c r="HQ254" s="324"/>
      <c r="HR254" s="324"/>
      <c r="HS254" s="324"/>
      <c r="HT254" s="324"/>
      <c r="HU254" s="324"/>
      <c r="HV254" s="324"/>
      <c r="HW254" s="324"/>
      <c r="HX254" s="324"/>
      <c r="HY254" s="324"/>
      <c r="HZ254" s="324"/>
      <c r="IA254" s="324"/>
      <c r="IB254" s="324"/>
      <c r="IC254" s="324"/>
      <c r="ID254" s="324"/>
      <c r="IE254" s="324"/>
      <c r="IF254" s="324"/>
      <c r="IG254" s="324"/>
      <c r="IH254" s="324"/>
      <c r="II254" s="324"/>
      <c r="IJ254" s="324"/>
      <c r="IK254" s="324"/>
      <c r="IL254" s="324"/>
      <c r="IM254" s="324"/>
    </row>
    <row r="255" spans="1:247" x14ac:dyDescent="0.35">
      <c r="A255" s="356">
        <v>8717</v>
      </c>
      <c r="B255" s="402" t="s">
        <v>2960</v>
      </c>
      <c r="C255" s="403" t="s">
        <v>7</v>
      </c>
      <c r="D255" s="358" t="s">
        <v>2051</v>
      </c>
      <c r="E255" s="404"/>
      <c r="F255" s="331">
        <f t="shared" si="57"/>
        <v>1.0209999999999999</v>
      </c>
      <c r="G255" s="337">
        <f>+$G$3</f>
        <v>1.0269999999999999</v>
      </c>
      <c r="H255" s="404"/>
      <c r="I255" s="405"/>
      <c r="J255" s="405"/>
      <c r="K255" s="405"/>
      <c r="L255" s="405"/>
      <c r="M255" s="405"/>
      <c r="N255" s="337"/>
      <c r="O255" s="339"/>
      <c r="P255" s="404"/>
      <c r="Q255" s="337"/>
      <c r="R255" s="340">
        <f>PRODUCT(E255:Q255)</f>
        <v>1.0485669999999998</v>
      </c>
      <c r="S255" s="324"/>
      <c r="T255" s="324"/>
      <c r="U255" s="324"/>
      <c r="V255" s="324"/>
      <c r="W255" s="324"/>
      <c r="X255" s="324"/>
      <c r="Y255" s="324"/>
      <c r="Z255" s="324"/>
      <c r="AA255" s="324"/>
      <c r="AB255" s="324"/>
      <c r="AC255" s="324"/>
      <c r="AD255" s="324"/>
      <c r="AE255" s="324"/>
      <c r="AF255" s="324"/>
      <c r="AG255" s="324"/>
      <c r="AH255" s="324"/>
      <c r="AI255" s="324"/>
      <c r="AJ255" s="324"/>
      <c r="AK255" s="324"/>
      <c r="AL255" s="324"/>
      <c r="AM255" s="324"/>
      <c r="AN255" s="324"/>
      <c r="AO255" s="324"/>
      <c r="AP255" s="324"/>
      <c r="AQ255" s="324"/>
      <c r="AR255" s="324"/>
      <c r="AS255" s="324"/>
      <c r="AT255" s="324"/>
      <c r="AU255" s="324"/>
      <c r="AV255" s="324"/>
      <c r="AW255" s="324"/>
      <c r="AX255" s="324"/>
      <c r="AY255" s="324"/>
      <c r="AZ255" s="324"/>
      <c r="BA255" s="324"/>
      <c r="BB255" s="324"/>
      <c r="BC255" s="324"/>
      <c r="BD255" s="324"/>
      <c r="BE255" s="324"/>
      <c r="BF255" s="324"/>
      <c r="BG255" s="324"/>
      <c r="BH255" s="324"/>
      <c r="BI255" s="324"/>
      <c r="BJ255" s="324"/>
      <c r="BK255" s="324"/>
      <c r="BL255" s="324"/>
      <c r="BM255" s="324"/>
      <c r="BN255" s="324"/>
      <c r="BO255" s="324"/>
      <c r="BP255" s="324"/>
      <c r="BQ255" s="324"/>
      <c r="BR255" s="324"/>
      <c r="BS255" s="324"/>
      <c r="BT255" s="324"/>
      <c r="BU255" s="324"/>
      <c r="BV255" s="324"/>
      <c r="BW255" s="324"/>
      <c r="BX255" s="324"/>
      <c r="BY255" s="324"/>
      <c r="BZ255" s="324"/>
      <c r="CA255" s="324"/>
      <c r="CB255" s="324"/>
      <c r="CC255" s="324"/>
      <c r="CD255" s="324"/>
      <c r="CE255" s="324"/>
      <c r="CF255" s="324"/>
      <c r="CG255" s="324"/>
      <c r="CH255" s="324"/>
      <c r="CI255" s="324"/>
      <c r="CJ255" s="324"/>
      <c r="CK255" s="324"/>
      <c r="CL255" s="324"/>
      <c r="CM255" s="324"/>
      <c r="CN255" s="324"/>
      <c r="CO255" s="324"/>
      <c r="CP255" s="324"/>
      <c r="CQ255" s="324"/>
      <c r="CR255" s="324"/>
      <c r="CS255" s="324"/>
      <c r="CT255" s="324"/>
      <c r="CU255" s="324"/>
      <c r="CV255" s="324"/>
      <c r="CW255" s="324"/>
      <c r="CX255" s="324"/>
      <c r="CY255" s="324"/>
      <c r="CZ255" s="324"/>
      <c r="DA255" s="324"/>
      <c r="DB255" s="324"/>
      <c r="DC255" s="324"/>
      <c r="DD255" s="324"/>
      <c r="DE255" s="324"/>
      <c r="DF255" s="324"/>
      <c r="DG255" s="324"/>
      <c r="DH255" s="324"/>
      <c r="DI255" s="324"/>
      <c r="DJ255" s="324"/>
      <c r="DK255" s="324"/>
      <c r="DL255" s="324"/>
      <c r="DM255" s="324"/>
      <c r="DN255" s="324"/>
      <c r="DO255" s="324"/>
      <c r="DP255" s="324"/>
      <c r="DQ255" s="324"/>
      <c r="DR255" s="324"/>
      <c r="DS255" s="324"/>
      <c r="DT255" s="324"/>
      <c r="DU255" s="324"/>
      <c r="DV255" s="324"/>
      <c r="DW255" s="324"/>
      <c r="DX255" s="324"/>
      <c r="DY255" s="324"/>
      <c r="DZ255" s="324"/>
      <c r="EA255" s="324"/>
      <c r="EB255" s="324"/>
      <c r="EC255" s="324"/>
      <c r="ED255" s="324"/>
      <c r="EE255" s="324"/>
      <c r="EF255" s="324"/>
      <c r="EG255" s="324"/>
      <c r="EH255" s="324"/>
      <c r="EI255" s="324"/>
      <c r="EJ255" s="324"/>
      <c r="EK255" s="324"/>
      <c r="EL255" s="324"/>
      <c r="EM255" s="324"/>
      <c r="EN255" s="324"/>
      <c r="EO255" s="324"/>
      <c r="EP255" s="324"/>
      <c r="EQ255" s="324"/>
      <c r="ER255" s="324"/>
      <c r="ES255" s="324"/>
      <c r="ET255" s="324"/>
      <c r="EU255" s="324"/>
      <c r="EV255" s="324"/>
      <c r="EW255" s="324"/>
      <c r="EX255" s="324"/>
      <c r="EY255" s="324"/>
      <c r="EZ255" s="324"/>
      <c r="FA255" s="324"/>
      <c r="FB255" s="324"/>
      <c r="FC255" s="324"/>
      <c r="FD255" s="324"/>
      <c r="FE255" s="324"/>
      <c r="FF255" s="324"/>
      <c r="FG255" s="324"/>
      <c r="FH255" s="324"/>
      <c r="FI255" s="324"/>
      <c r="FJ255" s="324"/>
      <c r="FK255" s="324"/>
      <c r="FL255" s="324"/>
      <c r="FM255" s="324"/>
      <c r="FN255" s="324"/>
      <c r="FO255" s="324"/>
      <c r="FP255" s="324"/>
      <c r="FQ255" s="324"/>
      <c r="FR255" s="324"/>
      <c r="FS255" s="324"/>
      <c r="FT255" s="324"/>
      <c r="FU255" s="324"/>
      <c r="FV255" s="324"/>
      <c r="FW255" s="324"/>
      <c r="FX255" s="324"/>
      <c r="FY255" s="324"/>
      <c r="FZ255" s="324"/>
      <c r="GA255" s="324"/>
      <c r="GB255" s="324"/>
      <c r="GC255" s="324"/>
      <c r="GD255" s="324"/>
      <c r="GE255" s="324"/>
      <c r="GF255" s="324"/>
      <c r="GG255" s="324"/>
      <c r="GH255" s="324"/>
      <c r="GI255" s="324"/>
      <c r="GJ255" s="324"/>
      <c r="GK255" s="324"/>
      <c r="GL255" s="324"/>
      <c r="GM255" s="324"/>
      <c r="GN255" s="324"/>
      <c r="GO255" s="324"/>
      <c r="GP255" s="324"/>
      <c r="GQ255" s="324"/>
      <c r="GR255" s="324"/>
      <c r="GS255" s="324"/>
      <c r="GT255" s="324"/>
      <c r="GU255" s="324"/>
      <c r="GV255" s="324"/>
      <c r="GW255" s="324"/>
      <c r="GX255" s="324"/>
      <c r="GY255" s="324"/>
      <c r="GZ255" s="324"/>
      <c r="HA255" s="324"/>
      <c r="HB255" s="324"/>
      <c r="HC255" s="324"/>
      <c r="HD255" s="324"/>
      <c r="HE255" s="324"/>
      <c r="HF255" s="324"/>
      <c r="HG255" s="324"/>
      <c r="HH255" s="324"/>
      <c r="HI255" s="324"/>
      <c r="HJ255" s="324"/>
      <c r="HK255" s="324"/>
      <c r="HL255" s="324"/>
      <c r="HM255" s="324"/>
      <c r="HN255" s="324"/>
      <c r="HO255" s="324"/>
      <c r="HP255" s="324"/>
      <c r="HQ255" s="324"/>
      <c r="HR255" s="324"/>
      <c r="HS255" s="324"/>
      <c r="HT255" s="324"/>
      <c r="HU255" s="324"/>
      <c r="HV255" s="324"/>
      <c r="HW255" s="324"/>
      <c r="HX255" s="324"/>
      <c r="HY255" s="324"/>
      <c r="HZ255" s="324"/>
      <c r="IA255" s="324"/>
      <c r="IB255" s="324"/>
      <c r="IC255" s="324"/>
      <c r="ID255" s="324"/>
      <c r="IE255" s="324"/>
      <c r="IF255" s="324"/>
      <c r="IG255" s="324"/>
      <c r="IH255" s="324"/>
      <c r="II255" s="324"/>
      <c r="IJ255" s="324"/>
      <c r="IK255" s="324"/>
      <c r="IL255" s="324"/>
      <c r="IM255" s="324"/>
    </row>
    <row r="256" spans="1:247" x14ac:dyDescent="0.35">
      <c r="A256" s="356">
        <v>8721</v>
      </c>
      <c r="B256" s="357" t="s">
        <v>263</v>
      </c>
      <c r="C256" s="172" t="s">
        <v>6</v>
      </c>
      <c r="D256" s="358" t="s">
        <v>2052</v>
      </c>
      <c r="E256" s="336"/>
      <c r="F256" s="331">
        <f t="shared" si="57"/>
        <v>1.0209999999999999</v>
      </c>
      <c r="G256" s="337"/>
      <c r="H256" s="336"/>
      <c r="I256" s="338"/>
      <c r="J256" s="338"/>
      <c r="K256" s="338"/>
      <c r="L256" s="338"/>
      <c r="M256" s="338"/>
      <c r="N256" s="337"/>
      <c r="O256" s="339"/>
      <c r="P256" s="336">
        <f>+$P$3</f>
        <v>1.032</v>
      </c>
      <c r="Q256" s="337">
        <f>+$Q$3</f>
        <v>1.0349999999999999</v>
      </c>
      <c r="R256" s="340">
        <f t="shared" si="58"/>
        <v>1.0905505199999999</v>
      </c>
      <c r="S256" s="324"/>
      <c r="T256" s="324"/>
      <c r="U256" s="324"/>
      <c r="V256" s="324"/>
      <c r="W256" s="324"/>
      <c r="X256" s="324"/>
      <c r="Y256" s="324"/>
      <c r="Z256" s="324"/>
      <c r="AA256" s="324"/>
      <c r="AB256" s="324"/>
      <c r="AC256" s="324"/>
      <c r="AD256" s="324"/>
      <c r="AE256" s="324"/>
      <c r="AF256" s="324"/>
      <c r="AG256" s="324"/>
      <c r="AH256" s="324"/>
      <c r="AI256" s="324"/>
      <c r="AJ256" s="324"/>
      <c r="AK256" s="324"/>
      <c r="AL256" s="324"/>
      <c r="AM256" s="324"/>
      <c r="AN256" s="324"/>
      <c r="AO256" s="324"/>
      <c r="AP256" s="324"/>
      <c r="AQ256" s="324"/>
      <c r="AR256" s="324"/>
      <c r="AS256" s="324"/>
      <c r="AT256" s="324"/>
      <c r="AU256" s="324"/>
      <c r="AV256" s="324"/>
      <c r="AW256" s="324"/>
      <c r="AX256" s="324"/>
      <c r="AY256" s="324"/>
      <c r="AZ256" s="324"/>
      <c r="BA256" s="324"/>
      <c r="BB256" s="324"/>
      <c r="BC256" s="324"/>
      <c r="BD256" s="324"/>
      <c r="BE256" s="324"/>
      <c r="BF256" s="324"/>
      <c r="BG256" s="324"/>
      <c r="BH256" s="324"/>
      <c r="BI256" s="324"/>
      <c r="BJ256" s="324"/>
      <c r="BK256" s="324"/>
      <c r="BL256" s="324"/>
      <c r="BM256" s="324"/>
      <c r="BN256" s="324"/>
      <c r="BO256" s="324"/>
      <c r="BP256" s="324"/>
      <c r="BQ256" s="324"/>
      <c r="BR256" s="324"/>
      <c r="BS256" s="324"/>
      <c r="BT256" s="324"/>
      <c r="BU256" s="324"/>
      <c r="BV256" s="324"/>
      <c r="BW256" s="324"/>
      <c r="BX256" s="324"/>
      <c r="BY256" s="324"/>
      <c r="BZ256" s="324"/>
      <c r="CA256" s="324"/>
      <c r="CB256" s="324"/>
      <c r="CC256" s="324"/>
      <c r="CD256" s="324"/>
      <c r="CE256" s="324"/>
      <c r="CF256" s="324"/>
      <c r="CG256" s="324"/>
      <c r="CH256" s="324"/>
      <c r="CI256" s="324"/>
      <c r="CJ256" s="324"/>
      <c r="CK256" s="324"/>
      <c r="CL256" s="324"/>
      <c r="CM256" s="324"/>
      <c r="CN256" s="324"/>
      <c r="CO256" s="324"/>
      <c r="CP256" s="324"/>
      <c r="CQ256" s="324"/>
      <c r="CR256" s="324"/>
      <c r="CS256" s="324"/>
      <c r="CT256" s="324"/>
      <c r="CU256" s="324"/>
      <c r="CV256" s="324"/>
      <c r="CW256" s="324"/>
      <c r="CX256" s="324"/>
      <c r="CY256" s="324"/>
      <c r="CZ256" s="324"/>
      <c r="DA256" s="324"/>
      <c r="DB256" s="324"/>
      <c r="DC256" s="324"/>
      <c r="DD256" s="324"/>
      <c r="DE256" s="324"/>
      <c r="DF256" s="324"/>
      <c r="DG256" s="324"/>
      <c r="DH256" s="324"/>
      <c r="DI256" s="324"/>
      <c r="DJ256" s="324"/>
      <c r="DK256" s="324"/>
      <c r="DL256" s="324"/>
      <c r="DM256" s="324"/>
      <c r="DN256" s="324"/>
      <c r="DO256" s="324"/>
      <c r="DP256" s="324"/>
      <c r="DQ256" s="324"/>
      <c r="DR256" s="324"/>
      <c r="DS256" s="324"/>
      <c r="DT256" s="324"/>
      <c r="DU256" s="324"/>
      <c r="DV256" s="324"/>
      <c r="DW256" s="324"/>
      <c r="DX256" s="324"/>
      <c r="DY256" s="324"/>
      <c r="DZ256" s="324"/>
      <c r="EA256" s="324"/>
      <c r="EB256" s="324"/>
      <c r="EC256" s="324"/>
      <c r="ED256" s="324"/>
      <c r="EE256" s="324"/>
      <c r="EF256" s="324"/>
      <c r="EG256" s="324"/>
      <c r="EH256" s="324"/>
      <c r="EI256" s="324"/>
      <c r="EJ256" s="324"/>
      <c r="EK256" s="324"/>
      <c r="EL256" s="324"/>
      <c r="EM256" s="324"/>
      <c r="EN256" s="324"/>
      <c r="EO256" s="324"/>
      <c r="EP256" s="324"/>
      <c r="EQ256" s="324"/>
      <c r="ER256" s="324"/>
      <c r="ES256" s="324"/>
      <c r="ET256" s="324"/>
      <c r="EU256" s="324"/>
      <c r="EV256" s="324"/>
      <c r="EW256" s="324"/>
      <c r="EX256" s="324"/>
      <c r="EY256" s="324"/>
      <c r="EZ256" s="324"/>
      <c r="FA256" s="324"/>
      <c r="FB256" s="324"/>
      <c r="FC256" s="324"/>
      <c r="FD256" s="324"/>
      <c r="FE256" s="324"/>
      <c r="FF256" s="324"/>
      <c r="FG256" s="324"/>
      <c r="FH256" s="324"/>
      <c r="FI256" s="324"/>
      <c r="FJ256" s="324"/>
      <c r="FK256" s="324"/>
      <c r="FL256" s="324"/>
      <c r="FM256" s="324"/>
      <c r="FN256" s="324"/>
      <c r="FO256" s="324"/>
      <c r="FP256" s="324"/>
      <c r="FQ256" s="324"/>
      <c r="FR256" s="324"/>
      <c r="FS256" s="324"/>
      <c r="FT256" s="324"/>
      <c r="FU256" s="324"/>
      <c r="FV256" s="324"/>
      <c r="FW256" s="324"/>
      <c r="FX256" s="324"/>
      <c r="FY256" s="324"/>
      <c r="FZ256" s="324"/>
      <c r="GA256" s="324"/>
      <c r="GB256" s="324"/>
      <c r="GC256" s="324"/>
      <c r="GD256" s="324"/>
      <c r="GE256" s="324"/>
      <c r="GF256" s="324"/>
      <c r="GG256" s="324"/>
      <c r="GH256" s="324"/>
      <c r="GI256" s="324"/>
      <c r="GJ256" s="324"/>
      <c r="GK256" s="324"/>
      <c r="GL256" s="324"/>
      <c r="GM256" s="324"/>
      <c r="GN256" s="324"/>
      <c r="GO256" s="324"/>
      <c r="GP256" s="324"/>
      <c r="GQ256" s="324"/>
      <c r="GR256" s="324"/>
      <c r="GS256" s="324"/>
      <c r="GT256" s="324"/>
      <c r="GU256" s="324"/>
      <c r="GV256" s="324"/>
      <c r="GW256" s="324"/>
      <c r="GX256" s="324"/>
      <c r="GY256" s="324"/>
      <c r="GZ256" s="324"/>
      <c r="HA256" s="324"/>
      <c r="HB256" s="324"/>
      <c r="HC256" s="324"/>
      <c r="HD256" s="324"/>
      <c r="HE256" s="324"/>
      <c r="HF256" s="324"/>
      <c r="HG256" s="324"/>
      <c r="HH256" s="324"/>
      <c r="HI256" s="324"/>
      <c r="HJ256" s="324"/>
      <c r="HK256" s="324"/>
      <c r="HL256" s="324"/>
      <c r="HM256" s="324"/>
      <c r="HN256" s="324"/>
      <c r="HO256" s="324"/>
      <c r="HP256" s="324"/>
      <c r="HQ256" s="324"/>
      <c r="HR256" s="324"/>
      <c r="HS256" s="324"/>
      <c r="HT256" s="324"/>
      <c r="HU256" s="324"/>
      <c r="HV256" s="324"/>
      <c r="HW256" s="324"/>
      <c r="HX256" s="324"/>
      <c r="HY256" s="324"/>
      <c r="HZ256" s="324"/>
      <c r="IA256" s="324"/>
      <c r="IB256" s="324"/>
      <c r="IC256" s="324"/>
      <c r="ID256" s="324"/>
      <c r="IE256" s="324"/>
      <c r="IF256" s="324"/>
      <c r="IG256" s="324"/>
      <c r="IH256" s="324"/>
      <c r="II256" s="324"/>
      <c r="IJ256" s="324"/>
      <c r="IK256" s="324"/>
      <c r="IL256" s="324"/>
      <c r="IM256" s="324"/>
    </row>
    <row r="257" spans="1:247" x14ac:dyDescent="0.35">
      <c r="A257" s="356">
        <v>8722</v>
      </c>
      <c r="B257" s="357" t="s">
        <v>264</v>
      </c>
      <c r="C257" s="172" t="s">
        <v>6</v>
      </c>
      <c r="D257" s="358" t="s">
        <v>2052</v>
      </c>
      <c r="E257" s="336"/>
      <c r="F257" s="331">
        <f t="shared" si="57"/>
        <v>1.0209999999999999</v>
      </c>
      <c r="G257" s="337"/>
      <c r="H257" s="336"/>
      <c r="I257" s="338"/>
      <c r="J257" s="338"/>
      <c r="K257" s="338"/>
      <c r="L257" s="338"/>
      <c r="M257" s="338"/>
      <c r="N257" s="337"/>
      <c r="O257" s="339"/>
      <c r="P257" s="336">
        <f>+$P$3</f>
        <v>1.032</v>
      </c>
      <c r="Q257" s="337">
        <f>+$Q$3</f>
        <v>1.0349999999999999</v>
      </c>
      <c r="R257" s="340">
        <f t="shared" si="58"/>
        <v>1.0905505199999999</v>
      </c>
      <c r="S257" s="324"/>
      <c r="T257" s="324"/>
      <c r="U257" s="324"/>
      <c r="V257" s="324"/>
      <c r="W257" s="324"/>
      <c r="X257" s="324"/>
      <c r="Y257" s="324"/>
      <c r="Z257" s="324"/>
      <c r="AA257" s="324"/>
      <c r="AB257" s="324"/>
      <c r="AC257" s="324"/>
      <c r="AD257" s="324"/>
      <c r="AE257" s="324"/>
      <c r="AF257" s="324"/>
      <c r="AG257" s="324"/>
      <c r="AH257" s="324"/>
      <c r="AI257" s="324"/>
      <c r="AJ257" s="324"/>
      <c r="AK257" s="324"/>
      <c r="AL257" s="324"/>
      <c r="AM257" s="324"/>
      <c r="AN257" s="324"/>
      <c r="AO257" s="324"/>
      <c r="AP257" s="324"/>
      <c r="AQ257" s="324"/>
      <c r="AR257" s="324"/>
      <c r="AS257" s="324"/>
      <c r="AT257" s="324"/>
      <c r="AU257" s="324"/>
      <c r="AV257" s="324"/>
      <c r="AW257" s="324"/>
      <c r="AX257" s="324"/>
      <c r="AY257" s="324"/>
      <c r="AZ257" s="324"/>
      <c r="BA257" s="324"/>
      <c r="BB257" s="324"/>
      <c r="BC257" s="324"/>
      <c r="BD257" s="324"/>
      <c r="BE257" s="324"/>
      <c r="BF257" s="324"/>
      <c r="BG257" s="324"/>
      <c r="BH257" s="324"/>
      <c r="BI257" s="324"/>
      <c r="BJ257" s="324"/>
      <c r="BK257" s="324"/>
      <c r="BL257" s="324"/>
      <c r="BM257" s="324"/>
      <c r="BN257" s="324"/>
      <c r="BO257" s="324"/>
      <c r="BP257" s="324"/>
      <c r="BQ257" s="324"/>
      <c r="BR257" s="324"/>
      <c r="BS257" s="324"/>
      <c r="BT257" s="324"/>
      <c r="BU257" s="324"/>
      <c r="BV257" s="324"/>
      <c r="BW257" s="324"/>
      <c r="BX257" s="324"/>
      <c r="BY257" s="324"/>
      <c r="BZ257" s="324"/>
      <c r="CA257" s="324"/>
      <c r="CB257" s="324"/>
      <c r="CC257" s="324"/>
      <c r="CD257" s="324"/>
      <c r="CE257" s="324"/>
      <c r="CF257" s="324"/>
      <c r="CG257" s="324"/>
      <c r="CH257" s="324"/>
      <c r="CI257" s="324"/>
      <c r="CJ257" s="324"/>
      <c r="CK257" s="324"/>
      <c r="CL257" s="324"/>
      <c r="CM257" s="324"/>
      <c r="CN257" s="324"/>
      <c r="CO257" s="324"/>
      <c r="CP257" s="324"/>
      <c r="CQ257" s="324"/>
      <c r="CR257" s="324"/>
      <c r="CS257" s="324"/>
      <c r="CT257" s="324"/>
      <c r="CU257" s="324"/>
      <c r="CV257" s="324"/>
      <c r="CW257" s="324"/>
      <c r="CX257" s="324"/>
      <c r="CY257" s="324"/>
      <c r="CZ257" s="324"/>
      <c r="DA257" s="324"/>
      <c r="DB257" s="324"/>
      <c r="DC257" s="324"/>
      <c r="DD257" s="324"/>
      <c r="DE257" s="324"/>
      <c r="DF257" s="324"/>
      <c r="DG257" s="324"/>
      <c r="DH257" s="324"/>
      <c r="DI257" s="324"/>
      <c r="DJ257" s="324"/>
      <c r="DK257" s="324"/>
      <c r="DL257" s="324"/>
      <c r="DM257" s="324"/>
      <c r="DN257" s="324"/>
      <c r="DO257" s="324"/>
      <c r="DP257" s="324"/>
      <c r="DQ257" s="324"/>
      <c r="DR257" s="324"/>
      <c r="DS257" s="324"/>
      <c r="DT257" s="324"/>
      <c r="DU257" s="324"/>
      <c r="DV257" s="324"/>
      <c r="DW257" s="324"/>
      <c r="DX257" s="324"/>
      <c r="DY257" s="324"/>
      <c r="DZ257" s="324"/>
      <c r="EA257" s="324"/>
      <c r="EB257" s="324"/>
      <c r="EC257" s="324"/>
      <c r="ED257" s="324"/>
      <c r="EE257" s="324"/>
      <c r="EF257" s="324"/>
      <c r="EG257" s="324"/>
      <c r="EH257" s="324"/>
      <c r="EI257" s="324"/>
      <c r="EJ257" s="324"/>
      <c r="EK257" s="324"/>
      <c r="EL257" s="324"/>
      <c r="EM257" s="324"/>
      <c r="EN257" s="324"/>
      <c r="EO257" s="324"/>
      <c r="EP257" s="324"/>
      <c r="EQ257" s="324"/>
      <c r="ER257" s="324"/>
      <c r="ES257" s="324"/>
      <c r="ET257" s="324"/>
      <c r="EU257" s="324"/>
      <c r="EV257" s="324"/>
      <c r="EW257" s="324"/>
      <c r="EX257" s="324"/>
      <c r="EY257" s="324"/>
      <c r="EZ257" s="324"/>
      <c r="FA257" s="324"/>
      <c r="FB257" s="324"/>
      <c r="FC257" s="324"/>
      <c r="FD257" s="324"/>
      <c r="FE257" s="324"/>
      <c r="FF257" s="324"/>
      <c r="FG257" s="324"/>
      <c r="FH257" s="324"/>
      <c r="FI257" s="324"/>
      <c r="FJ257" s="324"/>
      <c r="FK257" s="324"/>
      <c r="FL257" s="324"/>
      <c r="FM257" s="324"/>
      <c r="FN257" s="324"/>
      <c r="FO257" s="324"/>
      <c r="FP257" s="324"/>
      <c r="FQ257" s="324"/>
      <c r="FR257" s="324"/>
      <c r="FS257" s="324"/>
      <c r="FT257" s="324"/>
      <c r="FU257" s="324"/>
      <c r="FV257" s="324"/>
      <c r="FW257" s="324"/>
      <c r="FX257" s="324"/>
      <c r="FY257" s="324"/>
      <c r="FZ257" s="324"/>
      <c r="GA257" s="324"/>
      <c r="GB257" s="324"/>
      <c r="GC257" s="324"/>
      <c r="GD257" s="324"/>
      <c r="GE257" s="324"/>
      <c r="GF257" s="324"/>
      <c r="GG257" s="324"/>
      <c r="GH257" s="324"/>
      <c r="GI257" s="324"/>
      <c r="GJ257" s="324"/>
      <c r="GK257" s="324"/>
      <c r="GL257" s="324"/>
      <c r="GM257" s="324"/>
      <c r="GN257" s="324"/>
      <c r="GO257" s="324"/>
      <c r="GP257" s="324"/>
      <c r="GQ257" s="324"/>
      <c r="GR257" s="324"/>
      <c r="GS257" s="324"/>
      <c r="GT257" s="324"/>
      <c r="GU257" s="324"/>
      <c r="GV257" s="324"/>
      <c r="GW257" s="324"/>
      <c r="GX257" s="324"/>
      <c r="GY257" s="324"/>
      <c r="GZ257" s="324"/>
      <c r="HA257" s="324"/>
      <c r="HB257" s="324"/>
      <c r="HC257" s="324"/>
      <c r="HD257" s="324"/>
      <c r="HE257" s="324"/>
      <c r="HF257" s="324"/>
      <c r="HG257" s="324"/>
      <c r="HH257" s="324"/>
      <c r="HI257" s="324"/>
      <c r="HJ257" s="324"/>
      <c r="HK257" s="324"/>
      <c r="HL257" s="324"/>
      <c r="HM257" s="324"/>
      <c r="HN257" s="324"/>
      <c r="HO257" s="324"/>
      <c r="HP257" s="324"/>
      <c r="HQ257" s="324"/>
      <c r="HR257" s="324"/>
      <c r="HS257" s="324"/>
      <c r="HT257" s="324"/>
      <c r="HU257" s="324"/>
      <c r="HV257" s="324"/>
      <c r="HW257" s="324"/>
      <c r="HX257" s="324"/>
      <c r="HY257" s="324"/>
      <c r="HZ257" s="324"/>
      <c r="IA257" s="324"/>
      <c r="IB257" s="324"/>
      <c r="IC257" s="324"/>
      <c r="ID257" s="324"/>
      <c r="IE257" s="324"/>
      <c r="IF257" s="324"/>
      <c r="IG257" s="324"/>
      <c r="IH257" s="324"/>
      <c r="II257" s="324"/>
      <c r="IJ257" s="324"/>
      <c r="IK257" s="324"/>
      <c r="IL257" s="324"/>
      <c r="IM257" s="324"/>
    </row>
    <row r="258" spans="1:247" x14ac:dyDescent="0.35">
      <c r="A258" s="356">
        <v>8813</v>
      </c>
      <c r="B258" s="357" t="s">
        <v>265</v>
      </c>
      <c r="C258" s="172" t="s">
        <v>6</v>
      </c>
      <c r="D258" s="358" t="s">
        <v>2052</v>
      </c>
      <c r="E258" s="336"/>
      <c r="F258" s="331">
        <f t="shared" si="57"/>
        <v>1.0209999999999999</v>
      </c>
      <c r="G258" s="337"/>
      <c r="H258" s="336"/>
      <c r="I258" s="338"/>
      <c r="J258" s="338"/>
      <c r="K258" s="338"/>
      <c r="L258" s="338"/>
      <c r="M258" s="338"/>
      <c r="N258" s="337"/>
      <c r="O258" s="339"/>
      <c r="P258" s="336">
        <f>+$P$3</f>
        <v>1.032</v>
      </c>
      <c r="Q258" s="337">
        <f>+$Q$3</f>
        <v>1.0349999999999999</v>
      </c>
      <c r="R258" s="340">
        <f>PRODUCT(E258:Q258)</f>
        <v>1.0905505199999999</v>
      </c>
      <c r="S258" s="324"/>
      <c r="T258" s="324"/>
      <c r="U258" s="324"/>
      <c r="V258" s="324"/>
      <c r="W258" s="324"/>
      <c r="X258" s="324"/>
      <c r="Y258" s="324"/>
      <c r="Z258" s="324"/>
      <c r="AA258" s="324"/>
      <c r="AB258" s="324"/>
      <c r="AC258" s="324"/>
      <c r="AD258" s="324"/>
      <c r="AE258" s="324"/>
      <c r="AF258" s="324"/>
      <c r="AG258" s="324"/>
      <c r="AH258" s="324"/>
      <c r="AI258" s="324"/>
      <c r="AJ258" s="324"/>
      <c r="AK258" s="324"/>
      <c r="AL258" s="324"/>
      <c r="AM258" s="324"/>
      <c r="AN258" s="324"/>
      <c r="AO258" s="324"/>
      <c r="AP258" s="324"/>
      <c r="AQ258" s="324"/>
      <c r="AR258" s="324"/>
      <c r="AS258" s="324"/>
      <c r="AT258" s="324"/>
      <c r="AU258" s="324"/>
      <c r="AV258" s="324"/>
      <c r="AW258" s="324"/>
      <c r="AX258" s="324"/>
      <c r="AY258" s="324"/>
      <c r="AZ258" s="324"/>
      <c r="BA258" s="324"/>
      <c r="BB258" s="324"/>
      <c r="BC258" s="324"/>
      <c r="BD258" s="324"/>
      <c r="BE258" s="324"/>
      <c r="BF258" s="324"/>
      <c r="BG258" s="324"/>
      <c r="BH258" s="324"/>
      <c r="BI258" s="324"/>
      <c r="BJ258" s="324"/>
      <c r="BK258" s="324"/>
      <c r="BL258" s="324"/>
      <c r="BM258" s="324"/>
      <c r="BN258" s="324"/>
      <c r="BO258" s="324"/>
      <c r="BP258" s="324"/>
      <c r="BQ258" s="324"/>
      <c r="BR258" s="324"/>
      <c r="BS258" s="324"/>
      <c r="BT258" s="324"/>
      <c r="BU258" s="324"/>
      <c r="BV258" s="324"/>
      <c r="BW258" s="324"/>
      <c r="BX258" s="324"/>
      <c r="BY258" s="324"/>
      <c r="BZ258" s="324"/>
      <c r="CA258" s="324"/>
      <c r="CB258" s="324"/>
      <c r="CC258" s="324"/>
      <c r="CD258" s="324"/>
      <c r="CE258" s="324"/>
      <c r="CF258" s="324"/>
      <c r="CG258" s="324"/>
      <c r="CH258" s="324"/>
      <c r="CI258" s="324"/>
      <c r="CJ258" s="324"/>
      <c r="CK258" s="324"/>
      <c r="CL258" s="324"/>
      <c r="CM258" s="324"/>
      <c r="CN258" s="324"/>
      <c r="CO258" s="324"/>
      <c r="CP258" s="324"/>
      <c r="CQ258" s="324"/>
      <c r="CR258" s="324"/>
      <c r="CS258" s="324"/>
      <c r="CT258" s="324"/>
      <c r="CU258" s="324"/>
      <c r="CV258" s="324"/>
      <c r="CW258" s="324"/>
      <c r="CX258" s="324"/>
      <c r="CY258" s="324"/>
      <c r="CZ258" s="324"/>
      <c r="DA258" s="324"/>
      <c r="DB258" s="324"/>
      <c r="DC258" s="324"/>
      <c r="DD258" s="324"/>
      <c r="DE258" s="324"/>
      <c r="DF258" s="324"/>
      <c r="DG258" s="324"/>
      <c r="DH258" s="324"/>
      <c r="DI258" s="324"/>
      <c r="DJ258" s="324"/>
      <c r="DK258" s="324"/>
      <c r="DL258" s="324"/>
      <c r="DM258" s="324"/>
      <c r="DN258" s="324"/>
      <c r="DO258" s="324"/>
      <c r="DP258" s="324"/>
      <c r="DQ258" s="324"/>
      <c r="DR258" s="324"/>
      <c r="DS258" s="324"/>
      <c r="DT258" s="324"/>
      <c r="DU258" s="324"/>
      <c r="DV258" s="324"/>
      <c r="DW258" s="324"/>
      <c r="DX258" s="324"/>
      <c r="DY258" s="324"/>
      <c r="DZ258" s="324"/>
      <c r="EA258" s="324"/>
      <c r="EB258" s="324"/>
      <c r="EC258" s="324"/>
      <c r="ED258" s="324"/>
      <c r="EE258" s="324"/>
      <c r="EF258" s="324"/>
      <c r="EG258" s="324"/>
      <c r="EH258" s="324"/>
      <c r="EI258" s="324"/>
      <c r="EJ258" s="324"/>
      <c r="EK258" s="324"/>
      <c r="EL258" s="324"/>
      <c r="EM258" s="324"/>
      <c r="EN258" s="324"/>
      <c r="EO258" s="324"/>
      <c r="EP258" s="324"/>
      <c r="EQ258" s="324"/>
      <c r="ER258" s="324"/>
      <c r="ES258" s="324"/>
      <c r="ET258" s="324"/>
      <c r="EU258" s="324"/>
      <c r="EV258" s="324"/>
      <c r="EW258" s="324"/>
      <c r="EX258" s="324"/>
      <c r="EY258" s="324"/>
      <c r="EZ258" s="324"/>
      <c r="FA258" s="324"/>
      <c r="FB258" s="324"/>
      <c r="FC258" s="324"/>
      <c r="FD258" s="324"/>
      <c r="FE258" s="324"/>
      <c r="FF258" s="324"/>
      <c r="FG258" s="324"/>
      <c r="FH258" s="324"/>
      <c r="FI258" s="324"/>
      <c r="FJ258" s="324"/>
      <c r="FK258" s="324"/>
      <c r="FL258" s="324"/>
      <c r="FM258" s="324"/>
      <c r="FN258" s="324"/>
      <c r="FO258" s="324"/>
      <c r="FP258" s="324"/>
      <c r="FQ258" s="324"/>
      <c r="FR258" s="324"/>
      <c r="FS258" s="324"/>
      <c r="FT258" s="324"/>
      <c r="FU258" s="324"/>
      <c r="FV258" s="324"/>
      <c r="FW258" s="324"/>
      <c r="FX258" s="324"/>
      <c r="FY258" s="324"/>
      <c r="FZ258" s="324"/>
      <c r="GA258" s="324"/>
      <c r="GB258" s="324"/>
      <c r="GC258" s="324"/>
      <c r="GD258" s="324"/>
      <c r="GE258" s="324"/>
      <c r="GF258" s="324"/>
      <c r="GG258" s="324"/>
      <c r="GH258" s="324"/>
      <c r="GI258" s="324"/>
      <c r="GJ258" s="324"/>
      <c r="GK258" s="324"/>
      <c r="GL258" s="324"/>
      <c r="GM258" s="324"/>
      <c r="GN258" s="324"/>
      <c r="GO258" s="324"/>
      <c r="GP258" s="324"/>
      <c r="GQ258" s="324"/>
      <c r="GR258" s="324"/>
      <c r="GS258" s="324"/>
      <c r="GT258" s="324"/>
      <c r="GU258" s="324"/>
      <c r="GV258" s="324"/>
      <c r="GW258" s="324"/>
      <c r="GX258" s="324"/>
      <c r="GY258" s="324"/>
      <c r="GZ258" s="324"/>
      <c r="HA258" s="324"/>
      <c r="HB258" s="324"/>
      <c r="HC258" s="324"/>
      <c r="HD258" s="324"/>
      <c r="HE258" s="324"/>
      <c r="HF258" s="324"/>
      <c r="HG258" s="324"/>
      <c r="HH258" s="324"/>
      <c r="HI258" s="324"/>
      <c r="HJ258" s="324"/>
      <c r="HK258" s="324"/>
      <c r="HL258" s="324"/>
      <c r="HM258" s="324"/>
      <c r="HN258" s="324"/>
      <c r="HO258" s="324"/>
      <c r="HP258" s="324"/>
      <c r="HQ258" s="324"/>
      <c r="HR258" s="324"/>
      <c r="HS258" s="324"/>
      <c r="HT258" s="324"/>
      <c r="HU258" s="324"/>
      <c r="HV258" s="324"/>
      <c r="HW258" s="324"/>
      <c r="HX258" s="324"/>
      <c r="HY258" s="324"/>
      <c r="HZ258" s="324"/>
      <c r="IA258" s="324"/>
      <c r="IB258" s="324"/>
      <c r="IC258" s="324"/>
      <c r="ID258" s="324"/>
      <c r="IE258" s="324"/>
      <c r="IF258" s="324"/>
      <c r="IG258" s="324"/>
      <c r="IH258" s="324"/>
      <c r="II258" s="324"/>
      <c r="IJ258" s="324"/>
      <c r="IK258" s="324"/>
      <c r="IL258" s="324"/>
      <c r="IM258" s="324"/>
    </row>
    <row r="259" spans="1:247" x14ac:dyDescent="0.35">
      <c r="A259" s="356">
        <v>8840</v>
      </c>
      <c r="B259" s="357" t="s">
        <v>2186</v>
      </c>
      <c r="C259" s="172" t="s">
        <v>10</v>
      </c>
      <c r="D259" s="358" t="s">
        <v>2051</v>
      </c>
      <c r="E259" s="336"/>
      <c r="F259" s="331">
        <v>1.0209999999999999</v>
      </c>
      <c r="G259" s="337"/>
      <c r="H259" s="336"/>
      <c r="I259" s="338"/>
      <c r="J259" s="338"/>
      <c r="K259" s="338"/>
      <c r="L259" s="338"/>
      <c r="M259" s="338"/>
      <c r="N259" s="337"/>
      <c r="O259" s="339"/>
      <c r="P259" s="336"/>
      <c r="Q259" s="337"/>
      <c r="R259" s="340">
        <f>PRODUCT(E259:Q259)</f>
        <v>1.0209999999999999</v>
      </c>
      <c r="S259" s="324"/>
      <c r="T259" s="324"/>
      <c r="U259" s="324"/>
      <c r="V259" s="324"/>
      <c r="W259" s="324"/>
      <c r="X259" s="324"/>
      <c r="Y259" s="324"/>
      <c r="Z259" s="324"/>
      <c r="AA259" s="324"/>
      <c r="AB259" s="324"/>
      <c r="AC259" s="324"/>
      <c r="AD259" s="324"/>
      <c r="AE259" s="324"/>
      <c r="AF259" s="324"/>
      <c r="AG259" s="324"/>
      <c r="AH259" s="324"/>
      <c r="AI259" s="324"/>
      <c r="AJ259" s="324"/>
      <c r="AK259" s="324"/>
      <c r="AL259" s="324"/>
      <c r="AM259" s="324"/>
      <c r="AN259" s="324"/>
      <c r="AO259" s="324"/>
      <c r="AP259" s="324"/>
      <c r="AQ259" s="324"/>
      <c r="AR259" s="324"/>
      <c r="AS259" s="324"/>
      <c r="AT259" s="324"/>
      <c r="AU259" s="324"/>
      <c r="AV259" s="324"/>
      <c r="AW259" s="324"/>
      <c r="AX259" s="324"/>
      <c r="AY259" s="324"/>
      <c r="AZ259" s="324"/>
      <c r="BA259" s="324"/>
      <c r="BB259" s="324"/>
      <c r="BC259" s="324"/>
      <c r="BD259" s="324"/>
      <c r="BE259" s="324"/>
      <c r="BF259" s="324"/>
      <c r="BG259" s="324"/>
      <c r="BH259" s="324"/>
      <c r="BI259" s="324"/>
      <c r="BJ259" s="324"/>
      <c r="BK259" s="324"/>
      <c r="BL259" s="324"/>
      <c r="BM259" s="324"/>
      <c r="BN259" s="324"/>
      <c r="BO259" s="324"/>
      <c r="BP259" s="324"/>
      <c r="BQ259" s="324"/>
      <c r="BR259" s="324"/>
      <c r="BS259" s="324"/>
      <c r="BT259" s="324"/>
      <c r="BU259" s="324"/>
      <c r="BV259" s="324"/>
      <c r="BW259" s="324"/>
      <c r="BX259" s="324"/>
      <c r="BY259" s="324"/>
      <c r="BZ259" s="324"/>
      <c r="CA259" s="324"/>
      <c r="CB259" s="324"/>
      <c r="CC259" s="324"/>
      <c r="CD259" s="324"/>
      <c r="CE259" s="324"/>
      <c r="CF259" s="324"/>
      <c r="CG259" s="324"/>
      <c r="CH259" s="324"/>
      <c r="CI259" s="324"/>
      <c r="CJ259" s="324"/>
      <c r="CK259" s="324"/>
      <c r="CL259" s="324"/>
      <c r="CM259" s="324"/>
      <c r="CN259" s="324"/>
      <c r="CO259" s="324"/>
      <c r="CP259" s="324"/>
      <c r="CQ259" s="324"/>
      <c r="CR259" s="324"/>
      <c r="CS259" s="324"/>
      <c r="CT259" s="324"/>
      <c r="CU259" s="324"/>
      <c r="CV259" s="324"/>
      <c r="CW259" s="324"/>
      <c r="CX259" s="324"/>
      <c r="CY259" s="324"/>
      <c r="CZ259" s="324"/>
      <c r="DA259" s="324"/>
      <c r="DB259" s="324"/>
      <c r="DC259" s="324"/>
      <c r="DD259" s="324"/>
      <c r="DE259" s="324"/>
      <c r="DF259" s="324"/>
      <c r="DG259" s="324"/>
      <c r="DH259" s="324"/>
      <c r="DI259" s="324"/>
      <c r="DJ259" s="324"/>
      <c r="DK259" s="324"/>
      <c r="DL259" s="324"/>
      <c r="DM259" s="324"/>
      <c r="DN259" s="324"/>
      <c r="DO259" s="324"/>
      <c r="DP259" s="324"/>
      <c r="DQ259" s="324"/>
      <c r="DR259" s="324"/>
      <c r="DS259" s="324"/>
      <c r="DT259" s="324"/>
      <c r="DU259" s="324"/>
      <c r="DV259" s="324"/>
      <c r="DW259" s="324"/>
      <c r="DX259" s="324"/>
      <c r="DY259" s="324"/>
      <c r="DZ259" s="324"/>
      <c r="EA259" s="324"/>
      <c r="EB259" s="324"/>
      <c r="EC259" s="324"/>
      <c r="ED259" s="324"/>
      <c r="EE259" s="324"/>
      <c r="EF259" s="324"/>
      <c r="EG259" s="324"/>
      <c r="EH259" s="324"/>
      <c r="EI259" s="324"/>
      <c r="EJ259" s="324"/>
      <c r="EK259" s="324"/>
      <c r="EL259" s="324"/>
      <c r="EM259" s="324"/>
      <c r="EN259" s="324"/>
      <c r="EO259" s="324"/>
      <c r="EP259" s="324"/>
      <c r="EQ259" s="324"/>
      <c r="ER259" s="324"/>
      <c r="ES259" s="324"/>
      <c r="ET259" s="324"/>
      <c r="EU259" s="324"/>
      <c r="EV259" s="324"/>
      <c r="EW259" s="324"/>
      <c r="EX259" s="324"/>
      <c r="EY259" s="324"/>
      <c r="EZ259" s="324"/>
      <c r="FA259" s="324"/>
      <c r="FB259" s="324"/>
      <c r="FC259" s="324"/>
      <c r="FD259" s="324"/>
      <c r="FE259" s="324"/>
      <c r="FF259" s="324"/>
      <c r="FG259" s="324"/>
      <c r="FH259" s="324"/>
      <c r="FI259" s="324"/>
      <c r="FJ259" s="324"/>
      <c r="FK259" s="324"/>
      <c r="FL259" s="324"/>
      <c r="FM259" s="324"/>
      <c r="FN259" s="324"/>
      <c r="FO259" s="324"/>
      <c r="FP259" s="324"/>
      <c r="FQ259" s="324"/>
      <c r="FR259" s="324"/>
      <c r="FS259" s="324"/>
      <c r="FT259" s="324"/>
      <c r="FU259" s="324"/>
      <c r="FV259" s="324"/>
      <c r="FW259" s="324"/>
      <c r="FX259" s="324"/>
      <c r="FY259" s="324"/>
      <c r="FZ259" s="324"/>
      <c r="GA259" s="324"/>
      <c r="GB259" s="324"/>
      <c r="GC259" s="324"/>
      <c r="GD259" s="324"/>
      <c r="GE259" s="324"/>
      <c r="GF259" s="324"/>
      <c r="GG259" s="324"/>
      <c r="GH259" s="324"/>
      <c r="GI259" s="324"/>
      <c r="GJ259" s="324"/>
      <c r="GK259" s="324"/>
      <c r="GL259" s="324"/>
      <c r="GM259" s="324"/>
      <c r="GN259" s="324"/>
      <c r="GO259" s="324"/>
      <c r="GP259" s="324"/>
      <c r="GQ259" s="324"/>
      <c r="GR259" s="324"/>
      <c r="GS259" s="324"/>
      <c r="GT259" s="324"/>
      <c r="GU259" s="324"/>
      <c r="GV259" s="324"/>
      <c r="GW259" s="324"/>
      <c r="GX259" s="324"/>
      <c r="GY259" s="324"/>
      <c r="GZ259" s="324"/>
      <c r="HA259" s="324"/>
      <c r="HB259" s="324"/>
      <c r="HC259" s="324"/>
      <c r="HD259" s="324"/>
      <c r="HE259" s="324"/>
      <c r="HF259" s="324"/>
      <c r="HG259" s="324"/>
      <c r="HH259" s="324"/>
      <c r="HI259" s="324"/>
      <c r="HJ259" s="324"/>
      <c r="HK259" s="324"/>
      <c r="HL259" s="324"/>
      <c r="HM259" s="324"/>
      <c r="HN259" s="324"/>
      <c r="HO259" s="324"/>
      <c r="HP259" s="324"/>
      <c r="HQ259" s="324"/>
      <c r="HR259" s="324"/>
      <c r="HS259" s="324"/>
      <c r="HT259" s="324"/>
      <c r="HU259" s="324"/>
      <c r="HV259" s="324"/>
      <c r="HW259" s="324"/>
      <c r="HX259" s="324"/>
      <c r="HY259" s="324"/>
      <c r="HZ259" s="324"/>
      <c r="IA259" s="324"/>
      <c r="IB259" s="324"/>
      <c r="IC259" s="324"/>
      <c r="ID259" s="324"/>
      <c r="IE259" s="324"/>
      <c r="IF259" s="324"/>
      <c r="IG259" s="324"/>
      <c r="IH259" s="324"/>
      <c r="II259" s="324"/>
      <c r="IJ259" s="324"/>
      <c r="IK259" s="324"/>
      <c r="IL259" s="324"/>
      <c r="IM259" s="324"/>
    </row>
    <row r="260" spans="1:247" x14ac:dyDescent="0.35">
      <c r="A260" s="356">
        <v>8910</v>
      </c>
      <c r="B260" s="357" t="s">
        <v>266</v>
      </c>
      <c r="C260" s="172" t="s">
        <v>8</v>
      </c>
      <c r="D260" s="358" t="s">
        <v>2053</v>
      </c>
      <c r="E260" s="336"/>
      <c r="F260" s="331">
        <f t="shared" si="57"/>
        <v>1.0209999999999999</v>
      </c>
      <c r="G260" s="337">
        <f>+$G$3</f>
        <v>1.0269999999999999</v>
      </c>
      <c r="H260" s="336">
        <f>+$H$3</f>
        <v>1.0029999999999999</v>
      </c>
      <c r="I260" s="338"/>
      <c r="J260" s="338">
        <f>+$J$3</f>
        <v>1.0049999999999999</v>
      </c>
      <c r="K260" s="338"/>
      <c r="L260" s="338"/>
      <c r="M260" s="338"/>
      <c r="N260" s="337">
        <f>+$N$3</f>
        <v>1.0029999999999999</v>
      </c>
      <c r="O260" s="339"/>
      <c r="P260" s="336">
        <f>+$P$3</f>
        <v>1.032</v>
      </c>
      <c r="Q260" s="337">
        <f>+$Q$3</f>
        <v>1.0349999999999999</v>
      </c>
      <c r="R260" s="340">
        <f t="shared" si="58"/>
        <v>1.1323590634842093</v>
      </c>
      <c r="S260" s="324"/>
      <c r="T260" s="324"/>
      <c r="U260" s="324"/>
      <c r="V260" s="324"/>
      <c r="W260" s="324"/>
      <c r="X260" s="324"/>
      <c r="Y260" s="324"/>
      <c r="Z260" s="324"/>
      <c r="AA260" s="324"/>
      <c r="AB260" s="324"/>
      <c r="AC260" s="324"/>
      <c r="AD260" s="324"/>
      <c r="AE260" s="324"/>
      <c r="AF260" s="324"/>
      <c r="AG260" s="324"/>
      <c r="AH260" s="324"/>
      <c r="AI260" s="324"/>
      <c r="AJ260" s="324"/>
      <c r="AK260" s="324"/>
      <c r="AL260" s="324"/>
      <c r="AM260" s="324"/>
      <c r="AN260" s="324"/>
      <c r="AO260" s="324"/>
      <c r="AP260" s="324"/>
      <c r="AQ260" s="324"/>
      <c r="AR260" s="324"/>
      <c r="AS260" s="324"/>
      <c r="AT260" s="324"/>
      <c r="AU260" s="324"/>
      <c r="AV260" s="324"/>
      <c r="AW260" s="324"/>
      <c r="AX260" s="324"/>
      <c r="AY260" s="324"/>
      <c r="AZ260" s="324"/>
      <c r="BA260" s="324"/>
      <c r="BB260" s="324"/>
      <c r="BC260" s="324"/>
      <c r="BD260" s="324"/>
      <c r="BE260" s="324"/>
      <c r="BF260" s="324"/>
      <c r="BG260" s="324"/>
      <c r="BH260" s="324"/>
      <c r="BI260" s="324"/>
      <c r="BJ260" s="324"/>
      <c r="BK260" s="324"/>
      <c r="BL260" s="324"/>
      <c r="BM260" s="324"/>
      <c r="BN260" s="324"/>
      <c r="BO260" s="324"/>
      <c r="BP260" s="324"/>
      <c r="BQ260" s="324"/>
      <c r="BR260" s="324"/>
      <c r="BS260" s="324"/>
      <c r="BT260" s="324"/>
      <c r="BU260" s="324"/>
      <c r="BV260" s="324"/>
      <c r="BW260" s="324"/>
      <c r="BX260" s="324"/>
      <c r="BY260" s="324"/>
      <c r="BZ260" s="324"/>
      <c r="CA260" s="324"/>
      <c r="CB260" s="324"/>
      <c r="CC260" s="324"/>
      <c r="CD260" s="324"/>
      <c r="CE260" s="324"/>
      <c r="CF260" s="324"/>
      <c r="CG260" s="324"/>
      <c r="CH260" s="324"/>
      <c r="CI260" s="324"/>
      <c r="CJ260" s="324"/>
      <c r="CK260" s="324"/>
      <c r="CL260" s="324"/>
      <c r="CM260" s="324"/>
      <c r="CN260" s="324"/>
      <c r="CO260" s="324"/>
      <c r="CP260" s="324"/>
      <c r="CQ260" s="324"/>
      <c r="CR260" s="324"/>
      <c r="CS260" s="324"/>
      <c r="CT260" s="324"/>
      <c r="CU260" s="324"/>
      <c r="CV260" s="324"/>
      <c r="CW260" s="324"/>
      <c r="CX260" s="324"/>
      <c r="CY260" s="324"/>
      <c r="CZ260" s="324"/>
      <c r="DA260" s="324"/>
      <c r="DB260" s="324"/>
      <c r="DC260" s="324"/>
      <c r="DD260" s="324"/>
      <c r="DE260" s="324"/>
      <c r="DF260" s="324"/>
      <c r="DG260" s="324"/>
      <c r="DH260" s="324"/>
      <c r="DI260" s="324"/>
      <c r="DJ260" s="324"/>
      <c r="DK260" s="324"/>
      <c r="DL260" s="324"/>
      <c r="DM260" s="324"/>
      <c r="DN260" s="324"/>
      <c r="DO260" s="324"/>
      <c r="DP260" s="324"/>
      <c r="DQ260" s="324"/>
      <c r="DR260" s="324"/>
      <c r="DS260" s="324"/>
      <c r="DT260" s="324"/>
      <c r="DU260" s="324"/>
      <c r="DV260" s="324"/>
      <c r="DW260" s="324"/>
      <c r="DX260" s="324"/>
      <c r="DY260" s="324"/>
      <c r="DZ260" s="324"/>
      <c r="EA260" s="324"/>
      <c r="EB260" s="324"/>
      <c r="EC260" s="324"/>
      <c r="ED260" s="324"/>
      <c r="EE260" s="324"/>
      <c r="EF260" s="324"/>
      <c r="EG260" s="324"/>
      <c r="EH260" s="324"/>
      <c r="EI260" s="324"/>
      <c r="EJ260" s="324"/>
      <c r="EK260" s="324"/>
      <c r="EL260" s="324"/>
      <c r="EM260" s="324"/>
      <c r="EN260" s="324"/>
      <c r="EO260" s="324"/>
      <c r="EP260" s="324"/>
      <c r="EQ260" s="324"/>
      <c r="ER260" s="324"/>
      <c r="ES260" s="324"/>
      <c r="ET260" s="324"/>
      <c r="EU260" s="324"/>
      <c r="EV260" s="324"/>
      <c r="EW260" s="324"/>
      <c r="EX260" s="324"/>
      <c r="EY260" s="324"/>
      <c r="EZ260" s="324"/>
      <c r="FA260" s="324"/>
      <c r="FB260" s="324"/>
      <c r="FC260" s="324"/>
      <c r="FD260" s="324"/>
      <c r="FE260" s="324"/>
      <c r="FF260" s="324"/>
      <c r="FG260" s="324"/>
      <c r="FH260" s="324"/>
      <c r="FI260" s="324"/>
      <c r="FJ260" s="324"/>
      <c r="FK260" s="324"/>
      <c r="FL260" s="324"/>
      <c r="FM260" s="324"/>
      <c r="FN260" s="324"/>
      <c r="FO260" s="324"/>
      <c r="FP260" s="324"/>
      <c r="FQ260" s="324"/>
      <c r="FR260" s="324"/>
      <c r="FS260" s="324"/>
      <c r="FT260" s="324"/>
      <c r="FU260" s="324"/>
      <c r="FV260" s="324"/>
      <c r="FW260" s="324"/>
      <c r="FX260" s="324"/>
      <c r="FY260" s="324"/>
      <c r="FZ260" s="324"/>
      <c r="GA260" s="324"/>
      <c r="GB260" s="324"/>
      <c r="GC260" s="324"/>
      <c r="GD260" s="324"/>
      <c r="GE260" s="324"/>
      <c r="GF260" s="324"/>
      <c r="GG260" s="324"/>
      <c r="GH260" s="324"/>
      <c r="GI260" s="324"/>
      <c r="GJ260" s="324"/>
      <c r="GK260" s="324"/>
      <c r="GL260" s="324"/>
      <c r="GM260" s="324"/>
      <c r="GN260" s="324"/>
      <c r="GO260" s="324"/>
      <c r="GP260" s="324"/>
      <c r="GQ260" s="324"/>
      <c r="GR260" s="324"/>
      <c r="GS260" s="324"/>
      <c r="GT260" s="324"/>
      <c r="GU260" s="324"/>
      <c r="GV260" s="324"/>
      <c r="GW260" s="324"/>
      <c r="GX260" s="324"/>
      <c r="GY260" s="324"/>
      <c r="GZ260" s="324"/>
      <c r="HA260" s="324"/>
      <c r="HB260" s="324"/>
      <c r="HC260" s="324"/>
      <c r="HD260" s="324"/>
      <c r="HE260" s="324"/>
      <c r="HF260" s="324"/>
      <c r="HG260" s="324"/>
      <c r="HH260" s="324"/>
      <c r="HI260" s="324"/>
      <c r="HJ260" s="324"/>
      <c r="HK260" s="324"/>
      <c r="HL260" s="324"/>
      <c r="HM260" s="324"/>
      <c r="HN260" s="324"/>
      <c r="HO260" s="324"/>
      <c r="HP260" s="324"/>
      <c r="HQ260" s="324"/>
      <c r="HR260" s="324"/>
      <c r="HS260" s="324"/>
      <c r="HT260" s="324"/>
      <c r="HU260" s="324"/>
      <c r="HV260" s="324"/>
      <c r="HW260" s="324"/>
      <c r="HX260" s="324"/>
      <c r="HY260" s="324"/>
      <c r="HZ260" s="324"/>
      <c r="IA260" s="324"/>
      <c r="IB260" s="324"/>
      <c r="IC260" s="324"/>
      <c r="ID260" s="324"/>
      <c r="IE260" s="324"/>
      <c r="IF260" s="324"/>
      <c r="IG260" s="324"/>
      <c r="IH260" s="324"/>
      <c r="II260" s="324"/>
      <c r="IJ260" s="324"/>
      <c r="IK260" s="324"/>
      <c r="IL260" s="324"/>
      <c r="IM260" s="324"/>
    </row>
    <row r="261" spans="1:247" x14ac:dyDescent="0.35">
      <c r="A261" s="356">
        <v>8921</v>
      </c>
      <c r="B261" s="357" t="s">
        <v>267</v>
      </c>
      <c r="C261" s="172" t="s">
        <v>10</v>
      </c>
      <c r="D261" s="358" t="s">
        <v>2051</v>
      </c>
      <c r="E261" s="336"/>
      <c r="F261" s="331">
        <f t="shared" si="57"/>
        <v>1.0209999999999999</v>
      </c>
      <c r="G261" s="337">
        <f>+$G$3</f>
        <v>1.0269999999999999</v>
      </c>
      <c r="H261" s="336"/>
      <c r="I261" s="338"/>
      <c r="J261" s="338"/>
      <c r="K261" s="338"/>
      <c r="L261" s="338"/>
      <c r="M261" s="338"/>
      <c r="N261" s="337"/>
      <c r="O261" s="339"/>
      <c r="P261" s="336">
        <f>+$P$3</f>
        <v>1.032</v>
      </c>
      <c r="Q261" s="337">
        <f>+$Q$3</f>
        <v>1.0349999999999999</v>
      </c>
      <c r="R261" s="340">
        <f t="shared" si="58"/>
        <v>1.1199953840399997</v>
      </c>
      <c r="S261" s="324"/>
      <c r="T261" s="324"/>
      <c r="U261" s="324"/>
      <c r="V261" s="324"/>
      <c r="W261" s="324"/>
      <c r="X261" s="324"/>
      <c r="Y261" s="324"/>
      <c r="Z261" s="324"/>
      <c r="AA261" s="324"/>
      <c r="AB261" s="324"/>
      <c r="AC261" s="324"/>
      <c r="AD261" s="324"/>
      <c r="AE261" s="324"/>
      <c r="AF261" s="324"/>
      <c r="AG261" s="324"/>
      <c r="AH261" s="324"/>
      <c r="AI261" s="324"/>
      <c r="AJ261" s="324"/>
      <c r="AK261" s="324"/>
      <c r="AL261" s="324"/>
      <c r="AM261" s="324"/>
      <c r="AN261" s="324"/>
      <c r="AO261" s="324"/>
      <c r="AP261" s="324"/>
      <c r="AQ261" s="324"/>
      <c r="AR261" s="324"/>
      <c r="AS261" s="324"/>
      <c r="AT261" s="324"/>
      <c r="AU261" s="324"/>
      <c r="AV261" s="324"/>
      <c r="AW261" s="324"/>
      <c r="AX261" s="324"/>
      <c r="AY261" s="324"/>
      <c r="AZ261" s="324"/>
      <c r="BA261" s="324"/>
      <c r="BB261" s="324"/>
      <c r="BC261" s="324"/>
      <c r="BD261" s="324"/>
      <c r="BE261" s="324"/>
      <c r="BF261" s="324"/>
      <c r="BG261" s="324"/>
      <c r="BH261" s="324"/>
      <c r="BI261" s="324"/>
      <c r="BJ261" s="324"/>
      <c r="BK261" s="324"/>
      <c r="BL261" s="324"/>
      <c r="BM261" s="324"/>
      <c r="BN261" s="324"/>
      <c r="BO261" s="324"/>
      <c r="BP261" s="324"/>
      <c r="BQ261" s="324"/>
      <c r="BR261" s="324"/>
      <c r="BS261" s="324"/>
      <c r="BT261" s="324"/>
      <c r="BU261" s="324"/>
      <c r="BV261" s="324"/>
      <c r="BW261" s="324"/>
      <c r="BX261" s="324"/>
      <c r="BY261" s="324"/>
      <c r="BZ261" s="324"/>
      <c r="CA261" s="324"/>
      <c r="CB261" s="324"/>
      <c r="CC261" s="324"/>
      <c r="CD261" s="324"/>
      <c r="CE261" s="324"/>
      <c r="CF261" s="324"/>
      <c r="CG261" s="324"/>
      <c r="CH261" s="324"/>
      <c r="CI261" s="324"/>
      <c r="CJ261" s="324"/>
      <c r="CK261" s="324"/>
      <c r="CL261" s="324"/>
      <c r="CM261" s="324"/>
      <c r="CN261" s="324"/>
      <c r="CO261" s="324"/>
      <c r="CP261" s="324"/>
      <c r="CQ261" s="324"/>
      <c r="CR261" s="324"/>
      <c r="CS261" s="324"/>
      <c r="CT261" s="324"/>
      <c r="CU261" s="324"/>
      <c r="CV261" s="324"/>
      <c r="CW261" s="324"/>
      <c r="CX261" s="324"/>
      <c r="CY261" s="324"/>
      <c r="CZ261" s="324"/>
      <c r="DA261" s="324"/>
      <c r="DB261" s="324"/>
      <c r="DC261" s="324"/>
      <c r="DD261" s="324"/>
      <c r="DE261" s="324"/>
      <c r="DF261" s="324"/>
      <c r="DG261" s="324"/>
      <c r="DH261" s="324"/>
      <c r="DI261" s="324"/>
      <c r="DJ261" s="324"/>
      <c r="DK261" s="324"/>
      <c r="DL261" s="324"/>
      <c r="DM261" s="324"/>
      <c r="DN261" s="324"/>
      <c r="DO261" s="324"/>
      <c r="DP261" s="324"/>
      <c r="DQ261" s="324"/>
      <c r="DR261" s="324"/>
      <c r="DS261" s="324"/>
      <c r="DT261" s="324"/>
      <c r="DU261" s="324"/>
      <c r="DV261" s="324"/>
      <c r="DW261" s="324"/>
      <c r="DX261" s="324"/>
      <c r="DY261" s="324"/>
      <c r="DZ261" s="324"/>
      <c r="EA261" s="324"/>
      <c r="EB261" s="324"/>
      <c r="EC261" s="324"/>
      <c r="ED261" s="324"/>
      <c r="EE261" s="324"/>
      <c r="EF261" s="324"/>
      <c r="EG261" s="324"/>
      <c r="EH261" s="324"/>
      <c r="EI261" s="324"/>
      <c r="EJ261" s="324"/>
      <c r="EK261" s="324"/>
      <c r="EL261" s="324"/>
      <c r="EM261" s="324"/>
      <c r="EN261" s="324"/>
      <c r="EO261" s="324"/>
      <c r="EP261" s="324"/>
      <c r="EQ261" s="324"/>
      <c r="ER261" s="324"/>
      <c r="ES261" s="324"/>
      <c r="ET261" s="324"/>
      <c r="EU261" s="324"/>
      <c r="EV261" s="324"/>
      <c r="EW261" s="324"/>
      <c r="EX261" s="324"/>
      <c r="EY261" s="324"/>
      <c r="EZ261" s="324"/>
      <c r="FA261" s="324"/>
      <c r="FB261" s="324"/>
      <c r="FC261" s="324"/>
      <c r="FD261" s="324"/>
      <c r="FE261" s="324"/>
      <c r="FF261" s="324"/>
      <c r="FG261" s="324"/>
      <c r="FH261" s="324"/>
      <c r="FI261" s="324"/>
      <c r="FJ261" s="324"/>
      <c r="FK261" s="324"/>
      <c r="FL261" s="324"/>
      <c r="FM261" s="324"/>
      <c r="FN261" s="324"/>
      <c r="FO261" s="324"/>
      <c r="FP261" s="324"/>
      <c r="FQ261" s="324"/>
      <c r="FR261" s="324"/>
      <c r="FS261" s="324"/>
      <c r="FT261" s="324"/>
      <c r="FU261" s="324"/>
      <c r="FV261" s="324"/>
      <c r="FW261" s="324"/>
      <c r="FX261" s="324"/>
      <c r="FY261" s="324"/>
      <c r="FZ261" s="324"/>
      <c r="GA261" s="324"/>
      <c r="GB261" s="324"/>
      <c r="GC261" s="324"/>
      <c r="GD261" s="324"/>
      <c r="GE261" s="324"/>
      <c r="GF261" s="324"/>
      <c r="GG261" s="324"/>
      <c r="GH261" s="324"/>
      <c r="GI261" s="324"/>
      <c r="GJ261" s="324"/>
      <c r="GK261" s="324"/>
      <c r="GL261" s="324"/>
      <c r="GM261" s="324"/>
      <c r="GN261" s="324"/>
      <c r="GO261" s="324"/>
      <c r="GP261" s="324"/>
      <c r="GQ261" s="324"/>
      <c r="GR261" s="324"/>
      <c r="GS261" s="324"/>
      <c r="GT261" s="324"/>
      <c r="GU261" s="324"/>
      <c r="GV261" s="324"/>
      <c r="GW261" s="324"/>
      <c r="GX261" s="324"/>
      <c r="GY261" s="324"/>
      <c r="GZ261" s="324"/>
      <c r="HA261" s="324"/>
      <c r="HB261" s="324"/>
      <c r="HC261" s="324"/>
      <c r="HD261" s="324"/>
      <c r="HE261" s="324"/>
      <c r="HF261" s="324"/>
      <c r="HG261" s="324"/>
      <c r="HH261" s="324"/>
      <c r="HI261" s="324"/>
      <c r="HJ261" s="324"/>
      <c r="HK261" s="324"/>
      <c r="HL261" s="324"/>
      <c r="HM261" s="324"/>
      <c r="HN261" s="324"/>
      <c r="HO261" s="324"/>
      <c r="HP261" s="324"/>
      <c r="HQ261" s="324"/>
      <c r="HR261" s="324"/>
      <c r="HS261" s="324"/>
      <c r="HT261" s="324"/>
      <c r="HU261" s="324"/>
      <c r="HV261" s="324"/>
      <c r="HW261" s="324"/>
      <c r="HX261" s="324"/>
      <c r="HY261" s="324"/>
      <c r="HZ261" s="324"/>
      <c r="IA261" s="324"/>
      <c r="IB261" s="324"/>
      <c r="IC261" s="324"/>
      <c r="ID261" s="324"/>
      <c r="IE261" s="324"/>
      <c r="IF261" s="324"/>
      <c r="IG261" s="324"/>
      <c r="IH261" s="324"/>
      <c r="II261" s="324"/>
      <c r="IJ261" s="324"/>
      <c r="IK261" s="324"/>
      <c r="IL261" s="324"/>
      <c r="IM261" s="324"/>
    </row>
    <row r="262" spans="1:247" x14ac:dyDescent="0.35">
      <c r="A262" s="356">
        <v>8922</v>
      </c>
      <c r="B262" s="357" t="s">
        <v>268</v>
      </c>
      <c r="C262" s="172" t="s">
        <v>10</v>
      </c>
      <c r="D262" s="358" t="s">
        <v>2051</v>
      </c>
      <c r="E262" s="336"/>
      <c r="F262" s="331">
        <f t="shared" si="57"/>
        <v>1.0209999999999999</v>
      </c>
      <c r="G262" s="337"/>
      <c r="H262" s="336"/>
      <c r="I262" s="338"/>
      <c r="J262" s="338"/>
      <c r="K262" s="338"/>
      <c r="L262" s="338"/>
      <c r="M262" s="338"/>
      <c r="N262" s="337"/>
      <c r="O262" s="339"/>
      <c r="P262" s="336"/>
      <c r="Q262" s="337"/>
      <c r="R262" s="340">
        <f t="shared" si="58"/>
        <v>1.0209999999999999</v>
      </c>
      <c r="S262" s="324"/>
      <c r="T262" s="324"/>
      <c r="U262" s="324"/>
      <c r="V262" s="324"/>
      <c r="W262" s="324"/>
      <c r="X262" s="324"/>
      <c r="Y262" s="324"/>
      <c r="Z262" s="324"/>
      <c r="AA262" s="324"/>
      <c r="AB262" s="324"/>
      <c r="AC262" s="324"/>
      <c r="AD262" s="324"/>
      <c r="AE262" s="324"/>
      <c r="AF262" s="324"/>
      <c r="AG262" s="324"/>
      <c r="AH262" s="324"/>
      <c r="AI262" s="324"/>
      <c r="AJ262" s="324"/>
      <c r="AK262" s="324"/>
      <c r="AL262" s="324"/>
      <c r="AM262" s="324"/>
      <c r="AN262" s="324"/>
      <c r="AO262" s="324"/>
      <c r="AP262" s="324"/>
      <c r="AQ262" s="324"/>
      <c r="AR262" s="324"/>
      <c r="AS262" s="324"/>
      <c r="AT262" s="324"/>
      <c r="AU262" s="324"/>
      <c r="AV262" s="324"/>
      <c r="AW262" s="324"/>
      <c r="AX262" s="324"/>
      <c r="AY262" s="324"/>
      <c r="AZ262" s="324"/>
      <c r="BA262" s="324"/>
      <c r="BB262" s="324"/>
      <c r="BC262" s="324"/>
      <c r="BD262" s="324"/>
      <c r="BE262" s="324"/>
      <c r="BF262" s="324"/>
      <c r="BG262" s="324"/>
      <c r="BH262" s="324"/>
      <c r="BI262" s="324"/>
      <c r="BJ262" s="324"/>
      <c r="BK262" s="324"/>
      <c r="BL262" s="324"/>
      <c r="BM262" s="324"/>
      <c r="BN262" s="324"/>
      <c r="BO262" s="324"/>
      <c r="BP262" s="324"/>
      <c r="BQ262" s="324"/>
      <c r="BR262" s="324"/>
      <c r="BS262" s="324"/>
      <c r="BT262" s="324"/>
      <c r="BU262" s="324"/>
      <c r="BV262" s="324"/>
      <c r="BW262" s="324"/>
      <c r="BX262" s="324"/>
      <c r="BY262" s="324"/>
      <c r="BZ262" s="324"/>
      <c r="CA262" s="324"/>
      <c r="CB262" s="324"/>
      <c r="CC262" s="324"/>
      <c r="CD262" s="324"/>
      <c r="CE262" s="324"/>
      <c r="CF262" s="324"/>
      <c r="CG262" s="324"/>
      <c r="CH262" s="324"/>
      <c r="CI262" s="324"/>
      <c r="CJ262" s="324"/>
      <c r="CK262" s="324"/>
      <c r="CL262" s="324"/>
      <c r="CM262" s="324"/>
      <c r="CN262" s="324"/>
      <c r="CO262" s="324"/>
      <c r="CP262" s="324"/>
      <c r="CQ262" s="324"/>
      <c r="CR262" s="324"/>
      <c r="CS262" s="324"/>
      <c r="CT262" s="324"/>
      <c r="CU262" s="324"/>
      <c r="CV262" s="324"/>
      <c r="CW262" s="324"/>
      <c r="CX262" s="324"/>
      <c r="CY262" s="324"/>
      <c r="CZ262" s="324"/>
      <c r="DA262" s="324"/>
      <c r="DB262" s="324"/>
      <c r="DC262" s="324"/>
      <c r="DD262" s="324"/>
      <c r="DE262" s="324"/>
      <c r="DF262" s="324"/>
      <c r="DG262" s="324"/>
      <c r="DH262" s="324"/>
      <c r="DI262" s="324"/>
      <c r="DJ262" s="324"/>
      <c r="DK262" s="324"/>
      <c r="DL262" s="324"/>
      <c r="DM262" s="324"/>
      <c r="DN262" s="324"/>
      <c r="DO262" s="324"/>
      <c r="DP262" s="324"/>
      <c r="DQ262" s="324"/>
      <c r="DR262" s="324"/>
      <c r="DS262" s="324"/>
      <c r="DT262" s="324"/>
      <c r="DU262" s="324"/>
      <c r="DV262" s="324"/>
      <c r="DW262" s="324"/>
      <c r="DX262" s="324"/>
      <c r="DY262" s="324"/>
      <c r="DZ262" s="324"/>
      <c r="EA262" s="324"/>
      <c r="EB262" s="324"/>
      <c r="EC262" s="324"/>
      <c r="ED262" s="324"/>
      <c r="EE262" s="324"/>
      <c r="EF262" s="324"/>
      <c r="EG262" s="324"/>
      <c r="EH262" s="324"/>
      <c r="EI262" s="324"/>
      <c r="EJ262" s="324"/>
      <c r="EK262" s="324"/>
      <c r="EL262" s="324"/>
      <c r="EM262" s="324"/>
      <c r="EN262" s="324"/>
      <c r="EO262" s="324"/>
      <c r="EP262" s="324"/>
      <c r="EQ262" s="324"/>
      <c r="ER262" s="324"/>
      <c r="ES262" s="324"/>
      <c r="ET262" s="324"/>
      <c r="EU262" s="324"/>
      <c r="EV262" s="324"/>
      <c r="EW262" s="324"/>
      <c r="EX262" s="324"/>
      <c r="EY262" s="324"/>
      <c r="EZ262" s="324"/>
      <c r="FA262" s="324"/>
      <c r="FB262" s="324"/>
      <c r="FC262" s="324"/>
      <c r="FD262" s="324"/>
      <c r="FE262" s="324"/>
      <c r="FF262" s="324"/>
      <c r="FG262" s="324"/>
      <c r="FH262" s="324"/>
      <c r="FI262" s="324"/>
      <c r="FJ262" s="324"/>
      <c r="FK262" s="324"/>
      <c r="FL262" s="324"/>
      <c r="FM262" s="324"/>
      <c r="FN262" s="324"/>
      <c r="FO262" s="324"/>
      <c r="FP262" s="324"/>
      <c r="FQ262" s="324"/>
      <c r="FR262" s="324"/>
      <c r="FS262" s="324"/>
      <c r="FT262" s="324"/>
      <c r="FU262" s="324"/>
      <c r="FV262" s="324"/>
      <c r="FW262" s="324"/>
      <c r="FX262" s="324"/>
      <c r="FY262" s="324"/>
      <c r="FZ262" s="324"/>
      <c r="GA262" s="324"/>
      <c r="GB262" s="324"/>
      <c r="GC262" s="324"/>
      <c r="GD262" s="324"/>
      <c r="GE262" s="324"/>
      <c r="GF262" s="324"/>
      <c r="GG262" s="324"/>
      <c r="GH262" s="324"/>
      <c r="GI262" s="324"/>
      <c r="GJ262" s="324"/>
      <c r="GK262" s="324"/>
      <c r="GL262" s="324"/>
      <c r="GM262" s="324"/>
      <c r="GN262" s="324"/>
      <c r="GO262" s="324"/>
      <c r="GP262" s="324"/>
      <c r="GQ262" s="324"/>
      <c r="GR262" s="324"/>
      <c r="GS262" s="324"/>
      <c r="GT262" s="324"/>
      <c r="GU262" s="324"/>
      <c r="GV262" s="324"/>
      <c r="GW262" s="324"/>
      <c r="GX262" s="324"/>
      <c r="GY262" s="324"/>
      <c r="GZ262" s="324"/>
      <c r="HA262" s="324"/>
      <c r="HB262" s="324"/>
      <c r="HC262" s="324"/>
      <c r="HD262" s="324"/>
      <c r="HE262" s="324"/>
      <c r="HF262" s="324"/>
      <c r="HG262" s="324"/>
      <c r="HH262" s="324"/>
      <c r="HI262" s="324"/>
      <c r="HJ262" s="324"/>
      <c r="HK262" s="324"/>
      <c r="HL262" s="324"/>
      <c r="HM262" s="324"/>
      <c r="HN262" s="324"/>
      <c r="HO262" s="324"/>
      <c r="HP262" s="324"/>
      <c r="HQ262" s="324"/>
      <c r="HR262" s="324"/>
      <c r="HS262" s="324"/>
      <c r="HT262" s="324"/>
      <c r="HU262" s="324"/>
      <c r="HV262" s="324"/>
      <c r="HW262" s="324"/>
      <c r="HX262" s="324"/>
      <c r="HY262" s="324"/>
      <c r="HZ262" s="324"/>
      <c r="IA262" s="324"/>
      <c r="IB262" s="324"/>
      <c r="IC262" s="324"/>
      <c r="ID262" s="324"/>
      <c r="IE262" s="324"/>
      <c r="IF262" s="324"/>
      <c r="IG262" s="324"/>
      <c r="IH262" s="324"/>
      <c r="II262" s="324"/>
      <c r="IJ262" s="324"/>
      <c r="IK262" s="324"/>
      <c r="IL262" s="324"/>
      <c r="IM262" s="324"/>
    </row>
    <row r="263" spans="1:247" x14ac:dyDescent="0.35">
      <c r="A263" s="356">
        <v>8923</v>
      </c>
      <c r="B263" s="357" t="s">
        <v>269</v>
      </c>
      <c r="C263" s="172" t="s">
        <v>10</v>
      </c>
      <c r="D263" s="358" t="s">
        <v>2051</v>
      </c>
      <c r="E263" s="336"/>
      <c r="F263" s="331">
        <f t="shared" si="57"/>
        <v>1.0209999999999999</v>
      </c>
      <c r="G263" s="337"/>
      <c r="H263" s="336"/>
      <c r="I263" s="338"/>
      <c r="J263" s="338"/>
      <c r="K263" s="338"/>
      <c r="L263" s="338"/>
      <c r="M263" s="338"/>
      <c r="N263" s="337">
        <f>+$N$3</f>
        <v>1.0029999999999999</v>
      </c>
      <c r="O263" s="339"/>
      <c r="P263" s="336"/>
      <c r="Q263" s="337"/>
      <c r="R263" s="340">
        <f t="shared" si="58"/>
        <v>1.0240629999999997</v>
      </c>
      <c r="S263" s="324"/>
      <c r="T263" s="324"/>
      <c r="U263" s="324"/>
      <c r="V263" s="324"/>
      <c r="W263" s="324"/>
      <c r="X263" s="324"/>
      <c r="Y263" s="324"/>
      <c r="Z263" s="324"/>
      <c r="AA263" s="324"/>
      <c r="AB263" s="324"/>
      <c r="AC263" s="324"/>
      <c r="AD263" s="324"/>
      <c r="AE263" s="324"/>
      <c r="AF263" s="324"/>
      <c r="AG263" s="324"/>
      <c r="AH263" s="324"/>
      <c r="AI263" s="324"/>
      <c r="AJ263" s="324"/>
      <c r="AK263" s="324"/>
      <c r="AL263" s="324"/>
      <c r="AM263" s="324"/>
      <c r="AN263" s="324"/>
      <c r="AO263" s="324"/>
      <c r="AP263" s="324"/>
      <c r="AQ263" s="324"/>
      <c r="AR263" s="324"/>
      <c r="AS263" s="324"/>
      <c r="AT263" s="324"/>
      <c r="AU263" s="324"/>
      <c r="AV263" s="324"/>
      <c r="AW263" s="324"/>
      <c r="AX263" s="324"/>
      <c r="AY263" s="324"/>
      <c r="AZ263" s="324"/>
      <c r="BA263" s="324"/>
      <c r="BB263" s="324"/>
      <c r="BC263" s="324"/>
      <c r="BD263" s="324"/>
      <c r="BE263" s="324"/>
      <c r="BF263" s="324"/>
      <c r="BG263" s="324"/>
      <c r="BH263" s="324"/>
      <c r="BI263" s="324"/>
      <c r="BJ263" s="324"/>
      <c r="BK263" s="324"/>
      <c r="BL263" s="324"/>
      <c r="BM263" s="324"/>
      <c r="BN263" s="324"/>
      <c r="BO263" s="324"/>
      <c r="BP263" s="324"/>
      <c r="BQ263" s="324"/>
      <c r="BR263" s="324"/>
      <c r="BS263" s="324"/>
      <c r="BT263" s="324"/>
      <c r="BU263" s="324"/>
      <c r="BV263" s="324"/>
      <c r="BW263" s="324"/>
      <c r="BX263" s="324"/>
      <c r="BY263" s="324"/>
      <c r="BZ263" s="324"/>
      <c r="CA263" s="324"/>
      <c r="CB263" s="324"/>
      <c r="CC263" s="324"/>
      <c r="CD263" s="324"/>
      <c r="CE263" s="324"/>
      <c r="CF263" s="324"/>
      <c r="CG263" s="324"/>
      <c r="CH263" s="324"/>
      <c r="CI263" s="324"/>
      <c r="CJ263" s="324"/>
      <c r="CK263" s="324"/>
      <c r="CL263" s="324"/>
      <c r="CM263" s="324"/>
      <c r="CN263" s="324"/>
      <c r="CO263" s="324"/>
      <c r="CP263" s="324"/>
      <c r="CQ263" s="324"/>
      <c r="CR263" s="324"/>
      <c r="CS263" s="324"/>
      <c r="CT263" s="324"/>
      <c r="CU263" s="324"/>
      <c r="CV263" s="324"/>
      <c r="CW263" s="324"/>
      <c r="CX263" s="324"/>
      <c r="CY263" s="324"/>
      <c r="CZ263" s="324"/>
      <c r="DA263" s="324"/>
      <c r="DB263" s="324"/>
      <c r="DC263" s="324"/>
      <c r="DD263" s="324"/>
      <c r="DE263" s="324"/>
      <c r="DF263" s="324"/>
      <c r="DG263" s="324"/>
      <c r="DH263" s="324"/>
      <c r="DI263" s="324"/>
      <c r="DJ263" s="324"/>
      <c r="DK263" s="324"/>
      <c r="DL263" s="324"/>
      <c r="DM263" s="324"/>
      <c r="DN263" s="324"/>
      <c r="DO263" s="324"/>
      <c r="DP263" s="324"/>
      <c r="DQ263" s="324"/>
      <c r="DR263" s="324"/>
      <c r="DS263" s="324"/>
      <c r="DT263" s="324"/>
      <c r="DU263" s="324"/>
      <c r="DV263" s="324"/>
      <c r="DW263" s="324"/>
      <c r="DX263" s="324"/>
      <c r="DY263" s="324"/>
      <c r="DZ263" s="324"/>
      <c r="EA263" s="324"/>
      <c r="EB263" s="324"/>
      <c r="EC263" s="324"/>
      <c r="ED263" s="324"/>
      <c r="EE263" s="324"/>
      <c r="EF263" s="324"/>
      <c r="EG263" s="324"/>
      <c r="EH263" s="324"/>
      <c r="EI263" s="324"/>
      <c r="EJ263" s="324"/>
      <c r="EK263" s="324"/>
      <c r="EL263" s="324"/>
      <c r="EM263" s="324"/>
      <c r="EN263" s="324"/>
      <c r="EO263" s="324"/>
      <c r="EP263" s="324"/>
      <c r="EQ263" s="324"/>
      <c r="ER263" s="324"/>
      <c r="ES263" s="324"/>
      <c r="ET263" s="324"/>
      <c r="EU263" s="324"/>
      <c r="EV263" s="324"/>
      <c r="EW263" s="324"/>
      <c r="EX263" s="324"/>
      <c r="EY263" s="324"/>
      <c r="EZ263" s="324"/>
      <c r="FA263" s="324"/>
      <c r="FB263" s="324"/>
      <c r="FC263" s="324"/>
      <c r="FD263" s="324"/>
      <c r="FE263" s="324"/>
      <c r="FF263" s="324"/>
      <c r="FG263" s="324"/>
      <c r="FH263" s="324"/>
      <c r="FI263" s="324"/>
      <c r="FJ263" s="324"/>
      <c r="FK263" s="324"/>
      <c r="FL263" s="324"/>
      <c r="FM263" s="324"/>
      <c r="FN263" s="324"/>
      <c r="FO263" s="324"/>
      <c r="FP263" s="324"/>
      <c r="FQ263" s="324"/>
      <c r="FR263" s="324"/>
      <c r="FS263" s="324"/>
      <c r="FT263" s="324"/>
      <c r="FU263" s="324"/>
      <c r="FV263" s="324"/>
      <c r="FW263" s="324"/>
      <c r="FX263" s="324"/>
      <c r="FY263" s="324"/>
      <c r="FZ263" s="324"/>
      <c r="GA263" s="324"/>
      <c r="GB263" s="324"/>
      <c r="GC263" s="324"/>
      <c r="GD263" s="324"/>
      <c r="GE263" s="324"/>
      <c r="GF263" s="324"/>
      <c r="GG263" s="324"/>
      <c r="GH263" s="324"/>
      <c r="GI263" s="324"/>
      <c r="GJ263" s="324"/>
      <c r="GK263" s="324"/>
      <c r="GL263" s="324"/>
      <c r="GM263" s="324"/>
      <c r="GN263" s="324"/>
      <c r="GO263" s="324"/>
      <c r="GP263" s="324"/>
      <c r="GQ263" s="324"/>
      <c r="GR263" s="324"/>
      <c r="GS263" s="324"/>
      <c r="GT263" s="324"/>
      <c r="GU263" s="324"/>
      <c r="GV263" s="324"/>
      <c r="GW263" s="324"/>
      <c r="GX263" s="324"/>
      <c r="GY263" s="324"/>
      <c r="GZ263" s="324"/>
      <c r="HA263" s="324"/>
      <c r="HB263" s="324"/>
      <c r="HC263" s="324"/>
      <c r="HD263" s="324"/>
      <c r="HE263" s="324"/>
      <c r="HF263" s="324"/>
      <c r="HG263" s="324"/>
      <c r="HH263" s="324"/>
      <c r="HI263" s="324"/>
      <c r="HJ263" s="324"/>
      <c r="HK263" s="324"/>
      <c r="HL263" s="324"/>
      <c r="HM263" s="324"/>
      <c r="HN263" s="324"/>
      <c r="HO263" s="324"/>
      <c r="HP263" s="324"/>
      <c r="HQ263" s="324"/>
      <c r="HR263" s="324"/>
      <c r="HS263" s="324"/>
      <c r="HT263" s="324"/>
      <c r="HU263" s="324"/>
      <c r="HV263" s="324"/>
      <c r="HW263" s="324"/>
      <c r="HX263" s="324"/>
      <c r="HY263" s="324"/>
      <c r="HZ263" s="324"/>
      <c r="IA263" s="324"/>
      <c r="IB263" s="324"/>
      <c r="IC263" s="324"/>
      <c r="ID263" s="324"/>
      <c r="IE263" s="324"/>
      <c r="IF263" s="324"/>
      <c r="IG263" s="324"/>
      <c r="IH263" s="324"/>
      <c r="II263" s="324"/>
      <c r="IJ263" s="324"/>
      <c r="IK263" s="324"/>
      <c r="IL263" s="324"/>
      <c r="IM263" s="324"/>
    </row>
    <row r="264" spans="1:247" x14ac:dyDescent="0.35">
      <c r="A264" s="356">
        <v>8924</v>
      </c>
      <c r="B264" s="357" t="s">
        <v>270</v>
      </c>
      <c r="C264" s="172" t="s">
        <v>10</v>
      </c>
      <c r="D264" s="358" t="s">
        <v>2051</v>
      </c>
      <c r="E264" s="336"/>
      <c r="F264" s="331">
        <f t="shared" si="57"/>
        <v>1.0209999999999999</v>
      </c>
      <c r="G264" s="337"/>
      <c r="H264" s="336"/>
      <c r="I264" s="338"/>
      <c r="J264" s="338"/>
      <c r="K264" s="338"/>
      <c r="L264" s="338"/>
      <c r="M264" s="338"/>
      <c r="N264" s="337">
        <f>+$N$3</f>
        <v>1.0029999999999999</v>
      </c>
      <c r="O264" s="339"/>
      <c r="P264" s="336"/>
      <c r="Q264" s="337"/>
      <c r="R264" s="340">
        <f t="shared" si="58"/>
        <v>1.0240629999999997</v>
      </c>
      <c r="S264" s="324"/>
      <c r="T264" s="324"/>
      <c r="U264" s="324"/>
      <c r="V264" s="324"/>
      <c r="W264" s="324"/>
      <c r="X264" s="324"/>
      <c r="Y264" s="324"/>
      <c r="Z264" s="324"/>
      <c r="AA264" s="324"/>
      <c r="AB264" s="324"/>
      <c r="AC264" s="324"/>
      <c r="AD264" s="324"/>
      <c r="AE264" s="324"/>
      <c r="AF264" s="324"/>
      <c r="AG264" s="324"/>
      <c r="AH264" s="324"/>
      <c r="AI264" s="324"/>
      <c r="AJ264" s="324"/>
      <c r="AK264" s="324"/>
      <c r="AL264" s="324"/>
      <c r="AM264" s="324"/>
      <c r="AN264" s="324"/>
      <c r="AO264" s="324"/>
      <c r="AP264" s="324"/>
      <c r="AQ264" s="324"/>
      <c r="AR264" s="324"/>
      <c r="AS264" s="324"/>
      <c r="AT264" s="324"/>
      <c r="AU264" s="324"/>
      <c r="AV264" s="324"/>
      <c r="AW264" s="324"/>
      <c r="AX264" s="324"/>
      <c r="AY264" s="324"/>
      <c r="AZ264" s="324"/>
      <c r="BA264" s="324"/>
      <c r="BB264" s="324"/>
      <c r="BC264" s="324"/>
      <c r="BD264" s="324"/>
      <c r="BE264" s="324"/>
      <c r="BF264" s="324"/>
      <c r="BG264" s="324"/>
      <c r="BH264" s="324"/>
      <c r="BI264" s="324"/>
      <c r="BJ264" s="324"/>
      <c r="BK264" s="324"/>
      <c r="BL264" s="324"/>
      <c r="BM264" s="324"/>
      <c r="BN264" s="324"/>
      <c r="BO264" s="324"/>
      <c r="BP264" s="324"/>
      <c r="BQ264" s="324"/>
      <c r="BR264" s="324"/>
      <c r="BS264" s="324"/>
      <c r="BT264" s="324"/>
      <c r="BU264" s="324"/>
      <c r="BV264" s="324"/>
      <c r="BW264" s="324"/>
      <c r="BX264" s="324"/>
      <c r="BY264" s="324"/>
      <c r="BZ264" s="324"/>
      <c r="CA264" s="324"/>
      <c r="CB264" s="324"/>
      <c r="CC264" s="324"/>
      <c r="CD264" s="324"/>
      <c r="CE264" s="324"/>
      <c r="CF264" s="324"/>
      <c r="CG264" s="324"/>
      <c r="CH264" s="324"/>
      <c r="CI264" s="324"/>
      <c r="CJ264" s="324"/>
      <c r="CK264" s="324"/>
      <c r="CL264" s="324"/>
      <c r="CM264" s="324"/>
      <c r="CN264" s="324"/>
      <c r="CO264" s="324"/>
      <c r="CP264" s="324"/>
      <c r="CQ264" s="324"/>
      <c r="CR264" s="324"/>
      <c r="CS264" s="324"/>
      <c r="CT264" s="324"/>
      <c r="CU264" s="324"/>
      <c r="CV264" s="324"/>
      <c r="CW264" s="324"/>
      <c r="CX264" s="324"/>
      <c r="CY264" s="324"/>
      <c r="CZ264" s="324"/>
      <c r="DA264" s="324"/>
      <c r="DB264" s="324"/>
      <c r="DC264" s="324"/>
      <c r="DD264" s="324"/>
      <c r="DE264" s="324"/>
      <c r="DF264" s="324"/>
      <c r="DG264" s="324"/>
      <c r="DH264" s="324"/>
      <c r="DI264" s="324"/>
      <c r="DJ264" s="324"/>
      <c r="DK264" s="324"/>
      <c r="DL264" s="324"/>
      <c r="DM264" s="324"/>
      <c r="DN264" s="324"/>
      <c r="DO264" s="324"/>
      <c r="DP264" s="324"/>
      <c r="DQ264" s="324"/>
      <c r="DR264" s="324"/>
      <c r="DS264" s="324"/>
      <c r="DT264" s="324"/>
      <c r="DU264" s="324"/>
      <c r="DV264" s="324"/>
      <c r="DW264" s="324"/>
      <c r="DX264" s="324"/>
      <c r="DY264" s="324"/>
      <c r="DZ264" s="324"/>
      <c r="EA264" s="324"/>
      <c r="EB264" s="324"/>
      <c r="EC264" s="324"/>
      <c r="ED264" s="324"/>
      <c r="EE264" s="324"/>
      <c r="EF264" s="324"/>
      <c r="EG264" s="324"/>
      <c r="EH264" s="324"/>
      <c r="EI264" s="324"/>
      <c r="EJ264" s="324"/>
      <c r="EK264" s="324"/>
      <c r="EL264" s="324"/>
      <c r="EM264" s="324"/>
      <c r="EN264" s="324"/>
      <c r="EO264" s="324"/>
      <c r="EP264" s="324"/>
      <c r="EQ264" s="324"/>
      <c r="ER264" s="324"/>
      <c r="ES264" s="324"/>
      <c r="ET264" s="324"/>
      <c r="EU264" s="324"/>
      <c r="EV264" s="324"/>
      <c r="EW264" s="324"/>
      <c r="EX264" s="324"/>
      <c r="EY264" s="324"/>
      <c r="EZ264" s="324"/>
      <c r="FA264" s="324"/>
      <c r="FB264" s="324"/>
      <c r="FC264" s="324"/>
      <c r="FD264" s="324"/>
      <c r="FE264" s="324"/>
      <c r="FF264" s="324"/>
      <c r="FG264" s="324"/>
      <c r="FH264" s="324"/>
      <c r="FI264" s="324"/>
      <c r="FJ264" s="324"/>
      <c r="FK264" s="324"/>
      <c r="FL264" s="324"/>
      <c r="FM264" s="324"/>
      <c r="FN264" s="324"/>
      <c r="FO264" s="324"/>
      <c r="FP264" s="324"/>
      <c r="FQ264" s="324"/>
      <c r="FR264" s="324"/>
      <c r="FS264" s="324"/>
      <c r="FT264" s="324"/>
      <c r="FU264" s="324"/>
      <c r="FV264" s="324"/>
      <c r="FW264" s="324"/>
      <c r="FX264" s="324"/>
      <c r="FY264" s="324"/>
      <c r="FZ264" s="324"/>
      <c r="GA264" s="324"/>
      <c r="GB264" s="324"/>
      <c r="GC264" s="324"/>
      <c r="GD264" s="324"/>
      <c r="GE264" s="324"/>
      <c r="GF264" s="324"/>
      <c r="GG264" s="324"/>
      <c r="GH264" s="324"/>
      <c r="GI264" s="324"/>
      <c r="GJ264" s="324"/>
      <c r="GK264" s="324"/>
      <c r="GL264" s="324"/>
      <c r="GM264" s="324"/>
      <c r="GN264" s="324"/>
      <c r="GO264" s="324"/>
      <c r="GP264" s="324"/>
      <c r="GQ264" s="324"/>
      <c r="GR264" s="324"/>
      <c r="GS264" s="324"/>
      <c r="GT264" s="324"/>
      <c r="GU264" s="324"/>
      <c r="GV264" s="324"/>
      <c r="GW264" s="324"/>
      <c r="GX264" s="324"/>
      <c r="GY264" s="324"/>
      <c r="GZ264" s="324"/>
      <c r="HA264" s="324"/>
      <c r="HB264" s="324"/>
      <c r="HC264" s="324"/>
      <c r="HD264" s="324"/>
      <c r="HE264" s="324"/>
      <c r="HF264" s="324"/>
      <c r="HG264" s="324"/>
      <c r="HH264" s="324"/>
      <c r="HI264" s="324"/>
      <c r="HJ264" s="324"/>
      <c r="HK264" s="324"/>
      <c r="HL264" s="324"/>
      <c r="HM264" s="324"/>
      <c r="HN264" s="324"/>
      <c r="HO264" s="324"/>
      <c r="HP264" s="324"/>
      <c r="HQ264" s="324"/>
      <c r="HR264" s="324"/>
      <c r="HS264" s="324"/>
      <c r="HT264" s="324"/>
      <c r="HU264" s="324"/>
      <c r="HV264" s="324"/>
      <c r="HW264" s="324"/>
      <c r="HX264" s="324"/>
      <c r="HY264" s="324"/>
      <c r="HZ264" s="324"/>
      <c r="IA264" s="324"/>
      <c r="IB264" s="324"/>
      <c r="IC264" s="324"/>
      <c r="ID264" s="324"/>
      <c r="IE264" s="324"/>
      <c r="IF264" s="324"/>
      <c r="IG264" s="324"/>
      <c r="IH264" s="324"/>
      <c r="II264" s="324"/>
      <c r="IJ264" s="324"/>
      <c r="IK264" s="324"/>
      <c r="IL264" s="324"/>
      <c r="IM264" s="324"/>
    </row>
    <row r="265" spans="1:247" x14ac:dyDescent="0.35">
      <c r="A265" s="356">
        <v>8926</v>
      </c>
      <c r="B265" s="357" t="s">
        <v>271</v>
      </c>
      <c r="C265" s="172" t="s">
        <v>10</v>
      </c>
      <c r="D265" s="358" t="s">
        <v>2051</v>
      </c>
      <c r="E265" s="336"/>
      <c r="F265" s="331">
        <f t="shared" si="57"/>
        <v>1.0209999999999999</v>
      </c>
      <c r="G265" s="337">
        <f>+$G$3</f>
        <v>1.0269999999999999</v>
      </c>
      <c r="H265" s="336"/>
      <c r="I265" s="338"/>
      <c r="J265" s="338"/>
      <c r="K265" s="338"/>
      <c r="L265" s="338"/>
      <c r="M265" s="338"/>
      <c r="N265" s="337">
        <f>+$N$3</f>
        <v>1.0029999999999999</v>
      </c>
      <c r="O265" s="339"/>
      <c r="P265" s="336"/>
      <c r="Q265" s="337"/>
      <c r="R265" s="340">
        <f t="shared" si="58"/>
        <v>1.0517127009999996</v>
      </c>
      <c r="S265" s="324"/>
      <c r="T265" s="324"/>
      <c r="U265" s="324"/>
      <c r="V265" s="324"/>
      <c r="W265" s="324"/>
      <c r="X265" s="324"/>
      <c r="Y265" s="324"/>
      <c r="Z265" s="324"/>
      <c r="AA265" s="324"/>
      <c r="AB265" s="324"/>
      <c r="AC265" s="324"/>
      <c r="AD265" s="324"/>
      <c r="AE265" s="324"/>
      <c r="AF265" s="324"/>
      <c r="AG265" s="324"/>
      <c r="AH265" s="324"/>
      <c r="AI265" s="324"/>
      <c r="AJ265" s="324"/>
      <c r="AK265" s="324"/>
      <c r="AL265" s="324"/>
      <c r="AM265" s="324"/>
      <c r="AN265" s="324"/>
      <c r="AO265" s="324"/>
      <c r="AP265" s="324"/>
      <c r="AQ265" s="324"/>
      <c r="AR265" s="324"/>
      <c r="AS265" s="324"/>
      <c r="AT265" s="324"/>
      <c r="AU265" s="324"/>
      <c r="AV265" s="324"/>
      <c r="AW265" s="324"/>
      <c r="AX265" s="324"/>
      <c r="AY265" s="324"/>
      <c r="AZ265" s="324"/>
      <c r="BA265" s="324"/>
      <c r="BB265" s="324"/>
      <c r="BC265" s="324"/>
      <c r="BD265" s="324"/>
      <c r="BE265" s="324"/>
      <c r="BF265" s="324"/>
      <c r="BG265" s="324"/>
      <c r="BH265" s="324"/>
      <c r="BI265" s="324"/>
      <c r="BJ265" s="324"/>
      <c r="BK265" s="324"/>
      <c r="BL265" s="324"/>
      <c r="BM265" s="324"/>
      <c r="BN265" s="324"/>
      <c r="BO265" s="324"/>
      <c r="BP265" s="324"/>
      <c r="BQ265" s="324"/>
      <c r="BR265" s="324"/>
      <c r="BS265" s="324"/>
      <c r="BT265" s="324"/>
      <c r="BU265" s="324"/>
      <c r="BV265" s="324"/>
      <c r="BW265" s="324"/>
      <c r="BX265" s="324"/>
      <c r="BY265" s="324"/>
      <c r="BZ265" s="324"/>
      <c r="CA265" s="324"/>
      <c r="CB265" s="324"/>
      <c r="CC265" s="324"/>
      <c r="CD265" s="324"/>
      <c r="CE265" s="324"/>
      <c r="CF265" s="324"/>
      <c r="CG265" s="324"/>
      <c r="CH265" s="324"/>
      <c r="CI265" s="324"/>
      <c r="CJ265" s="324"/>
      <c r="CK265" s="324"/>
      <c r="CL265" s="324"/>
      <c r="CM265" s="324"/>
      <c r="CN265" s="324"/>
      <c r="CO265" s="324"/>
      <c r="CP265" s="324"/>
      <c r="CQ265" s="324"/>
      <c r="CR265" s="324"/>
      <c r="CS265" s="324"/>
      <c r="CT265" s="324"/>
      <c r="CU265" s="324"/>
      <c r="CV265" s="324"/>
      <c r="CW265" s="324"/>
      <c r="CX265" s="324"/>
      <c r="CY265" s="324"/>
      <c r="CZ265" s="324"/>
      <c r="DA265" s="324"/>
      <c r="DB265" s="324"/>
      <c r="DC265" s="324"/>
      <c r="DD265" s="324"/>
      <c r="DE265" s="324"/>
      <c r="DF265" s="324"/>
      <c r="DG265" s="324"/>
      <c r="DH265" s="324"/>
      <c r="DI265" s="324"/>
      <c r="DJ265" s="324"/>
      <c r="DK265" s="324"/>
      <c r="DL265" s="324"/>
      <c r="DM265" s="324"/>
      <c r="DN265" s="324"/>
      <c r="DO265" s="324"/>
      <c r="DP265" s="324"/>
      <c r="DQ265" s="324"/>
      <c r="DR265" s="324"/>
      <c r="DS265" s="324"/>
      <c r="DT265" s="324"/>
      <c r="DU265" s="324"/>
      <c r="DV265" s="324"/>
      <c r="DW265" s="324"/>
      <c r="DX265" s="324"/>
      <c r="DY265" s="324"/>
      <c r="DZ265" s="324"/>
      <c r="EA265" s="324"/>
      <c r="EB265" s="324"/>
      <c r="EC265" s="324"/>
      <c r="ED265" s="324"/>
      <c r="EE265" s="324"/>
      <c r="EF265" s="324"/>
      <c r="EG265" s="324"/>
      <c r="EH265" s="324"/>
      <c r="EI265" s="324"/>
      <c r="EJ265" s="324"/>
      <c r="EK265" s="324"/>
      <c r="EL265" s="324"/>
      <c r="EM265" s="324"/>
      <c r="EN265" s="324"/>
      <c r="EO265" s="324"/>
      <c r="EP265" s="324"/>
      <c r="EQ265" s="324"/>
      <c r="ER265" s="324"/>
      <c r="ES265" s="324"/>
      <c r="ET265" s="324"/>
      <c r="EU265" s="324"/>
      <c r="EV265" s="324"/>
      <c r="EW265" s="324"/>
      <c r="EX265" s="324"/>
      <c r="EY265" s="324"/>
      <c r="EZ265" s="324"/>
      <c r="FA265" s="324"/>
      <c r="FB265" s="324"/>
      <c r="FC265" s="324"/>
      <c r="FD265" s="324"/>
      <c r="FE265" s="324"/>
      <c r="FF265" s="324"/>
      <c r="FG265" s="324"/>
      <c r="FH265" s="324"/>
      <c r="FI265" s="324"/>
      <c r="FJ265" s="324"/>
      <c r="FK265" s="324"/>
      <c r="FL265" s="324"/>
      <c r="FM265" s="324"/>
      <c r="FN265" s="324"/>
      <c r="FO265" s="324"/>
      <c r="FP265" s="324"/>
      <c r="FQ265" s="324"/>
      <c r="FR265" s="324"/>
      <c r="FS265" s="324"/>
      <c r="FT265" s="324"/>
      <c r="FU265" s="324"/>
      <c r="FV265" s="324"/>
      <c r="FW265" s="324"/>
      <c r="FX265" s="324"/>
      <c r="FY265" s="324"/>
      <c r="FZ265" s="324"/>
      <c r="GA265" s="324"/>
      <c r="GB265" s="324"/>
      <c r="GC265" s="324"/>
      <c r="GD265" s="324"/>
      <c r="GE265" s="324"/>
      <c r="GF265" s="324"/>
      <c r="GG265" s="324"/>
      <c r="GH265" s="324"/>
      <c r="GI265" s="324"/>
      <c r="GJ265" s="324"/>
      <c r="GK265" s="324"/>
      <c r="GL265" s="324"/>
      <c r="GM265" s="324"/>
      <c r="GN265" s="324"/>
      <c r="GO265" s="324"/>
      <c r="GP265" s="324"/>
      <c r="GQ265" s="324"/>
      <c r="GR265" s="324"/>
      <c r="GS265" s="324"/>
      <c r="GT265" s="324"/>
      <c r="GU265" s="324"/>
      <c r="GV265" s="324"/>
      <c r="GW265" s="324"/>
      <c r="GX265" s="324"/>
      <c r="GY265" s="324"/>
      <c r="GZ265" s="324"/>
      <c r="HA265" s="324"/>
      <c r="HB265" s="324"/>
      <c r="HC265" s="324"/>
      <c r="HD265" s="324"/>
      <c r="HE265" s="324"/>
      <c r="HF265" s="324"/>
      <c r="HG265" s="324"/>
      <c r="HH265" s="324"/>
      <c r="HI265" s="324"/>
      <c r="HJ265" s="324"/>
      <c r="HK265" s="324"/>
      <c r="HL265" s="324"/>
      <c r="HM265" s="324"/>
      <c r="HN265" s="324"/>
      <c r="HO265" s="324"/>
      <c r="HP265" s="324"/>
      <c r="HQ265" s="324"/>
      <c r="HR265" s="324"/>
      <c r="HS265" s="324"/>
      <c r="HT265" s="324"/>
      <c r="HU265" s="324"/>
      <c r="HV265" s="324"/>
      <c r="HW265" s="324"/>
      <c r="HX265" s="324"/>
      <c r="HY265" s="324"/>
      <c r="HZ265" s="324"/>
      <c r="IA265" s="324"/>
      <c r="IB265" s="324"/>
      <c r="IC265" s="324"/>
      <c r="ID265" s="324"/>
      <c r="IE265" s="324"/>
      <c r="IF265" s="324"/>
      <c r="IG265" s="324"/>
      <c r="IH265" s="324"/>
      <c r="II265" s="324"/>
      <c r="IJ265" s="324"/>
      <c r="IK265" s="324"/>
      <c r="IL265" s="324"/>
      <c r="IM265" s="324"/>
    </row>
    <row r="266" spans="1:247" x14ac:dyDescent="0.35">
      <c r="A266" s="356">
        <v>8927</v>
      </c>
      <c r="B266" s="357" t="s">
        <v>272</v>
      </c>
      <c r="C266" s="172" t="s">
        <v>10</v>
      </c>
      <c r="D266" s="358" t="s">
        <v>2051</v>
      </c>
      <c r="E266" s="336"/>
      <c r="F266" s="331">
        <f t="shared" si="57"/>
        <v>1.0209999999999999</v>
      </c>
      <c r="G266" s="337"/>
      <c r="H266" s="336"/>
      <c r="I266" s="338"/>
      <c r="J266" s="338"/>
      <c r="K266" s="338"/>
      <c r="L266" s="338"/>
      <c r="M266" s="338"/>
      <c r="N266" s="337"/>
      <c r="O266" s="339"/>
      <c r="P266" s="336"/>
      <c r="Q266" s="337"/>
      <c r="R266" s="340">
        <f t="shared" si="58"/>
        <v>1.0209999999999999</v>
      </c>
      <c r="S266" s="324"/>
      <c r="T266" s="324"/>
      <c r="U266" s="324"/>
      <c r="V266" s="324"/>
      <c r="W266" s="324"/>
      <c r="X266" s="324"/>
      <c r="Y266" s="324"/>
      <c r="Z266" s="324"/>
      <c r="AA266" s="324"/>
      <c r="AB266" s="324"/>
      <c r="AC266" s="324"/>
      <c r="AD266" s="324"/>
      <c r="AE266" s="324"/>
      <c r="AF266" s="324"/>
      <c r="AG266" s="324"/>
      <c r="AH266" s="324"/>
      <c r="AI266" s="324"/>
      <c r="AJ266" s="324"/>
      <c r="AK266" s="324"/>
      <c r="AL266" s="324"/>
      <c r="AM266" s="324"/>
      <c r="AN266" s="324"/>
      <c r="AO266" s="324"/>
      <c r="AP266" s="324"/>
      <c r="AQ266" s="324"/>
      <c r="AR266" s="324"/>
      <c r="AS266" s="324"/>
      <c r="AT266" s="324"/>
      <c r="AU266" s="324"/>
      <c r="AV266" s="324"/>
      <c r="AW266" s="324"/>
      <c r="AX266" s="324"/>
      <c r="AY266" s="324"/>
      <c r="AZ266" s="324"/>
      <c r="BA266" s="324"/>
      <c r="BB266" s="324"/>
      <c r="BC266" s="324"/>
      <c r="BD266" s="324"/>
      <c r="BE266" s="324"/>
      <c r="BF266" s="324"/>
      <c r="BG266" s="324"/>
      <c r="BH266" s="324"/>
      <c r="BI266" s="324"/>
      <c r="BJ266" s="324"/>
      <c r="BK266" s="324"/>
      <c r="BL266" s="324"/>
      <c r="BM266" s="324"/>
      <c r="BN266" s="324"/>
      <c r="BO266" s="324"/>
      <c r="BP266" s="324"/>
      <c r="BQ266" s="324"/>
      <c r="BR266" s="324"/>
      <c r="BS266" s="324"/>
      <c r="BT266" s="324"/>
      <c r="BU266" s="324"/>
      <c r="BV266" s="324"/>
      <c r="BW266" s="324"/>
      <c r="BX266" s="324"/>
      <c r="BY266" s="324"/>
      <c r="BZ266" s="324"/>
      <c r="CA266" s="324"/>
      <c r="CB266" s="324"/>
      <c r="CC266" s="324"/>
      <c r="CD266" s="324"/>
      <c r="CE266" s="324"/>
      <c r="CF266" s="324"/>
      <c r="CG266" s="324"/>
      <c r="CH266" s="324"/>
      <c r="CI266" s="324"/>
      <c r="CJ266" s="324"/>
      <c r="CK266" s="324"/>
      <c r="CL266" s="324"/>
      <c r="CM266" s="324"/>
      <c r="CN266" s="324"/>
      <c r="CO266" s="324"/>
      <c r="CP266" s="324"/>
      <c r="CQ266" s="324"/>
      <c r="CR266" s="324"/>
      <c r="CS266" s="324"/>
      <c r="CT266" s="324"/>
      <c r="CU266" s="324"/>
      <c r="CV266" s="324"/>
      <c r="CW266" s="324"/>
      <c r="CX266" s="324"/>
      <c r="CY266" s="324"/>
      <c r="CZ266" s="324"/>
      <c r="DA266" s="324"/>
      <c r="DB266" s="324"/>
      <c r="DC266" s="324"/>
      <c r="DD266" s="324"/>
      <c r="DE266" s="324"/>
      <c r="DF266" s="324"/>
      <c r="DG266" s="324"/>
      <c r="DH266" s="324"/>
      <c r="DI266" s="324"/>
      <c r="DJ266" s="324"/>
      <c r="DK266" s="324"/>
      <c r="DL266" s="324"/>
      <c r="DM266" s="324"/>
      <c r="DN266" s="324"/>
      <c r="DO266" s="324"/>
      <c r="DP266" s="324"/>
      <c r="DQ266" s="324"/>
      <c r="DR266" s="324"/>
      <c r="DS266" s="324"/>
      <c r="DT266" s="324"/>
      <c r="DU266" s="324"/>
      <c r="DV266" s="324"/>
      <c r="DW266" s="324"/>
      <c r="DX266" s="324"/>
      <c r="DY266" s="324"/>
      <c r="DZ266" s="324"/>
      <c r="EA266" s="324"/>
      <c r="EB266" s="324"/>
      <c r="EC266" s="324"/>
      <c r="ED266" s="324"/>
      <c r="EE266" s="324"/>
      <c r="EF266" s="324"/>
      <c r="EG266" s="324"/>
      <c r="EH266" s="324"/>
      <c r="EI266" s="324"/>
      <c r="EJ266" s="324"/>
      <c r="EK266" s="324"/>
      <c r="EL266" s="324"/>
      <c r="EM266" s="324"/>
      <c r="EN266" s="324"/>
      <c r="EO266" s="324"/>
      <c r="EP266" s="324"/>
      <c r="EQ266" s="324"/>
      <c r="ER266" s="324"/>
      <c r="ES266" s="324"/>
      <c r="ET266" s="324"/>
      <c r="EU266" s="324"/>
      <c r="EV266" s="324"/>
      <c r="EW266" s="324"/>
      <c r="EX266" s="324"/>
      <c r="EY266" s="324"/>
      <c r="EZ266" s="324"/>
      <c r="FA266" s="324"/>
      <c r="FB266" s="324"/>
      <c r="FC266" s="324"/>
      <c r="FD266" s="324"/>
      <c r="FE266" s="324"/>
      <c r="FF266" s="324"/>
      <c r="FG266" s="324"/>
      <c r="FH266" s="324"/>
      <c r="FI266" s="324"/>
      <c r="FJ266" s="324"/>
      <c r="FK266" s="324"/>
      <c r="FL266" s="324"/>
      <c r="FM266" s="324"/>
      <c r="FN266" s="324"/>
      <c r="FO266" s="324"/>
      <c r="FP266" s="324"/>
      <c r="FQ266" s="324"/>
      <c r="FR266" s="324"/>
      <c r="FS266" s="324"/>
      <c r="FT266" s="324"/>
      <c r="FU266" s="324"/>
      <c r="FV266" s="324"/>
      <c r="FW266" s="324"/>
      <c r="FX266" s="324"/>
      <c r="FY266" s="324"/>
      <c r="FZ266" s="324"/>
      <c r="GA266" s="324"/>
      <c r="GB266" s="324"/>
      <c r="GC266" s="324"/>
      <c r="GD266" s="324"/>
      <c r="GE266" s="324"/>
      <c r="GF266" s="324"/>
      <c r="GG266" s="324"/>
      <c r="GH266" s="324"/>
      <c r="GI266" s="324"/>
      <c r="GJ266" s="324"/>
      <c r="GK266" s="324"/>
      <c r="GL266" s="324"/>
      <c r="GM266" s="324"/>
      <c r="GN266" s="324"/>
      <c r="GO266" s="324"/>
      <c r="GP266" s="324"/>
      <c r="GQ266" s="324"/>
      <c r="GR266" s="324"/>
      <c r="GS266" s="324"/>
      <c r="GT266" s="324"/>
      <c r="GU266" s="324"/>
      <c r="GV266" s="324"/>
      <c r="GW266" s="324"/>
      <c r="GX266" s="324"/>
      <c r="GY266" s="324"/>
      <c r="GZ266" s="324"/>
      <c r="HA266" s="324"/>
      <c r="HB266" s="324"/>
      <c r="HC266" s="324"/>
      <c r="HD266" s="324"/>
      <c r="HE266" s="324"/>
      <c r="HF266" s="324"/>
      <c r="HG266" s="324"/>
      <c r="HH266" s="324"/>
      <c r="HI266" s="324"/>
      <c r="HJ266" s="324"/>
      <c r="HK266" s="324"/>
      <c r="HL266" s="324"/>
      <c r="HM266" s="324"/>
      <c r="HN266" s="324"/>
      <c r="HO266" s="324"/>
      <c r="HP266" s="324"/>
      <c r="HQ266" s="324"/>
      <c r="HR266" s="324"/>
      <c r="HS266" s="324"/>
      <c r="HT266" s="324"/>
      <c r="HU266" s="324"/>
      <c r="HV266" s="324"/>
      <c r="HW266" s="324"/>
      <c r="HX266" s="324"/>
      <c r="HY266" s="324"/>
      <c r="HZ266" s="324"/>
      <c r="IA266" s="324"/>
      <c r="IB266" s="324"/>
      <c r="IC266" s="324"/>
      <c r="ID266" s="324"/>
      <c r="IE266" s="324"/>
      <c r="IF266" s="324"/>
      <c r="IG266" s="324"/>
      <c r="IH266" s="324"/>
      <c r="II266" s="324"/>
      <c r="IJ266" s="324"/>
      <c r="IK266" s="324"/>
      <c r="IL266" s="324"/>
      <c r="IM266" s="324"/>
    </row>
    <row r="267" spans="1:247" x14ac:dyDescent="0.35">
      <c r="A267" s="356">
        <v>8928</v>
      </c>
      <c r="B267" s="357" t="s">
        <v>273</v>
      </c>
      <c r="C267" s="172" t="s">
        <v>10</v>
      </c>
      <c r="D267" s="358" t="s">
        <v>2051</v>
      </c>
      <c r="E267" s="336"/>
      <c r="F267" s="331">
        <f t="shared" si="57"/>
        <v>1.0209999999999999</v>
      </c>
      <c r="G267" s="337"/>
      <c r="H267" s="336"/>
      <c r="I267" s="338"/>
      <c r="J267" s="338"/>
      <c r="K267" s="338"/>
      <c r="L267" s="338"/>
      <c r="M267" s="338"/>
      <c r="N267" s="337"/>
      <c r="O267" s="339"/>
      <c r="P267" s="336"/>
      <c r="Q267" s="337"/>
      <c r="R267" s="340">
        <f t="shared" si="58"/>
        <v>1.0209999999999999</v>
      </c>
      <c r="S267" s="324"/>
      <c r="T267" s="324"/>
      <c r="U267" s="324"/>
      <c r="V267" s="324"/>
      <c r="W267" s="324"/>
      <c r="X267" s="324"/>
      <c r="Y267" s="324"/>
      <c r="Z267" s="324"/>
      <c r="AA267" s="324"/>
      <c r="AB267" s="324"/>
      <c r="AC267" s="324"/>
      <c r="AD267" s="324"/>
      <c r="AE267" s="324"/>
      <c r="AF267" s="324"/>
      <c r="AG267" s="324"/>
      <c r="AH267" s="324"/>
      <c r="AI267" s="324"/>
      <c r="AJ267" s="324"/>
      <c r="AK267" s="324"/>
      <c r="AL267" s="324"/>
      <c r="AM267" s="324"/>
      <c r="AN267" s="324"/>
      <c r="AO267" s="324"/>
      <c r="AP267" s="324"/>
      <c r="AQ267" s="324"/>
      <c r="AR267" s="324"/>
      <c r="AS267" s="324"/>
      <c r="AT267" s="324"/>
      <c r="AU267" s="324"/>
      <c r="AV267" s="324"/>
      <c r="AW267" s="324"/>
      <c r="AX267" s="324"/>
      <c r="AY267" s="324"/>
      <c r="AZ267" s="324"/>
      <c r="BA267" s="324"/>
      <c r="BB267" s="324"/>
      <c r="BC267" s="324"/>
      <c r="BD267" s="324"/>
      <c r="BE267" s="324"/>
      <c r="BF267" s="324"/>
      <c r="BG267" s="324"/>
      <c r="BH267" s="324"/>
      <c r="BI267" s="324"/>
      <c r="BJ267" s="324"/>
      <c r="BK267" s="324"/>
      <c r="BL267" s="324"/>
      <c r="BM267" s="324"/>
      <c r="BN267" s="324"/>
      <c r="BO267" s="324"/>
      <c r="BP267" s="324"/>
      <c r="BQ267" s="324"/>
      <c r="BR267" s="324"/>
      <c r="BS267" s="324"/>
      <c r="BT267" s="324"/>
      <c r="BU267" s="324"/>
      <c r="BV267" s="324"/>
      <c r="BW267" s="324"/>
      <c r="BX267" s="324"/>
      <c r="BY267" s="324"/>
      <c r="BZ267" s="324"/>
      <c r="CA267" s="324"/>
      <c r="CB267" s="324"/>
      <c r="CC267" s="324"/>
      <c r="CD267" s="324"/>
      <c r="CE267" s="324"/>
      <c r="CF267" s="324"/>
      <c r="CG267" s="324"/>
      <c r="CH267" s="324"/>
      <c r="CI267" s="324"/>
      <c r="CJ267" s="324"/>
      <c r="CK267" s="324"/>
      <c r="CL267" s="324"/>
      <c r="CM267" s="324"/>
      <c r="CN267" s="324"/>
      <c r="CO267" s="324"/>
      <c r="CP267" s="324"/>
      <c r="CQ267" s="324"/>
      <c r="CR267" s="324"/>
      <c r="CS267" s="324"/>
      <c r="CT267" s="324"/>
      <c r="CU267" s="324"/>
      <c r="CV267" s="324"/>
      <c r="CW267" s="324"/>
      <c r="CX267" s="324"/>
      <c r="CY267" s="324"/>
      <c r="CZ267" s="324"/>
      <c r="DA267" s="324"/>
      <c r="DB267" s="324"/>
      <c r="DC267" s="324"/>
      <c r="DD267" s="324"/>
      <c r="DE267" s="324"/>
      <c r="DF267" s="324"/>
      <c r="DG267" s="324"/>
      <c r="DH267" s="324"/>
      <c r="DI267" s="324"/>
      <c r="DJ267" s="324"/>
      <c r="DK267" s="324"/>
      <c r="DL267" s="324"/>
      <c r="DM267" s="324"/>
      <c r="DN267" s="324"/>
      <c r="DO267" s="324"/>
      <c r="DP267" s="324"/>
      <c r="DQ267" s="324"/>
      <c r="DR267" s="324"/>
      <c r="DS267" s="324"/>
      <c r="DT267" s="324"/>
      <c r="DU267" s="324"/>
      <c r="DV267" s="324"/>
      <c r="DW267" s="324"/>
      <c r="DX267" s="324"/>
      <c r="DY267" s="324"/>
      <c r="DZ267" s="324"/>
      <c r="EA267" s="324"/>
      <c r="EB267" s="324"/>
      <c r="EC267" s="324"/>
      <c r="ED267" s="324"/>
      <c r="EE267" s="324"/>
      <c r="EF267" s="324"/>
      <c r="EG267" s="324"/>
      <c r="EH267" s="324"/>
      <c r="EI267" s="324"/>
      <c r="EJ267" s="324"/>
      <c r="EK267" s="324"/>
      <c r="EL267" s="324"/>
      <c r="EM267" s="324"/>
      <c r="EN267" s="324"/>
      <c r="EO267" s="324"/>
      <c r="EP267" s="324"/>
      <c r="EQ267" s="324"/>
      <c r="ER267" s="324"/>
      <c r="ES267" s="324"/>
      <c r="ET267" s="324"/>
      <c r="EU267" s="324"/>
      <c r="EV267" s="324"/>
      <c r="EW267" s="324"/>
      <c r="EX267" s="324"/>
      <c r="EY267" s="324"/>
      <c r="EZ267" s="324"/>
      <c r="FA267" s="324"/>
      <c r="FB267" s="324"/>
      <c r="FC267" s="324"/>
      <c r="FD267" s="324"/>
      <c r="FE267" s="324"/>
      <c r="FF267" s="324"/>
      <c r="FG267" s="324"/>
      <c r="FH267" s="324"/>
      <c r="FI267" s="324"/>
      <c r="FJ267" s="324"/>
      <c r="FK267" s="324"/>
      <c r="FL267" s="324"/>
      <c r="FM267" s="324"/>
      <c r="FN267" s="324"/>
      <c r="FO267" s="324"/>
      <c r="FP267" s="324"/>
      <c r="FQ267" s="324"/>
      <c r="FR267" s="324"/>
      <c r="FS267" s="324"/>
      <c r="FT267" s="324"/>
      <c r="FU267" s="324"/>
      <c r="FV267" s="324"/>
      <c r="FW267" s="324"/>
      <c r="FX267" s="324"/>
      <c r="FY267" s="324"/>
      <c r="FZ267" s="324"/>
      <c r="GA267" s="324"/>
      <c r="GB267" s="324"/>
      <c r="GC267" s="324"/>
      <c r="GD267" s="324"/>
      <c r="GE267" s="324"/>
      <c r="GF267" s="324"/>
      <c r="GG267" s="324"/>
      <c r="GH267" s="324"/>
      <c r="GI267" s="324"/>
      <c r="GJ267" s="324"/>
      <c r="GK267" s="324"/>
      <c r="GL267" s="324"/>
      <c r="GM267" s="324"/>
      <c r="GN267" s="324"/>
      <c r="GO267" s="324"/>
      <c r="GP267" s="324"/>
      <c r="GQ267" s="324"/>
      <c r="GR267" s="324"/>
      <c r="GS267" s="324"/>
      <c r="GT267" s="324"/>
      <c r="GU267" s="324"/>
      <c r="GV267" s="324"/>
      <c r="GW267" s="324"/>
      <c r="GX267" s="324"/>
      <c r="GY267" s="324"/>
      <c r="GZ267" s="324"/>
      <c r="HA267" s="324"/>
      <c r="HB267" s="324"/>
      <c r="HC267" s="324"/>
      <c r="HD267" s="324"/>
      <c r="HE267" s="324"/>
      <c r="HF267" s="324"/>
      <c r="HG267" s="324"/>
      <c r="HH267" s="324"/>
      <c r="HI267" s="324"/>
      <c r="HJ267" s="324"/>
      <c r="HK267" s="324"/>
      <c r="HL267" s="324"/>
      <c r="HM267" s="324"/>
      <c r="HN267" s="324"/>
      <c r="HO267" s="324"/>
      <c r="HP267" s="324"/>
      <c r="HQ267" s="324"/>
      <c r="HR267" s="324"/>
      <c r="HS267" s="324"/>
      <c r="HT267" s="324"/>
      <c r="HU267" s="324"/>
      <c r="HV267" s="324"/>
      <c r="HW267" s="324"/>
      <c r="HX267" s="324"/>
      <c r="HY267" s="324"/>
      <c r="HZ267" s="324"/>
      <c r="IA267" s="324"/>
      <c r="IB267" s="324"/>
      <c r="IC267" s="324"/>
      <c r="ID267" s="324"/>
      <c r="IE267" s="324"/>
      <c r="IF267" s="324"/>
      <c r="IG267" s="324"/>
      <c r="IH267" s="324"/>
      <c r="II267" s="324"/>
      <c r="IJ267" s="324"/>
      <c r="IK267" s="324"/>
      <c r="IL267" s="324"/>
      <c r="IM267" s="324"/>
    </row>
    <row r="268" spans="1:247" x14ac:dyDescent="0.35">
      <c r="A268" s="356">
        <v>8929</v>
      </c>
      <c r="B268" s="357" t="s">
        <v>2062</v>
      </c>
      <c r="C268" s="172" t="s">
        <v>10</v>
      </c>
      <c r="D268" s="358" t="s">
        <v>2051</v>
      </c>
      <c r="E268" s="336"/>
      <c r="F268" s="331">
        <f t="shared" si="57"/>
        <v>1.0209999999999999</v>
      </c>
      <c r="G268" s="337"/>
      <c r="H268" s="336"/>
      <c r="I268" s="338"/>
      <c r="J268" s="338"/>
      <c r="K268" s="338"/>
      <c r="L268" s="338"/>
      <c r="M268" s="338"/>
      <c r="N268" s="337"/>
      <c r="O268" s="339"/>
      <c r="P268" s="336"/>
      <c r="Q268" s="337"/>
      <c r="R268" s="340">
        <f t="shared" si="58"/>
        <v>1.0209999999999999</v>
      </c>
      <c r="S268" s="324"/>
      <c r="T268" s="324"/>
      <c r="U268" s="324"/>
      <c r="V268" s="324"/>
      <c r="W268" s="324"/>
      <c r="X268" s="324"/>
      <c r="Y268" s="324"/>
      <c r="Z268" s="324"/>
      <c r="AA268" s="324"/>
      <c r="AB268" s="324"/>
      <c r="AC268" s="324"/>
      <c r="AD268" s="324"/>
      <c r="AE268" s="324"/>
      <c r="AF268" s="324"/>
      <c r="AG268" s="324"/>
      <c r="AH268" s="324"/>
      <c r="AI268" s="324"/>
      <c r="AJ268" s="324"/>
      <c r="AK268" s="324"/>
      <c r="AL268" s="324"/>
      <c r="AM268" s="324"/>
      <c r="AN268" s="324"/>
      <c r="AO268" s="324"/>
      <c r="AP268" s="324"/>
      <c r="AQ268" s="324"/>
      <c r="AR268" s="324"/>
      <c r="AS268" s="324"/>
      <c r="AT268" s="324"/>
      <c r="AU268" s="324"/>
      <c r="AV268" s="324"/>
      <c r="AW268" s="324"/>
      <c r="AX268" s="324"/>
      <c r="AY268" s="324"/>
      <c r="AZ268" s="324"/>
      <c r="BA268" s="324"/>
      <c r="BB268" s="324"/>
      <c r="BC268" s="324"/>
      <c r="BD268" s="324"/>
      <c r="BE268" s="324"/>
      <c r="BF268" s="324"/>
      <c r="BG268" s="324"/>
      <c r="BH268" s="324"/>
      <c r="BI268" s="324"/>
      <c r="BJ268" s="324"/>
      <c r="BK268" s="324"/>
      <c r="BL268" s="324"/>
      <c r="BM268" s="324"/>
      <c r="BN268" s="324"/>
      <c r="BO268" s="324"/>
      <c r="BP268" s="324"/>
      <c r="BQ268" s="324"/>
      <c r="BR268" s="324"/>
      <c r="BS268" s="324"/>
      <c r="BT268" s="324"/>
      <c r="BU268" s="324"/>
      <c r="BV268" s="324"/>
      <c r="BW268" s="324"/>
      <c r="BX268" s="324"/>
      <c r="BY268" s="324"/>
      <c r="BZ268" s="324"/>
      <c r="CA268" s="324"/>
      <c r="CB268" s="324"/>
      <c r="CC268" s="324"/>
      <c r="CD268" s="324"/>
      <c r="CE268" s="324"/>
      <c r="CF268" s="324"/>
      <c r="CG268" s="324"/>
      <c r="CH268" s="324"/>
      <c r="CI268" s="324"/>
      <c r="CJ268" s="324"/>
      <c r="CK268" s="324"/>
      <c r="CL268" s="324"/>
      <c r="CM268" s="324"/>
      <c r="CN268" s="324"/>
      <c r="CO268" s="324"/>
      <c r="CP268" s="324"/>
      <c r="CQ268" s="324"/>
      <c r="CR268" s="324"/>
      <c r="CS268" s="324"/>
      <c r="CT268" s="324"/>
      <c r="CU268" s="324"/>
      <c r="CV268" s="324"/>
      <c r="CW268" s="324"/>
      <c r="CX268" s="324"/>
      <c r="CY268" s="324"/>
      <c r="CZ268" s="324"/>
      <c r="DA268" s="324"/>
      <c r="DB268" s="324"/>
      <c r="DC268" s="324"/>
      <c r="DD268" s="324"/>
      <c r="DE268" s="324"/>
      <c r="DF268" s="324"/>
      <c r="DG268" s="324"/>
      <c r="DH268" s="324"/>
      <c r="DI268" s="324"/>
      <c r="DJ268" s="324"/>
      <c r="DK268" s="324"/>
      <c r="DL268" s="324"/>
      <c r="DM268" s="324"/>
      <c r="DN268" s="324"/>
      <c r="DO268" s="324"/>
      <c r="DP268" s="324"/>
      <c r="DQ268" s="324"/>
      <c r="DR268" s="324"/>
      <c r="DS268" s="324"/>
      <c r="DT268" s="324"/>
      <c r="DU268" s="324"/>
      <c r="DV268" s="324"/>
      <c r="DW268" s="324"/>
      <c r="DX268" s="324"/>
      <c r="DY268" s="324"/>
      <c r="DZ268" s="324"/>
      <c r="EA268" s="324"/>
      <c r="EB268" s="324"/>
      <c r="EC268" s="324"/>
      <c r="ED268" s="324"/>
      <c r="EE268" s="324"/>
      <c r="EF268" s="324"/>
      <c r="EG268" s="324"/>
      <c r="EH268" s="324"/>
      <c r="EI268" s="324"/>
      <c r="EJ268" s="324"/>
      <c r="EK268" s="324"/>
      <c r="EL268" s="324"/>
      <c r="EM268" s="324"/>
      <c r="EN268" s="324"/>
      <c r="EO268" s="324"/>
      <c r="EP268" s="324"/>
      <c r="EQ268" s="324"/>
      <c r="ER268" s="324"/>
      <c r="ES268" s="324"/>
      <c r="ET268" s="324"/>
      <c r="EU268" s="324"/>
      <c r="EV268" s="324"/>
      <c r="EW268" s="324"/>
      <c r="EX268" s="324"/>
      <c r="EY268" s="324"/>
      <c r="EZ268" s="324"/>
      <c r="FA268" s="324"/>
      <c r="FB268" s="324"/>
      <c r="FC268" s="324"/>
      <c r="FD268" s="324"/>
      <c r="FE268" s="324"/>
      <c r="FF268" s="324"/>
      <c r="FG268" s="324"/>
      <c r="FH268" s="324"/>
      <c r="FI268" s="324"/>
      <c r="FJ268" s="324"/>
      <c r="FK268" s="324"/>
      <c r="FL268" s="324"/>
      <c r="FM268" s="324"/>
      <c r="FN268" s="324"/>
      <c r="FO268" s="324"/>
      <c r="FP268" s="324"/>
      <c r="FQ268" s="324"/>
      <c r="FR268" s="324"/>
      <c r="FS268" s="324"/>
      <c r="FT268" s="324"/>
      <c r="FU268" s="324"/>
      <c r="FV268" s="324"/>
      <c r="FW268" s="324"/>
      <c r="FX268" s="324"/>
      <c r="FY268" s="324"/>
      <c r="FZ268" s="324"/>
      <c r="GA268" s="324"/>
      <c r="GB268" s="324"/>
      <c r="GC268" s="324"/>
      <c r="GD268" s="324"/>
      <c r="GE268" s="324"/>
      <c r="GF268" s="324"/>
      <c r="GG268" s="324"/>
      <c r="GH268" s="324"/>
      <c r="GI268" s="324"/>
      <c r="GJ268" s="324"/>
      <c r="GK268" s="324"/>
      <c r="GL268" s="324"/>
      <c r="GM268" s="324"/>
      <c r="GN268" s="324"/>
      <c r="GO268" s="324"/>
      <c r="GP268" s="324"/>
      <c r="GQ268" s="324"/>
      <c r="GR268" s="324"/>
      <c r="GS268" s="324"/>
      <c r="GT268" s="324"/>
      <c r="GU268" s="324"/>
      <c r="GV268" s="324"/>
      <c r="GW268" s="324"/>
      <c r="GX268" s="324"/>
      <c r="GY268" s="324"/>
      <c r="GZ268" s="324"/>
      <c r="HA268" s="324"/>
      <c r="HB268" s="324"/>
      <c r="HC268" s="324"/>
      <c r="HD268" s="324"/>
      <c r="HE268" s="324"/>
      <c r="HF268" s="324"/>
      <c r="HG268" s="324"/>
      <c r="HH268" s="324"/>
      <c r="HI268" s="324"/>
      <c r="HJ268" s="324"/>
      <c r="HK268" s="324"/>
      <c r="HL268" s="324"/>
      <c r="HM268" s="324"/>
      <c r="HN268" s="324"/>
      <c r="HO268" s="324"/>
      <c r="HP268" s="324"/>
      <c r="HQ268" s="324"/>
      <c r="HR268" s="324"/>
      <c r="HS268" s="324"/>
      <c r="HT268" s="324"/>
      <c r="HU268" s="324"/>
      <c r="HV268" s="324"/>
      <c r="HW268" s="324"/>
      <c r="HX268" s="324"/>
      <c r="HY268" s="324"/>
      <c r="HZ268" s="324"/>
      <c r="IA268" s="324"/>
      <c r="IB268" s="324"/>
      <c r="IC268" s="324"/>
      <c r="ID268" s="324"/>
      <c r="IE268" s="324"/>
      <c r="IF268" s="324"/>
      <c r="IG268" s="324"/>
      <c r="IH268" s="324"/>
      <c r="II268" s="324"/>
      <c r="IJ268" s="324"/>
      <c r="IK268" s="324"/>
      <c r="IL268" s="324"/>
      <c r="IM268" s="324"/>
    </row>
    <row r="269" spans="1:247" x14ac:dyDescent="0.35">
      <c r="A269" s="356">
        <v>8930</v>
      </c>
      <c r="B269" s="357" t="s">
        <v>274</v>
      </c>
      <c r="C269" s="172" t="s">
        <v>6</v>
      </c>
      <c r="D269" s="358" t="s">
        <v>2052</v>
      </c>
      <c r="E269" s="336"/>
      <c r="F269" s="331">
        <f t="shared" si="57"/>
        <v>1.0209999999999999</v>
      </c>
      <c r="G269" s="337"/>
      <c r="H269" s="336"/>
      <c r="I269" s="338"/>
      <c r="J269" s="338"/>
      <c r="K269" s="338"/>
      <c r="L269" s="338"/>
      <c r="M269" s="338"/>
      <c r="N269" s="337"/>
      <c r="O269" s="339"/>
      <c r="P269" s="336">
        <f>+$P$3</f>
        <v>1.032</v>
      </c>
      <c r="Q269" s="337">
        <f>+$Q$3</f>
        <v>1.0349999999999999</v>
      </c>
      <c r="R269" s="340">
        <f t="shared" si="58"/>
        <v>1.0905505199999999</v>
      </c>
      <c r="S269" s="324"/>
      <c r="T269" s="324"/>
      <c r="U269" s="324"/>
      <c r="V269" s="324"/>
      <c r="W269" s="324"/>
      <c r="X269" s="324"/>
      <c r="Y269" s="324"/>
      <c r="Z269" s="324"/>
      <c r="AA269" s="324"/>
      <c r="AB269" s="324"/>
      <c r="AC269" s="324"/>
      <c r="AD269" s="324"/>
      <c r="AE269" s="324"/>
      <c r="AF269" s="324"/>
      <c r="AG269" s="324"/>
      <c r="AH269" s="324"/>
      <c r="AI269" s="324"/>
      <c r="AJ269" s="324"/>
      <c r="AK269" s="324"/>
      <c r="AL269" s="324"/>
      <c r="AM269" s="324"/>
      <c r="AN269" s="324"/>
      <c r="AO269" s="324"/>
      <c r="AP269" s="324"/>
      <c r="AQ269" s="324"/>
      <c r="AR269" s="324"/>
      <c r="AS269" s="324"/>
      <c r="AT269" s="324"/>
      <c r="AU269" s="324"/>
      <c r="AV269" s="324"/>
      <c r="AW269" s="324"/>
      <c r="AX269" s="324"/>
      <c r="AY269" s="324"/>
      <c r="AZ269" s="324"/>
      <c r="BA269" s="324"/>
      <c r="BB269" s="324"/>
      <c r="BC269" s="324"/>
      <c r="BD269" s="324"/>
      <c r="BE269" s="324"/>
      <c r="BF269" s="324"/>
      <c r="BG269" s="324"/>
      <c r="BH269" s="324"/>
      <c r="BI269" s="324"/>
      <c r="BJ269" s="324"/>
      <c r="BK269" s="324"/>
      <c r="BL269" s="324"/>
      <c r="BM269" s="324"/>
      <c r="BN269" s="324"/>
      <c r="BO269" s="324"/>
      <c r="BP269" s="324"/>
      <c r="BQ269" s="324"/>
      <c r="BR269" s="324"/>
      <c r="BS269" s="324"/>
      <c r="BT269" s="324"/>
      <c r="BU269" s="324"/>
      <c r="BV269" s="324"/>
      <c r="BW269" s="324"/>
      <c r="BX269" s="324"/>
      <c r="BY269" s="324"/>
      <c r="BZ269" s="324"/>
      <c r="CA269" s="324"/>
      <c r="CB269" s="324"/>
      <c r="CC269" s="324"/>
      <c r="CD269" s="324"/>
      <c r="CE269" s="324"/>
      <c r="CF269" s="324"/>
      <c r="CG269" s="324"/>
      <c r="CH269" s="324"/>
      <c r="CI269" s="324"/>
      <c r="CJ269" s="324"/>
      <c r="CK269" s="324"/>
      <c r="CL269" s="324"/>
      <c r="CM269" s="324"/>
      <c r="CN269" s="324"/>
      <c r="CO269" s="324"/>
      <c r="CP269" s="324"/>
      <c r="CQ269" s="324"/>
      <c r="CR269" s="324"/>
      <c r="CS269" s="324"/>
      <c r="CT269" s="324"/>
      <c r="CU269" s="324"/>
      <c r="CV269" s="324"/>
      <c r="CW269" s="324"/>
      <c r="CX269" s="324"/>
      <c r="CY269" s="324"/>
      <c r="CZ269" s="324"/>
      <c r="DA269" s="324"/>
      <c r="DB269" s="324"/>
      <c r="DC269" s="324"/>
      <c r="DD269" s="324"/>
      <c r="DE269" s="324"/>
      <c r="DF269" s="324"/>
      <c r="DG269" s="324"/>
      <c r="DH269" s="324"/>
      <c r="DI269" s="324"/>
      <c r="DJ269" s="324"/>
      <c r="DK269" s="324"/>
      <c r="DL269" s="324"/>
      <c r="DM269" s="324"/>
      <c r="DN269" s="324"/>
      <c r="DO269" s="324"/>
      <c r="DP269" s="324"/>
      <c r="DQ269" s="324"/>
      <c r="DR269" s="324"/>
      <c r="DS269" s="324"/>
      <c r="DT269" s="324"/>
      <c r="DU269" s="324"/>
      <c r="DV269" s="324"/>
      <c r="DW269" s="324"/>
      <c r="DX269" s="324"/>
      <c r="DY269" s="324"/>
      <c r="DZ269" s="324"/>
      <c r="EA269" s="324"/>
      <c r="EB269" s="324"/>
      <c r="EC269" s="324"/>
      <c r="ED269" s="324"/>
      <c r="EE269" s="324"/>
      <c r="EF269" s="324"/>
      <c r="EG269" s="324"/>
      <c r="EH269" s="324"/>
      <c r="EI269" s="324"/>
      <c r="EJ269" s="324"/>
      <c r="EK269" s="324"/>
      <c r="EL269" s="324"/>
      <c r="EM269" s="324"/>
      <c r="EN269" s="324"/>
      <c r="EO269" s="324"/>
      <c r="EP269" s="324"/>
      <c r="EQ269" s="324"/>
      <c r="ER269" s="324"/>
      <c r="ES269" s="324"/>
      <c r="ET269" s="324"/>
      <c r="EU269" s="324"/>
      <c r="EV269" s="324"/>
      <c r="EW269" s="324"/>
      <c r="EX269" s="324"/>
      <c r="EY269" s="324"/>
      <c r="EZ269" s="324"/>
      <c r="FA269" s="324"/>
      <c r="FB269" s="324"/>
      <c r="FC269" s="324"/>
      <c r="FD269" s="324"/>
      <c r="FE269" s="324"/>
      <c r="FF269" s="324"/>
      <c r="FG269" s="324"/>
      <c r="FH269" s="324"/>
      <c r="FI269" s="324"/>
      <c r="FJ269" s="324"/>
      <c r="FK269" s="324"/>
      <c r="FL269" s="324"/>
      <c r="FM269" s="324"/>
      <c r="FN269" s="324"/>
      <c r="FO269" s="324"/>
      <c r="FP269" s="324"/>
      <c r="FQ269" s="324"/>
      <c r="FR269" s="324"/>
      <c r="FS269" s="324"/>
      <c r="FT269" s="324"/>
      <c r="FU269" s="324"/>
      <c r="FV269" s="324"/>
      <c r="FW269" s="324"/>
      <c r="FX269" s="324"/>
      <c r="FY269" s="324"/>
      <c r="FZ269" s="324"/>
      <c r="GA269" s="324"/>
      <c r="GB269" s="324"/>
      <c r="GC269" s="324"/>
      <c r="GD269" s="324"/>
      <c r="GE269" s="324"/>
      <c r="GF269" s="324"/>
      <c r="GG269" s="324"/>
      <c r="GH269" s="324"/>
      <c r="GI269" s="324"/>
      <c r="GJ269" s="324"/>
      <c r="GK269" s="324"/>
      <c r="GL269" s="324"/>
      <c r="GM269" s="324"/>
      <c r="GN269" s="324"/>
      <c r="GO269" s="324"/>
      <c r="GP269" s="324"/>
      <c r="GQ269" s="324"/>
      <c r="GR269" s="324"/>
      <c r="GS269" s="324"/>
      <c r="GT269" s="324"/>
      <c r="GU269" s="324"/>
      <c r="GV269" s="324"/>
      <c r="GW269" s="324"/>
      <c r="GX269" s="324"/>
      <c r="GY269" s="324"/>
      <c r="GZ269" s="324"/>
      <c r="HA269" s="324"/>
      <c r="HB269" s="324"/>
      <c r="HC269" s="324"/>
      <c r="HD269" s="324"/>
      <c r="HE269" s="324"/>
      <c r="HF269" s="324"/>
      <c r="HG269" s="324"/>
      <c r="HH269" s="324"/>
      <c r="HI269" s="324"/>
      <c r="HJ269" s="324"/>
      <c r="HK269" s="324"/>
      <c r="HL269" s="324"/>
      <c r="HM269" s="324"/>
      <c r="HN269" s="324"/>
      <c r="HO269" s="324"/>
      <c r="HP269" s="324"/>
      <c r="HQ269" s="324"/>
      <c r="HR269" s="324"/>
      <c r="HS269" s="324"/>
      <c r="HT269" s="324"/>
      <c r="HU269" s="324"/>
      <c r="HV269" s="324"/>
      <c r="HW269" s="324"/>
      <c r="HX269" s="324"/>
      <c r="HY269" s="324"/>
      <c r="HZ269" s="324"/>
      <c r="IA269" s="324"/>
      <c r="IB269" s="324"/>
      <c r="IC269" s="324"/>
      <c r="ID269" s="324"/>
      <c r="IE269" s="324"/>
      <c r="IF269" s="324"/>
      <c r="IG269" s="324"/>
      <c r="IH269" s="324"/>
      <c r="II269" s="324"/>
      <c r="IJ269" s="324"/>
      <c r="IK269" s="324"/>
      <c r="IL269" s="324"/>
      <c r="IM269" s="324"/>
    </row>
    <row r="270" spans="1:247" x14ac:dyDescent="0.35">
      <c r="A270" s="356">
        <v>8931</v>
      </c>
      <c r="B270" s="357" t="s">
        <v>275</v>
      </c>
      <c r="C270" s="172" t="s">
        <v>6</v>
      </c>
      <c r="D270" s="358" t="s">
        <v>2052</v>
      </c>
      <c r="E270" s="336"/>
      <c r="F270" s="331">
        <f t="shared" si="57"/>
        <v>1.0209999999999999</v>
      </c>
      <c r="G270" s="337"/>
      <c r="H270" s="336"/>
      <c r="I270" s="338"/>
      <c r="J270" s="338"/>
      <c r="K270" s="338"/>
      <c r="L270" s="338"/>
      <c r="M270" s="338"/>
      <c r="N270" s="337"/>
      <c r="O270" s="339"/>
      <c r="P270" s="336">
        <f>+$P$3</f>
        <v>1.032</v>
      </c>
      <c r="Q270" s="337">
        <f>+$Q$3</f>
        <v>1.0349999999999999</v>
      </c>
      <c r="R270" s="340">
        <f t="shared" si="58"/>
        <v>1.0905505199999999</v>
      </c>
      <c r="S270" s="324"/>
      <c r="T270" s="324"/>
      <c r="U270" s="324"/>
      <c r="V270" s="324"/>
      <c r="W270" s="324"/>
      <c r="X270" s="324"/>
      <c r="Y270" s="324"/>
      <c r="Z270" s="324"/>
      <c r="AA270" s="324"/>
      <c r="AB270" s="324"/>
      <c r="AC270" s="324"/>
      <c r="AD270" s="324"/>
      <c r="AE270" s="324"/>
      <c r="AF270" s="324"/>
      <c r="AG270" s="324"/>
      <c r="AH270" s="324"/>
      <c r="AI270" s="324"/>
      <c r="AJ270" s="324"/>
      <c r="AK270" s="324"/>
      <c r="AL270" s="324"/>
      <c r="AM270" s="324"/>
      <c r="AN270" s="324"/>
      <c r="AO270" s="324"/>
      <c r="AP270" s="324"/>
      <c r="AQ270" s="324"/>
      <c r="AR270" s="324"/>
      <c r="AS270" s="324"/>
      <c r="AT270" s="324"/>
      <c r="AU270" s="324"/>
      <c r="AV270" s="324"/>
      <c r="AW270" s="324"/>
      <c r="AX270" s="324"/>
      <c r="AY270" s="324"/>
      <c r="AZ270" s="324"/>
      <c r="BA270" s="324"/>
      <c r="BB270" s="324"/>
      <c r="BC270" s="324"/>
      <c r="BD270" s="324"/>
      <c r="BE270" s="324"/>
      <c r="BF270" s="324"/>
      <c r="BG270" s="324"/>
      <c r="BH270" s="324"/>
      <c r="BI270" s="324"/>
      <c r="BJ270" s="324"/>
      <c r="BK270" s="324"/>
      <c r="BL270" s="324"/>
      <c r="BM270" s="324"/>
      <c r="BN270" s="324"/>
      <c r="BO270" s="324"/>
      <c r="BP270" s="324"/>
      <c r="BQ270" s="324"/>
      <c r="BR270" s="324"/>
      <c r="BS270" s="324"/>
      <c r="BT270" s="324"/>
      <c r="BU270" s="324"/>
      <c r="BV270" s="324"/>
      <c r="BW270" s="324"/>
      <c r="BX270" s="324"/>
      <c r="BY270" s="324"/>
      <c r="BZ270" s="324"/>
      <c r="CA270" s="324"/>
      <c r="CB270" s="324"/>
      <c r="CC270" s="324"/>
      <c r="CD270" s="324"/>
      <c r="CE270" s="324"/>
      <c r="CF270" s="324"/>
      <c r="CG270" s="324"/>
      <c r="CH270" s="324"/>
      <c r="CI270" s="324"/>
      <c r="CJ270" s="324"/>
      <c r="CK270" s="324"/>
      <c r="CL270" s="324"/>
      <c r="CM270" s="324"/>
      <c r="CN270" s="324"/>
      <c r="CO270" s="324"/>
      <c r="CP270" s="324"/>
      <c r="CQ270" s="324"/>
      <c r="CR270" s="324"/>
      <c r="CS270" s="324"/>
      <c r="CT270" s="324"/>
      <c r="CU270" s="324"/>
      <c r="CV270" s="324"/>
      <c r="CW270" s="324"/>
      <c r="CX270" s="324"/>
      <c r="CY270" s="324"/>
      <c r="CZ270" s="324"/>
      <c r="DA270" s="324"/>
      <c r="DB270" s="324"/>
      <c r="DC270" s="324"/>
      <c r="DD270" s="324"/>
      <c r="DE270" s="324"/>
      <c r="DF270" s="324"/>
      <c r="DG270" s="324"/>
      <c r="DH270" s="324"/>
      <c r="DI270" s="324"/>
      <c r="DJ270" s="324"/>
      <c r="DK270" s="324"/>
      <c r="DL270" s="324"/>
      <c r="DM270" s="324"/>
      <c r="DN270" s="324"/>
      <c r="DO270" s="324"/>
      <c r="DP270" s="324"/>
      <c r="DQ270" s="324"/>
      <c r="DR270" s="324"/>
      <c r="DS270" s="324"/>
      <c r="DT270" s="324"/>
      <c r="DU270" s="324"/>
      <c r="DV270" s="324"/>
      <c r="DW270" s="324"/>
      <c r="DX270" s="324"/>
      <c r="DY270" s="324"/>
      <c r="DZ270" s="324"/>
      <c r="EA270" s="324"/>
      <c r="EB270" s="324"/>
      <c r="EC270" s="324"/>
      <c r="ED270" s="324"/>
      <c r="EE270" s="324"/>
      <c r="EF270" s="324"/>
      <c r="EG270" s="324"/>
      <c r="EH270" s="324"/>
      <c r="EI270" s="324"/>
      <c r="EJ270" s="324"/>
      <c r="EK270" s="324"/>
      <c r="EL270" s="324"/>
      <c r="EM270" s="324"/>
      <c r="EN270" s="324"/>
      <c r="EO270" s="324"/>
      <c r="EP270" s="324"/>
      <c r="EQ270" s="324"/>
      <c r="ER270" s="324"/>
      <c r="ES270" s="324"/>
      <c r="ET270" s="324"/>
      <c r="EU270" s="324"/>
      <c r="EV270" s="324"/>
      <c r="EW270" s="324"/>
      <c r="EX270" s="324"/>
      <c r="EY270" s="324"/>
      <c r="EZ270" s="324"/>
      <c r="FA270" s="324"/>
      <c r="FB270" s="324"/>
      <c r="FC270" s="324"/>
      <c r="FD270" s="324"/>
      <c r="FE270" s="324"/>
      <c r="FF270" s="324"/>
      <c r="FG270" s="324"/>
      <c r="FH270" s="324"/>
      <c r="FI270" s="324"/>
      <c r="FJ270" s="324"/>
      <c r="FK270" s="324"/>
      <c r="FL270" s="324"/>
      <c r="FM270" s="324"/>
      <c r="FN270" s="324"/>
      <c r="FO270" s="324"/>
      <c r="FP270" s="324"/>
      <c r="FQ270" s="324"/>
      <c r="FR270" s="324"/>
      <c r="FS270" s="324"/>
      <c r="FT270" s="324"/>
      <c r="FU270" s="324"/>
      <c r="FV270" s="324"/>
      <c r="FW270" s="324"/>
      <c r="FX270" s="324"/>
      <c r="FY270" s="324"/>
      <c r="FZ270" s="324"/>
      <c r="GA270" s="324"/>
      <c r="GB270" s="324"/>
      <c r="GC270" s="324"/>
      <c r="GD270" s="324"/>
      <c r="GE270" s="324"/>
      <c r="GF270" s="324"/>
      <c r="GG270" s="324"/>
      <c r="GH270" s="324"/>
      <c r="GI270" s="324"/>
      <c r="GJ270" s="324"/>
      <c r="GK270" s="324"/>
      <c r="GL270" s="324"/>
      <c r="GM270" s="324"/>
      <c r="GN270" s="324"/>
      <c r="GO270" s="324"/>
      <c r="GP270" s="324"/>
      <c r="GQ270" s="324"/>
      <c r="GR270" s="324"/>
      <c r="GS270" s="324"/>
      <c r="GT270" s="324"/>
      <c r="GU270" s="324"/>
      <c r="GV270" s="324"/>
      <c r="GW270" s="324"/>
      <c r="GX270" s="324"/>
      <c r="GY270" s="324"/>
      <c r="GZ270" s="324"/>
      <c r="HA270" s="324"/>
      <c r="HB270" s="324"/>
      <c r="HC270" s="324"/>
      <c r="HD270" s="324"/>
      <c r="HE270" s="324"/>
      <c r="HF270" s="324"/>
      <c r="HG270" s="324"/>
      <c r="HH270" s="324"/>
      <c r="HI270" s="324"/>
      <c r="HJ270" s="324"/>
      <c r="HK270" s="324"/>
      <c r="HL270" s="324"/>
      <c r="HM270" s="324"/>
      <c r="HN270" s="324"/>
      <c r="HO270" s="324"/>
      <c r="HP270" s="324"/>
      <c r="HQ270" s="324"/>
      <c r="HR270" s="324"/>
      <c r="HS270" s="324"/>
      <c r="HT270" s="324"/>
      <c r="HU270" s="324"/>
      <c r="HV270" s="324"/>
      <c r="HW270" s="324"/>
      <c r="HX270" s="324"/>
      <c r="HY270" s="324"/>
      <c r="HZ270" s="324"/>
      <c r="IA270" s="324"/>
      <c r="IB270" s="324"/>
      <c r="IC270" s="324"/>
      <c r="ID270" s="324"/>
      <c r="IE270" s="324"/>
      <c r="IF270" s="324"/>
      <c r="IG270" s="324"/>
      <c r="IH270" s="324"/>
      <c r="II270" s="324"/>
      <c r="IJ270" s="324"/>
      <c r="IK270" s="324"/>
      <c r="IL270" s="324"/>
      <c r="IM270" s="324"/>
    </row>
    <row r="271" spans="1:247" x14ac:dyDescent="0.35">
      <c r="A271" s="356">
        <v>8932</v>
      </c>
      <c r="B271" s="357" t="s">
        <v>2063</v>
      </c>
      <c r="C271" s="172" t="s">
        <v>6</v>
      </c>
      <c r="D271" s="358" t="s">
        <v>2052</v>
      </c>
      <c r="E271" s="336"/>
      <c r="F271" s="331">
        <f>+$F$3</f>
        <v>1.0209999999999999</v>
      </c>
      <c r="G271" s="337"/>
      <c r="H271" s="336"/>
      <c r="I271" s="338"/>
      <c r="J271" s="338"/>
      <c r="K271" s="338"/>
      <c r="L271" s="338"/>
      <c r="M271" s="338"/>
      <c r="N271" s="337"/>
      <c r="O271" s="339"/>
      <c r="P271" s="336">
        <f>+$P$3</f>
        <v>1.032</v>
      </c>
      <c r="Q271" s="337">
        <f>+$Q$3</f>
        <v>1.0349999999999999</v>
      </c>
      <c r="R271" s="340">
        <f>PRODUCT(E271:Q271)</f>
        <v>1.0905505199999999</v>
      </c>
      <c r="S271" s="359"/>
      <c r="AS271" s="48"/>
    </row>
    <row r="272" spans="1:247" x14ac:dyDescent="0.35">
      <c r="A272" s="356">
        <v>8951</v>
      </c>
      <c r="B272" s="357" t="s">
        <v>276</v>
      </c>
      <c r="C272" s="172" t="s">
        <v>5</v>
      </c>
      <c r="D272" s="358" t="s">
        <v>2051</v>
      </c>
      <c r="E272" s="336"/>
      <c r="F272" s="331">
        <f>+$F$3</f>
        <v>1.0209999999999999</v>
      </c>
      <c r="G272" s="337"/>
      <c r="H272" s="336"/>
      <c r="I272" s="338"/>
      <c r="J272" s="338"/>
      <c r="K272" s="338"/>
      <c r="L272" s="338"/>
      <c r="M272" s="338"/>
      <c r="N272" s="337"/>
      <c r="O272" s="339"/>
      <c r="P272" s="336"/>
      <c r="Q272" s="337"/>
      <c r="R272" s="340">
        <f>PRODUCT(E272:Q272)</f>
        <v>1.0209999999999999</v>
      </c>
      <c r="AS272" s="361">
        <v>2251</v>
      </c>
    </row>
    <row r="273" spans="1:45" ht="30" customHeight="1" x14ac:dyDescent="0.35">
      <c r="Q273" s="359"/>
      <c r="R273" s="359"/>
      <c r="S273" s="359"/>
      <c r="AS273" s="48"/>
    </row>
    <row r="274" spans="1:45" ht="45" customHeight="1" x14ac:dyDescent="0.35">
      <c r="A274" s="48" t="s">
        <v>2064</v>
      </c>
      <c r="AS274" s="361">
        <v>2261</v>
      </c>
    </row>
    <row r="275" spans="1:45" ht="15" customHeight="1" x14ac:dyDescent="0.35">
      <c r="A275" s="1445" t="s">
        <v>2607</v>
      </c>
      <c r="B275" s="1445"/>
      <c r="C275" s="1445"/>
      <c r="D275" s="1445"/>
      <c r="E275" s="1445"/>
      <c r="F275" s="1445"/>
      <c r="G275" s="1445"/>
      <c r="H275" s="1445"/>
      <c r="I275" s="1445"/>
      <c r="J275" s="1445"/>
      <c r="K275" s="1445"/>
      <c r="L275" s="1445"/>
      <c r="M275" s="1445"/>
      <c r="N275" s="1445"/>
      <c r="O275" s="1445"/>
      <c r="P275" s="1445"/>
      <c r="Q275" s="1445"/>
      <c r="R275" s="113"/>
      <c r="AS275" s="361">
        <v>2264</v>
      </c>
    </row>
    <row r="276" spans="1:45" ht="30" customHeight="1" x14ac:dyDescent="0.35">
      <c r="A276" s="1445" t="s">
        <v>2608</v>
      </c>
      <c r="B276" s="1445"/>
      <c r="C276" s="1445"/>
      <c r="D276" s="1445"/>
      <c r="E276" s="1445"/>
      <c r="F276" s="1445"/>
      <c r="G276" s="1445"/>
      <c r="H276" s="1445"/>
      <c r="I276" s="1445"/>
      <c r="J276" s="1445"/>
      <c r="K276" s="1445"/>
      <c r="L276" s="1445"/>
      <c r="M276" s="1445"/>
      <c r="N276" s="1445"/>
      <c r="O276" s="1445"/>
      <c r="P276" s="1445"/>
      <c r="Q276" s="1445"/>
      <c r="AS276" s="361">
        <v>2265</v>
      </c>
    </row>
    <row r="277" spans="1:45" ht="15" customHeight="1" x14ac:dyDescent="0.35">
      <c r="A277" s="1445" t="s">
        <v>2609</v>
      </c>
      <c r="B277" s="1445"/>
      <c r="C277" s="1445"/>
      <c r="D277" s="1445"/>
      <c r="E277" s="1445"/>
      <c r="F277" s="1445"/>
      <c r="G277" s="1445"/>
      <c r="H277" s="1445"/>
      <c r="I277" s="1445"/>
      <c r="J277" s="1445"/>
      <c r="K277" s="1445"/>
      <c r="L277" s="1445"/>
      <c r="M277" s="1445"/>
      <c r="N277" s="1445"/>
      <c r="O277" s="1445"/>
      <c r="P277" s="1445"/>
      <c r="Q277" s="1445"/>
      <c r="AS277" s="361">
        <v>2271</v>
      </c>
    </row>
    <row r="278" spans="1:45" ht="30" customHeight="1" x14ac:dyDescent="0.35">
      <c r="A278" s="1445" t="s">
        <v>2610</v>
      </c>
      <c r="B278" s="1445"/>
      <c r="C278" s="1445"/>
      <c r="D278" s="1445"/>
      <c r="E278" s="1445"/>
      <c r="F278" s="1445"/>
      <c r="G278" s="1445"/>
      <c r="H278" s="1445"/>
      <c r="I278" s="1445"/>
      <c r="J278" s="1445"/>
      <c r="K278" s="1445"/>
      <c r="L278" s="1445"/>
      <c r="M278" s="1445"/>
      <c r="N278" s="1445"/>
      <c r="O278" s="1445"/>
      <c r="P278" s="1445"/>
      <c r="Q278" s="1445"/>
      <c r="AS278" s="361">
        <v>2281</v>
      </c>
    </row>
    <row r="279" spans="1:45" ht="30" customHeight="1" x14ac:dyDescent="0.35">
      <c r="A279" s="1454" t="s">
        <v>2611</v>
      </c>
      <c r="B279" s="1454"/>
      <c r="C279" s="1454"/>
      <c r="D279" s="1454"/>
      <c r="E279" s="1454"/>
      <c r="F279" s="1454"/>
      <c r="G279" s="1454"/>
      <c r="H279" s="1454"/>
      <c r="I279" s="1454"/>
      <c r="J279" s="1454"/>
      <c r="K279" s="1454"/>
      <c r="L279" s="1454"/>
      <c r="M279" s="1454"/>
      <c r="N279" s="1454"/>
      <c r="O279" s="1454"/>
      <c r="P279" s="1454"/>
      <c r="Q279" s="1454"/>
      <c r="AS279" s="361">
        <v>2291</v>
      </c>
    </row>
    <row r="280" spans="1:45" ht="30" customHeight="1" x14ac:dyDescent="0.35">
      <c r="A280" s="1445" t="s">
        <v>2612</v>
      </c>
      <c r="B280" s="1445"/>
      <c r="C280" s="1445"/>
      <c r="D280" s="1445"/>
      <c r="E280" s="1445"/>
      <c r="F280" s="1445"/>
      <c r="G280" s="1445"/>
      <c r="H280" s="1445"/>
      <c r="I280" s="1445"/>
      <c r="J280" s="1445"/>
      <c r="K280" s="1445"/>
      <c r="L280" s="1445"/>
      <c r="M280" s="1445"/>
      <c r="N280" s="1445"/>
      <c r="O280" s="1445"/>
      <c r="P280" s="1445"/>
      <c r="Q280" s="1445"/>
      <c r="AS280" s="361">
        <v>3101</v>
      </c>
    </row>
    <row r="281" spans="1:45" ht="45" customHeight="1" x14ac:dyDescent="0.35">
      <c r="A281" s="1445" t="s">
        <v>2613</v>
      </c>
      <c r="B281" s="1445"/>
      <c r="C281" s="1445"/>
      <c r="D281" s="1445"/>
      <c r="E281" s="1445"/>
      <c r="F281" s="1445"/>
      <c r="G281" s="1445"/>
      <c r="H281" s="1445"/>
      <c r="I281" s="1445"/>
      <c r="J281" s="1445"/>
      <c r="K281" s="1445"/>
      <c r="L281" s="1445"/>
      <c r="M281" s="1445"/>
      <c r="N281" s="1445"/>
      <c r="O281" s="1445"/>
      <c r="P281" s="1445"/>
      <c r="Q281" s="1445"/>
      <c r="AS281" s="361">
        <v>3102</v>
      </c>
    </row>
    <row r="282" spans="1:45" ht="30" customHeight="1" x14ac:dyDescent="0.35">
      <c r="A282" s="1445" t="s">
        <v>2614</v>
      </c>
      <c r="B282" s="1445"/>
      <c r="C282" s="1445"/>
      <c r="D282" s="1445"/>
      <c r="E282" s="1445"/>
      <c r="F282" s="1445"/>
      <c r="G282" s="1445"/>
      <c r="H282" s="1445"/>
      <c r="I282" s="1445"/>
      <c r="J282" s="1445"/>
      <c r="K282" s="1445"/>
      <c r="L282" s="1445"/>
      <c r="M282" s="1445"/>
      <c r="N282" s="1445"/>
      <c r="O282" s="1445"/>
      <c r="P282" s="1445"/>
      <c r="Q282" s="1445"/>
      <c r="AS282" s="361">
        <v>3103</v>
      </c>
    </row>
    <row r="283" spans="1:45" ht="30" customHeight="1" x14ac:dyDescent="0.35">
      <c r="A283" s="1445" t="s">
        <v>2615</v>
      </c>
      <c r="B283" s="1445"/>
      <c r="C283" s="1445"/>
      <c r="D283" s="1445"/>
      <c r="E283" s="1445"/>
      <c r="F283" s="1445"/>
      <c r="G283" s="1445"/>
      <c r="H283" s="1445"/>
      <c r="I283" s="1445"/>
      <c r="J283" s="1445"/>
      <c r="K283" s="1445"/>
      <c r="L283" s="1445"/>
      <c r="M283" s="1445"/>
      <c r="N283" s="1445"/>
      <c r="O283" s="1445"/>
      <c r="P283" s="1445"/>
      <c r="Q283" s="1445"/>
      <c r="AS283" s="361">
        <v>3104</v>
      </c>
    </row>
    <row r="284" spans="1:45" ht="45" customHeight="1" x14ac:dyDescent="0.35">
      <c r="A284" s="1445" t="s">
        <v>2616</v>
      </c>
      <c r="B284" s="1445"/>
      <c r="C284" s="1445"/>
      <c r="D284" s="1445"/>
      <c r="E284" s="1445"/>
      <c r="F284" s="1445"/>
      <c r="G284" s="1445"/>
      <c r="H284" s="1445"/>
      <c r="I284" s="1445"/>
      <c r="J284" s="1445"/>
      <c r="K284" s="1445"/>
      <c r="L284" s="1445"/>
      <c r="M284" s="1445"/>
      <c r="N284" s="1445"/>
      <c r="O284" s="1445"/>
      <c r="P284" s="1445"/>
      <c r="Q284" s="1445"/>
      <c r="AS284" s="361">
        <v>3111</v>
      </c>
    </row>
    <row r="285" spans="1:45" ht="15" customHeight="1" x14ac:dyDescent="0.35">
      <c r="A285" s="1445" t="s">
        <v>2617</v>
      </c>
      <c r="B285" s="1445"/>
      <c r="C285" s="1445"/>
      <c r="D285" s="1445"/>
      <c r="E285" s="1445"/>
      <c r="F285" s="1445"/>
      <c r="G285" s="1445"/>
      <c r="H285" s="1445"/>
      <c r="I285" s="1445"/>
      <c r="J285" s="1445"/>
      <c r="K285" s="1445"/>
      <c r="L285" s="1445"/>
      <c r="M285" s="1445"/>
      <c r="N285" s="1445"/>
      <c r="O285" s="1445"/>
      <c r="P285" s="1445"/>
      <c r="Q285" s="1445"/>
      <c r="AS285" s="361">
        <v>3121</v>
      </c>
    </row>
    <row r="286" spans="1:45" ht="45" customHeight="1" x14ac:dyDescent="0.35">
      <c r="A286" s="1445" t="s">
        <v>2618</v>
      </c>
      <c r="B286" s="1445"/>
      <c r="C286" s="1445"/>
      <c r="D286" s="1445"/>
      <c r="E286" s="1445"/>
      <c r="F286" s="1445"/>
      <c r="G286" s="1445"/>
      <c r="H286" s="1445"/>
      <c r="I286" s="1445"/>
      <c r="J286" s="1445"/>
      <c r="K286" s="1445"/>
      <c r="L286" s="1445"/>
      <c r="M286" s="1445"/>
      <c r="N286" s="1445"/>
      <c r="O286" s="1445"/>
      <c r="P286" s="1445"/>
      <c r="Q286" s="1445"/>
      <c r="AS286" s="361">
        <v>3131</v>
      </c>
    </row>
    <row r="287" spans="1:45" ht="45" customHeight="1" x14ac:dyDescent="0.35">
      <c r="A287" s="1445" t="s">
        <v>2619</v>
      </c>
      <c r="B287" s="1445"/>
      <c r="C287" s="1445"/>
      <c r="D287" s="1445"/>
      <c r="E287" s="1445"/>
      <c r="F287" s="1445"/>
      <c r="G287" s="1445"/>
      <c r="H287" s="1445"/>
      <c r="I287" s="1445"/>
      <c r="J287" s="1445"/>
      <c r="K287" s="1445"/>
      <c r="L287" s="1445"/>
      <c r="M287" s="1445"/>
      <c r="N287" s="1445"/>
      <c r="O287" s="1445"/>
      <c r="P287" s="1445"/>
      <c r="Q287" s="1445"/>
      <c r="AS287" s="361">
        <v>3141</v>
      </c>
    </row>
    <row r="288" spans="1:45" ht="45" customHeight="1" x14ac:dyDescent="0.35">
      <c r="A288" s="1445" t="s">
        <v>2620</v>
      </c>
      <c r="B288" s="1445"/>
      <c r="C288" s="1445"/>
      <c r="D288" s="1445"/>
      <c r="E288" s="1445"/>
      <c r="F288" s="1445"/>
      <c r="G288" s="1445"/>
      <c r="H288" s="1445"/>
      <c r="I288" s="1445"/>
      <c r="J288" s="1445"/>
      <c r="K288" s="1445"/>
      <c r="L288" s="1445"/>
      <c r="M288" s="1445"/>
      <c r="N288" s="1445"/>
      <c r="O288" s="1445"/>
      <c r="P288" s="1445"/>
      <c r="Q288" s="1445"/>
      <c r="AS288" s="361">
        <v>3151</v>
      </c>
    </row>
    <row r="289" spans="1:45" ht="45" customHeight="1" x14ac:dyDescent="0.35">
      <c r="A289" s="1445" t="s">
        <v>2621</v>
      </c>
      <c r="B289" s="1445"/>
      <c r="C289" s="1445"/>
      <c r="D289" s="1445"/>
      <c r="E289" s="1445"/>
      <c r="F289" s="1445"/>
      <c r="G289" s="1445"/>
      <c r="H289" s="1445"/>
      <c r="I289" s="1445"/>
      <c r="J289" s="1445"/>
      <c r="K289" s="1445"/>
      <c r="L289" s="1445"/>
      <c r="M289" s="1445"/>
      <c r="N289" s="1445"/>
      <c r="O289" s="1445"/>
      <c r="P289" s="1445"/>
      <c r="Q289" s="1445"/>
      <c r="AS289" s="361">
        <v>3161</v>
      </c>
    </row>
    <row r="290" spans="1:45" ht="45" customHeight="1" x14ac:dyDescent="0.35">
      <c r="A290" s="1445" t="s">
        <v>2622</v>
      </c>
      <c r="B290" s="1445"/>
      <c r="C290" s="1445"/>
      <c r="D290" s="1445"/>
      <c r="E290" s="1445"/>
      <c r="F290" s="1445"/>
      <c r="G290" s="1445"/>
      <c r="H290" s="1445"/>
      <c r="I290" s="1445"/>
      <c r="J290" s="1445"/>
      <c r="K290" s="1445"/>
      <c r="L290" s="1445"/>
      <c r="M290" s="1445"/>
      <c r="N290" s="1445"/>
      <c r="O290" s="1445"/>
      <c r="P290" s="1445"/>
      <c r="Q290" s="1445"/>
      <c r="AS290" s="361">
        <v>3171</v>
      </c>
    </row>
    <row r="291" spans="1:45" ht="30" customHeight="1" x14ac:dyDescent="0.35">
      <c r="A291" s="1445" t="s">
        <v>2623</v>
      </c>
      <c r="B291" s="1445"/>
      <c r="C291" s="1445"/>
      <c r="D291" s="1445"/>
      <c r="E291" s="1445"/>
      <c r="F291" s="1445"/>
      <c r="G291" s="1445"/>
      <c r="H291" s="1445"/>
      <c r="I291" s="1445"/>
      <c r="J291" s="1445"/>
      <c r="K291" s="1445"/>
      <c r="L291" s="1445"/>
      <c r="M291" s="1445"/>
      <c r="N291" s="1445"/>
      <c r="O291" s="1445"/>
      <c r="P291" s="1445"/>
      <c r="Q291" s="1445"/>
      <c r="AS291" s="361">
        <v>3181</v>
      </c>
    </row>
    <row r="292" spans="1:45" ht="30" customHeight="1" x14ac:dyDescent="0.35">
      <c r="A292" s="1445" t="s">
        <v>2624</v>
      </c>
      <c r="B292" s="1445"/>
      <c r="C292" s="1445"/>
      <c r="D292" s="1445"/>
      <c r="E292" s="1445"/>
      <c r="F292" s="1445"/>
      <c r="G292" s="1445"/>
      <c r="H292" s="1445"/>
      <c r="I292" s="1445"/>
      <c r="J292" s="1445"/>
      <c r="K292" s="1445"/>
      <c r="L292" s="1445"/>
      <c r="M292" s="1445"/>
      <c r="N292" s="1445"/>
      <c r="O292" s="1445"/>
      <c r="P292" s="1445"/>
      <c r="Q292" s="1445"/>
      <c r="AS292" s="361">
        <v>3191</v>
      </c>
    </row>
    <row r="293" spans="1:45" ht="36" customHeight="1" x14ac:dyDescent="0.35">
      <c r="A293" s="1445" t="s">
        <v>2625</v>
      </c>
      <c r="B293" s="1445"/>
      <c r="C293" s="1445"/>
      <c r="D293" s="1445"/>
      <c r="E293" s="1445"/>
      <c r="F293" s="1445"/>
      <c r="G293" s="1445"/>
      <c r="H293" s="1445"/>
      <c r="I293" s="1445"/>
      <c r="J293" s="1445"/>
      <c r="K293" s="1445"/>
      <c r="L293" s="1445"/>
      <c r="M293" s="1445"/>
      <c r="N293" s="1445"/>
      <c r="O293" s="1445"/>
      <c r="P293" s="1445"/>
      <c r="Q293" s="1445"/>
      <c r="AR293" s="361">
        <v>3201</v>
      </c>
      <c r="AS293" s="48"/>
    </row>
    <row r="294" spans="1:45" x14ac:dyDescent="0.35">
      <c r="A294" s="1445" t="s">
        <v>2626</v>
      </c>
      <c r="B294" s="1445"/>
      <c r="C294" s="1445"/>
      <c r="D294" s="1445"/>
      <c r="E294" s="1445"/>
      <c r="F294" s="1445"/>
      <c r="G294" s="1445"/>
      <c r="H294" s="1445"/>
      <c r="I294" s="1445"/>
      <c r="J294" s="1445"/>
      <c r="K294" s="1445"/>
      <c r="L294" s="1445"/>
      <c r="M294" s="1445"/>
      <c r="N294" s="1445"/>
      <c r="O294" s="1445"/>
      <c r="P294" s="1445"/>
      <c r="Q294" s="1445"/>
      <c r="AS294" s="361">
        <v>3211</v>
      </c>
    </row>
    <row r="295" spans="1:45" x14ac:dyDescent="0.35">
      <c r="A295" s="123"/>
      <c r="B295" s="123"/>
      <c r="C295" s="123"/>
      <c r="D295" s="123"/>
      <c r="E295" s="123"/>
      <c r="F295" s="123"/>
      <c r="G295" s="123"/>
      <c r="H295" s="123"/>
      <c r="I295" s="123"/>
      <c r="J295" s="123"/>
      <c r="K295" s="123"/>
      <c r="L295" s="123"/>
      <c r="M295" s="123"/>
      <c r="N295" s="123"/>
      <c r="O295" s="123"/>
      <c r="P295" s="123"/>
      <c r="Q295" s="360"/>
      <c r="R295" s="48"/>
      <c r="AS295" s="361">
        <v>3711</v>
      </c>
    </row>
    <row r="296" spans="1:45" x14ac:dyDescent="0.35">
      <c r="A296" s="123"/>
      <c r="B296" s="123"/>
      <c r="C296" s="123"/>
      <c r="D296" s="123"/>
      <c r="E296" s="123"/>
      <c r="F296" s="123"/>
      <c r="G296" s="123"/>
      <c r="H296" s="123"/>
      <c r="I296" s="123"/>
      <c r="J296" s="123"/>
      <c r="K296" s="123"/>
      <c r="L296" s="123"/>
      <c r="M296" s="123"/>
      <c r="N296" s="123"/>
      <c r="O296" s="123"/>
      <c r="P296" s="123"/>
      <c r="Q296" s="123"/>
      <c r="AS296" s="361">
        <v>3712</v>
      </c>
    </row>
    <row r="297" spans="1:45" x14ac:dyDescent="0.35">
      <c r="A297" s="123"/>
      <c r="B297" s="123"/>
      <c r="C297" s="123"/>
      <c r="D297" s="123"/>
      <c r="E297" s="123"/>
      <c r="F297" s="123"/>
      <c r="G297" s="123"/>
      <c r="H297" s="123"/>
      <c r="I297" s="123"/>
      <c r="J297" s="123"/>
      <c r="K297" s="123"/>
      <c r="L297" s="123"/>
      <c r="M297" s="123"/>
      <c r="N297" s="123"/>
      <c r="O297" s="123"/>
      <c r="P297" s="123"/>
      <c r="Q297" s="123"/>
      <c r="AS297" s="361">
        <v>3713</v>
      </c>
    </row>
    <row r="298" spans="1:45" x14ac:dyDescent="0.35">
      <c r="A298" s="123"/>
      <c r="B298" s="123"/>
      <c r="C298" s="123"/>
      <c r="D298" s="123"/>
      <c r="E298" s="123"/>
      <c r="F298" s="123"/>
      <c r="G298" s="123"/>
      <c r="H298" s="123"/>
      <c r="I298" s="123"/>
      <c r="J298" s="123"/>
      <c r="K298" s="123"/>
      <c r="L298" s="123"/>
      <c r="M298" s="123"/>
      <c r="N298" s="123"/>
      <c r="O298" s="123"/>
      <c r="P298" s="123"/>
      <c r="Q298" s="123"/>
      <c r="AS298" s="361">
        <v>3901</v>
      </c>
    </row>
    <row r="299" spans="1:45" x14ac:dyDescent="0.35">
      <c r="A299" s="123"/>
      <c r="B299" s="123"/>
      <c r="C299" s="123"/>
      <c r="D299" s="123"/>
      <c r="E299" s="123"/>
      <c r="F299" s="123"/>
      <c r="G299" s="123"/>
      <c r="H299" s="123"/>
      <c r="I299" s="123"/>
      <c r="J299" s="123"/>
      <c r="K299" s="123"/>
      <c r="L299" s="123"/>
      <c r="M299" s="123"/>
      <c r="N299" s="123"/>
      <c r="O299" s="123"/>
      <c r="P299" s="123"/>
      <c r="Q299" s="123"/>
      <c r="AS299" s="361">
        <v>3902</v>
      </c>
    </row>
    <row r="300" spans="1:45" x14ac:dyDescent="0.35">
      <c r="A300" s="123"/>
      <c r="B300" s="123"/>
      <c r="C300" s="123"/>
      <c r="D300" s="123"/>
      <c r="E300" s="123"/>
      <c r="F300" s="123"/>
      <c r="G300" s="123"/>
      <c r="H300" s="123"/>
      <c r="I300" s="123"/>
      <c r="J300" s="123"/>
      <c r="K300" s="123"/>
      <c r="L300" s="123"/>
      <c r="M300" s="123"/>
      <c r="N300" s="123"/>
      <c r="O300" s="123"/>
      <c r="P300" s="123"/>
      <c r="Q300" s="123"/>
      <c r="AS300" s="361">
        <v>3903</v>
      </c>
    </row>
    <row r="301" spans="1:45" x14ac:dyDescent="0.35">
      <c r="A301" s="123"/>
      <c r="B301" s="123"/>
      <c r="C301" s="123"/>
      <c r="D301" s="123"/>
      <c r="E301" s="123"/>
      <c r="F301" s="123"/>
      <c r="G301" s="123"/>
      <c r="H301" s="123"/>
      <c r="I301" s="123"/>
      <c r="J301" s="123"/>
      <c r="K301" s="123"/>
      <c r="L301" s="123"/>
      <c r="M301" s="123"/>
      <c r="N301" s="123"/>
      <c r="O301" s="123"/>
      <c r="P301" s="123"/>
      <c r="Q301" s="123"/>
      <c r="AS301" s="361">
        <v>3904</v>
      </c>
    </row>
    <row r="302" spans="1:45" x14ac:dyDescent="0.35">
      <c r="A302" s="123"/>
      <c r="B302" s="123"/>
      <c r="C302" s="123"/>
      <c r="D302" s="123"/>
      <c r="E302" s="123"/>
      <c r="F302" s="123"/>
      <c r="G302" s="123"/>
      <c r="H302" s="123"/>
      <c r="I302" s="123"/>
      <c r="J302" s="123"/>
      <c r="K302" s="123"/>
      <c r="L302" s="123"/>
      <c r="M302" s="123"/>
      <c r="N302" s="123"/>
      <c r="O302" s="123"/>
      <c r="P302" s="123"/>
      <c r="Q302" s="123"/>
      <c r="AS302" s="361">
        <v>4111</v>
      </c>
    </row>
    <row r="303" spans="1:45" x14ac:dyDescent="0.35">
      <c r="A303" s="123"/>
      <c r="B303" s="123"/>
      <c r="C303" s="123"/>
      <c r="D303" s="123"/>
      <c r="E303" s="123"/>
      <c r="F303" s="123"/>
      <c r="G303" s="123"/>
      <c r="H303" s="123"/>
      <c r="I303" s="123"/>
      <c r="J303" s="123"/>
      <c r="K303" s="123"/>
      <c r="L303" s="123"/>
      <c r="M303" s="123"/>
      <c r="N303" s="123"/>
      <c r="O303" s="123"/>
      <c r="P303" s="123"/>
      <c r="Q303" s="123"/>
      <c r="AS303" s="361">
        <v>4112</v>
      </c>
    </row>
    <row r="304" spans="1:45" x14ac:dyDescent="0.35">
      <c r="A304" s="123"/>
      <c r="B304" s="123"/>
      <c r="C304" s="123"/>
      <c r="D304" s="123"/>
      <c r="E304" s="123"/>
      <c r="F304" s="123"/>
      <c r="G304" s="123"/>
      <c r="H304" s="123"/>
      <c r="I304" s="123"/>
      <c r="J304" s="123"/>
      <c r="K304" s="123"/>
      <c r="L304" s="123"/>
      <c r="M304" s="123"/>
      <c r="N304" s="123"/>
      <c r="O304" s="123"/>
      <c r="P304" s="123"/>
      <c r="Q304" s="123"/>
      <c r="AS304" s="361">
        <v>4113</v>
      </c>
    </row>
    <row r="305" spans="1:45" x14ac:dyDescent="0.35">
      <c r="A305" s="123"/>
      <c r="B305" s="123"/>
      <c r="C305" s="123"/>
      <c r="D305" s="123"/>
      <c r="E305" s="123"/>
      <c r="F305" s="123"/>
      <c r="G305" s="123"/>
      <c r="H305" s="123"/>
      <c r="I305" s="123"/>
      <c r="J305" s="123"/>
      <c r="K305" s="123"/>
      <c r="L305" s="123"/>
      <c r="M305" s="123"/>
      <c r="N305" s="123"/>
      <c r="O305" s="123"/>
      <c r="P305" s="123"/>
      <c r="Q305" s="123"/>
      <c r="AS305" s="361">
        <v>4114</v>
      </c>
    </row>
    <row r="306" spans="1:45" x14ac:dyDescent="0.35">
      <c r="A306" s="123"/>
      <c r="B306" s="123"/>
      <c r="C306" s="123"/>
      <c r="D306" s="123"/>
      <c r="E306" s="123"/>
      <c r="F306" s="123"/>
      <c r="G306" s="123"/>
      <c r="H306" s="123"/>
      <c r="I306" s="123"/>
      <c r="J306" s="123"/>
      <c r="K306" s="123"/>
      <c r="L306" s="123"/>
      <c r="M306" s="123"/>
      <c r="N306" s="123"/>
      <c r="O306" s="123"/>
      <c r="P306" s="123"/>
      <c r="Q306" s="123"/>
      <c r="AS306" s="361">
        <v>4121</v>
      </c>
    </row>
    <row r="307" spans="1:45" x14ac:dyDescent="0.35">
      <c r="A307" s="123"/>
      <c r="B307" s="123"/>
      <c r="C307" s="123"/>
      <c r="D307" s="123"/>
      <c r="E307" s="123"/>
      <c r="F307" s="123"/>
      <c r="G307" s="123"/>
      <c r="H307" s="123"/>
      <c r="I307" s="123"/>
      <c r="J307" s="123"/>
      <c r="K307" s="123"/>
      <c r="L307" s="123"/>
      <c r="M307" s="123"/>
      <c r="N307" s="123"/>
      <c r="O307" s="123"/>
      <c r="P307" s="123"/>
      <c r="Q307" s="123"/>
      <c r="AS307" s="361">
        <v>4122</v>
      </c>
    </row>
    <row r="308" spans="1:45" x14ac:dyDescent="0.35">
      <c r="A308" s="123"/>
      <c r="B308" s="123"/>
      <c r="C308" s="123"/>
      <c r="D308" s="123"/>
      <c r="E308" s="123"/>
      <c r="F308" s="123"/>
      <c r="G308" s="123"/>
      <c r="H308" s="123"/>
      <c r="I308" s="123"/>
      <c r="J308" s="123"/>
      <c r="K308" s="123"/>
      <c r="L308" s="123"/>
      <c r="M308" s="123"/>
      <c r="N308" s="123"/>
      <c r="O308" s="123"/>
      <c r="P308" s="123"/>
      <c r="Q308" s="123"/>
      <c r="AS308" s="361">
        <v>4211</v>
      </c>
    </row>
    <row r="309" spans="1:45" x14ac:dyDescent="0.35">
      <c r="A309" s="123"/>
      <c r="B309" s="123"/>
      <c r="C309" s="123"/>
      <c r="D309" s="123"/>
      <c r="E309" s="123"/>
      <c r="F309" s="123"/>
      <c r="G309" s="123"/>
      <c r="H309" s="123"/>
      <c r="I309" s="123"/>
      <c r="J309" s="123"/>
      <c r="K309" s="123"/>
      <c r="L309" s="123"/>
      <c r="M309" s="123"/>
      <c r="N309" s="123"/>
      <c r="O309" s="123"/>
      <c r="P309" s="123"/>
      <c r="Q309" s="123"/>
      <c r="AS309" s="361">
        <v>4212</v>
      </c>
    </row>
    <row r="310" spans="1:45" x14ac:dyDescent="0.35">
      <c r="A310" s="123"/>
      <c r="B310" s="123"/>
      <c r="C310" s="123"/>
      <c r="D310" s="123"/>
      <c r="E310" s="123"/>
      <c r="F310" s="123"/>
      <c r="G310" s="123"/>
      <c r="H310" s="123"/>
      <c r="I310" s="123"/>
      <c r="J310" s="123"/>
      <c r="K310" s="123"/>
      <c r="L310" s="123"/>
      <c r="M310" s="123"/>
      <c r="N310" s="123"/>
      <c r="O310" s="123"/>
      <c r="P310" s="123"/>
      <c r="Q310" s="123"/>
      <c r="AS310" s="361">
        <v>4221</v>
      </c>
    </row>
    <row r="311" spans="1:45" x14ac:dyDescent="0.35">
      <c r="A311" s="123"/>
      <c r="B311" s="123"/>
      <c r="C311" s="123"/>
      <c r="D311" s="123"/>
      <c r="E311" s="123"/>
      <c r="F311" s="123"/>
      <c r="G311" s="123"/>
      <c r="H311" s="123"/>
      <c r="I311" s="123"/>
      <c r="J311" s="123"/>
      <c r="K311" s="123"/>
      <c r="L311" s="123"/>
      <c r="M311" s="123"/>
      <c r="N311" s="123"/>
      <c r="O311" s="123"/>
      <c r="P311" s="123"/>
      <c r="Q311" s="123"/>
      <c r="AS311" s="361">
        <v>4222</v>
      </c>
    </row>
    <row r="312" spans="1:45" x14ac:dyDescent="0.35">
      <c r="A312" s="123"/>
      <c r="B312" s="123"/>
      <c r="C312" s="123"/>
      <c r="D312" s="123"/>
      <c r="E312" s="123"/>
      <c r="F312" s="123"/>
      <c r="G312" s="123"/>
      <c r="H312" s="123"/>
      <c r="I312" s="123"/>
      <c r="J312" s="123"/>
      <c r="K312" s="123"/>
      <c r="L312" s="123"/>
      <c r="M312" s="123"/>
      <c r="N312" s="123"/>
      <c r="O312" s="123"/>
      <c r="P312" s="123"/>
      <c r="Q312" s="123"/>
      <c r="AS312" s="361">
        <v>4231</v>
      </c>
    </row>
    <row r="313" spans="1:45" x14ac:dyDescent="0.35">
      <c r="A313" s="123"/>
      <c r="B313" s="123"/>
      <c r="C313" s="123"/>
      <c r="D313" s="123"/>
      <c r="E313" s="123"/>
      <c r="F313" s="123"/>
      <c r="G313" s="123"/>
      <c r="H313" s="123"/>
      <c r="I313" s="123"/>
      <c r="J313" s="123"/>
      <c r="K313" s="123"/>
      <c r="L313" s="123"/>
      <c r="M313" s="123"/>
      <c r="N313" s="123"/>
      <c r="O313" s="123"/>
      <c r="P313" s="123"/>
      <c r="Q313" s="123"/>
      <c r="AS313" s="361">
        <v>4241</v>
      </c>
    </row>
    <row r="314" spans="1:45" x14ac:dyDescent="0.35">
      <c r="A314" s="123"/>
      <c r="B314" s="123"/>
      <c r="C314" s="123"/>
      <c r="D314" s="123"/>
      <c r="E314" s="123"/>
      <c r="F314" s="123"/>
      <c r="G314" s="123"/>
      <c r="H314" s="123"/>
      <c r="I314" s="123"/>
      <c r="J314" s="123"/>
      <c r="K314" s="123"/>
      <c r="L314" s="123"/>
      <c r="M314" s="123"/>
      <c r="N314" s="123"/>
      <c r="O314" s="123"/>
      <c r="P314" s="123"/>
      <c r="Q314" s="123"/>
      <c r="AS314" s="361">
        <v>4251</v>
      </c>
    </row>
    <row r="315" spans="1:45" x14ac:dyDescent="0.35">
      <c r="A315" s="123"/>
      <c r="B315" s="123"/>
      <c r="C315" s="123"/>
      <c r="D315" s="123"/>
      <c r="E315" s="123"/>
      <c r="F315" s="123"/>
      <c r="G315" s="123"/>
      <c r="H315" s="123"/>
      <c r="I315" s="123"/>
      <c r="J315" s="123"/>
      <c r="K315" s="123"/>
      <c r="L315" s="123"/>
      <c r="M315" s="123"/>
      <c r="N315" s="123"/>
      <c r="O315" s="123"/>
      <c r="P315" s="123"/>
      <c r="Q315" s="123"/>
      <c r="AS315" s="361">
        <v>4311</v>
      </c>
    </row>
    <row r="316" spans="1:45" x14ac:dyDescent="0.35">
      <c r="A316" s="123"/>
      <c r="B316" s="123"/>
      <c r="C316" s="123"/>
      <c r="D316" s="123"/>
      <c r="E316" s="123"/>
      <c r="F316" s="123"/>
      <c r="G316" s="123"/>
      <c r="H316" s="123"/>
      <c r="I316" s="123"/>
      <c r="J316" s="123"/>
      <c r="K316" s="123"/>
      <c r="L316" s="123"/>
      <c r="M316" s="123"/>
      <c r="N316" s="123"/>
      <c r="O316" s="123"/>
      <c r="P316" s="123"/>
      <c r="Q316" s="123"/>
      <c r="AS316" s="361">
        <v>4321</v>
      </c>
    </row>
    <row r="317" spans="1:45" x14ac:dyDescent="0.35">
      <c r="A317" s="123"/>
      <c r="B317" s="123"/>
      <c r="C317" s="123"/>
      <c r="D317" s="123"/>
      <c r="E317" s="123"/>
      <c r="F317" s="123"/>
      <c r="G317" s="123"/>
      <c r="H317" s="123"/>
      <c r="I317" s="123"/>
      <c r="J317" s="123"/>
      <c r="K317" s="123"/>
      <c r="L317" s="123"/>
      <c r="M317" s="123"/>
      <c r="N317" s="123"/>
      <c r="O317" s="123"/>
      <c r="P317" s="123"/>
      <c r="Q317" s="123"/>
      <c r="AS317" s="361">
        <v>4411</v>
      </c>
    </row>
    <row r="318" spans="1:45" x14ac:dyDescent="0.35">
      <c r="A318" s="123"/>
      <c r="B318" s="123"/>
      <c r="C318" s="123"/>
      <c r="D318" s="123"/>
      <c r="E318" s="123"/>
      <c r="F318" s="123"/>
      <c r="G318" s="123"/>
      <c r="H318" s="123"/>
      <c r="I318" s="123"/>
      <c r="J318" s="123"/>
      <c r="K318" s="123"/>
      <c r="L318" s="123"/>
      <c r="M318" s="123"/>
      <c r="N318" s="123"/>
      <c r="O318" s="123"/>
      <c r="P318" s="123"/>
      <c r="Q318" s="123"/>
      <c r="AS318" s="361">
        <v>4412</v>
      </c>
    </row>
    <row r="319" spans="1:45" x14ac:dyDescent="0.35">
      <c r="A319" s="123"/>
      <c r="B319" s="123"/>
      <c r="C319" s="123"/>
      <c r="D319" s="123"/>
      <c r="E319" s="123"/>
      <c r="F319" s="123"/>
      <c r="G319" s="123"/>
      <c r="H319" s="123"/>
      <c r="I319" s="123"/>
      <c r="J319" s="123"/>
      <c r="K319" s="123"/>
      <c r="L319" s="123"/>
      <c r="M319" s="123"/>
      <c r="N319" s="123"/>
      <c r="O319" s="123"/>
      <c r="P319" s="123"/>
      <c r="Q319" s="123"/>
      <c r="AS319" s="361">
        <v>4413</v>
      </c>
    </row>
    <row r="320" spans="1:45" x14ac:dyDescent="0.35">
      <c r="A320" s="123"/>
      <c r="B320" s="123"/>
      <c r="C320" s="123"/>
      <c r="D320" s="123"/>
      <c r="E320" s="123"/>
      <c r="F320" s="123"/>
      <c r="G320" s="123"/>
      <c r="H320" s="123"/>
      <c r="I320" s="123"/>
      <c r="J320" s="123"/>
      <c r="K320" s="123"/>
      <c r="L320" s="123"/>
      <c r="M320" s="123"/>
      <c r="N320" s="123"/>
      <c r="O320" s="123"/>
      <c r="P320" s="123"/>
      <c r="Q320" s="123"/>
      <c r="AS320" s="361">
        <v>4414</v>
      </c>
    </row>
    <row r="321" spans="1:45" x14ac:dyDescent="0.35">
      <c r="A321" s="123"/>
      <c r="B321" s="123"/>
      <c r="C321" s="123"/>
      <c r="D321" s="123"/>
      <c r="E321" s="123"/>
      <c r="F321" s="123"/>
      <c r="G321" s="123"/>
      <c r="H321" s="123"/>
      <c r="I321" s="123"/>
      <c r="J321" s="123"/>
      <c r="K321" s="123"/>
      <c r="L321" s="123"/>
      <c r="M321" s="123"/>
      <c r="N321" s="123"/>
      <c r="O321" s="123"/>
      <c r="P321" s="123"/>
      <c r="Q321" s="123"/>
      <c r="AS321" s="361">
        <v>4421</v>
      </c>
    </row>
    <row r="322" spans="1:45" x14ac:dyDescent="0.35">
      <c r="A322" s="123"/>
      <c r="B322" s="123"/>
      <c r="C322" s="123"/>
      <c r="D322" s="123"/>
      <c r="E322" s="123"/>
      <c r="F322" s="123"/>
      <c r="G322" s="123"/>
      <c r="H322" s="123"/>
      <c r="I322" s="123"/>
      <c r="J322" s="123"/>
      <c r="K322" s="123"/>
      <c r="L322" s="123"/>
      <c r="M322" s="123"/>
      <c r="N322" s="123"/>
      <c r="O322" s="123"/>
      <c r="P322" s="123"/>
      <c r="Q322" s="123"/>
      <c r="AS322" s="361">
        <v>4422</v>
      </c>
    </row>
    <row r="323" spans="1:45" x14ac:dyDescent="0.35">
      <c r="A323" s="123"/>
      <c r="B323" s="123"/>
      <c r="C323" s="123"/>
      <c r="D323" s="123"/>
      <c r="E323" s="123"/>
      <c r="F323" s="123"/>
      <c r="G323" s="123"/>
      <c r="H323" s="123"/>
      <c r="I323" s="123"/>
      <c r="J323" s="123"/>
      <c r="K323" s="123"/>
      <c r="L323" s="123"/>
      <c r="M323" s="123"/>
      <c r="N323" s="123"/>
      <c r="O323" s="123"/>
      <c r="P323" s="123"/>
      <c r="Q323" s="123"/>
      <c r="AS323" s="361">
        <v>4423</v>
      </c>
    </row>
    <row r="324" spans="1:45" x14ac:dyDescent="0.35">
      <c r="A324" s="123"/>
      <c r="B324" s="123"/>
      <c r="C324" s="123"/>
      <c r="D324" s="123"/>
      <c r="E324" s="123"/>
      <c r="F324" s="123"/>
      <c r="G324" s="123"/>
      <c r="H324" s="123"/>
      <c r="I324" s="123"/>
      <c r="J324" s="123"/>
      <c r="K324" s="123"/>
      <c r="L324" s="123"/>
      <c r="M324" s="123"/>
      <c r="N324" s="123"/>
      <c r="O324" s="123"/>
      <c r="P324" s="123"/>
      <c r="Q324" s="123"/>
      <c r="AS324" s="361">
        <v>4424</v>
      </c>
    </row>
    <row r="325" spans="1:45" x14ac:dyDescent="0.35">
      <c r="A325" s="123"/>
      <c r="B325" s="123"/>
      <c r="C325" s="123"/>
      <c r="D325" s="123"/>
      <c r="E325" s="123"/>
      <c r="F325" s="123"/>
      <c r="G325" s="123"/>
      <c r="H325" s="123"/>
      <c r="I325" s="123"/>
      <c r="J325" s="123"/>
      <c r="K325" s="123"/>
      <c r="L325" s="123"/>
      <c r="M325" s="123"/>
      <c r="N325" s="123"/>
      <c r="O325" s="123"/>
      <c r="P325" s="123"/>
      <c r="Q325" s="123"/>
      <c r="AS325" s="361">
        <v>4425</v>
      </c>
    </row>
    <row r="326" spans="1:45" x14ac:dyDescent="0.35">
      <c r="A326" s="123"/>
      <c r="B326" s="123"/>
      <c r="C326" s="123"/>
      <c r="D326" s="123"/>
      <c r="E326" s="123"/>
      <c r="F326" s="123"/>
      <c r="G326" s="123"/>
      <c r="H326" s="123"/>
      <c r="I326" s="123"/>
      <c r="J326" s="123"/>
      <c r="K326" s="123"/>
      <c r="L326" s="123"/>
      <c r="M326" s="123"/>
      <c r="N326" s="123"/>
      <c r="O326" s="123"/>
      <c r="P326" s="123"/>
      <c r="Q326" s="123"/>
      <c r="AS326" s="361">
        <v>4426</v>
      </c>
    </row>
    <row r="327" spans="1:45" x14ac:dyDescent="0.35">
      <c r="A327" s="123"/>
      <c r="B327" s="123"/>
      <c r="C327" s="123"/>
      <c r="D327" s="123"/>
      <c r="E327" s="123"/>
      <c r="F327" s="123"/>
      <c r="G327" s="123"/>
      <c r="H327" s="123"/>
      <c r="I327" s="123"/>
      <c r="J327" s="123"/>
      <c r="K327" s="123"/>
      <c r="L327" s="123"/>
      <c r="M327" s="123"/>
      <c r="N327" s="123"/>
      <c r="O327" s="123"/>
      <c r="P327" s="123"/>
      <c r="Q327" s="123"/>
      <c r="AS327" s="361">
        <v>4427</v>
      </c>
    </row>
    <row r="328" spans="1:45" x14ac:dyDescent="0.35">
      <c r="A328" s="123"/>
      <c r="B328" s="123"/>
      <c r="C328" s="123"/>
      <c r="D328" s="123"/>
      <c r="E328" s="123"/>
      <c r="F328" s="123"/>
      <c r="G328" s="123"/>
      <c r="H328" s="123"/>
      <c r="I328" s="123"/>
      <c r="J328" s="123"/>
      <c r="K328" s="123"/>
      <c r="L328" s="123"/>
      <c r="M328" s="123"/>
      <c r="N328" s="123"/>
      <c r="O328" s="123"/>
      <c r="P328" s="123"/>
      <c r="Q328" s="123"/>
      <c r="AS328" s="361">
        <v>4428</v>
      </c>
    </row>
    <row r="329" spans="1:45" x14ac:dyDescent="0.35">
      <c r="A329" s="123"/>
      <c r="B329" s="123"/>
      <c r="C329" s="123"/>
      <c r="D329" s="123"/>
      <c r="E329" s="123"/>
      <c r="F329" s="123"/>
      <c r="G329" s="123"/>
      <c r="H329" s="123"/>
      <c r="I329" s="123"/>
      <c r="J329" s="123"/>
      <c r="K329" s="123"/>
      <c r="L329" s="123"/>
      <c r="M329" s="123"/>
      <c r="N329" s="123"/>
      <c r="O329" s="123"/>
      <c r="P329" s="123"/>
      <c r="Q329" s="123"/>
      <c r="AS329" s="361">
        <v>4511</v>
      </c>
    </row>
    <row r="330" spans="1:45" x14ac:dyDescent="0.35">
      <c r="A330" s="123"/>
      <c r="B330" s="123"/>
      <c r="C330" s="123"/>
      <c r="D330" s="123"/>
      <c r="E330" s="123"/>
      <c r="F330" s="123"/>
      <c r="G330" s="123"/>
      <c r="H330" s="123"/>
      <c r="I330" s="123"/>
      <c r="J330" s="123"/>
      <c r="K330" s="123"/>
      <c r="L330" s="123"/>
      <c r="M330" s="123"/>
      <c r="N330" s="123"/>
      <c r="O330" s="123"/>
      <c r="P330" s="123"/>
      <c r="Q330" s="123"/>
      <c r="AS330" s="361">
        <v>4521</v>
      </c>
    </row>
    <row r="331" spans="1:45" x14ac:dyDescent="0.35">
      <c r="A331" s="123"/>
      <c r="B331" s="123"/>
      <c r="C331" s="123"/>
      <c r="D331" s="123"/>
      <c r="E331" s="123"/>
      <c r="F331" s="123"/>
      <c r="G331" s="123"/>
      <c r="H331" s="123"/>
      <c r="I331" s="123"/>
      <c r="J331" s="123"/>
      <c r="K331" s="123"/>
      <c r="L331" s="123"/>
      <c r="M331" s="123"/>
      <c r="N331" s="123"/>
      <c r="O331" s="123"/>
      <c r="P331" s="123"/>
      <c r="Q331" s="123"/>
      <c r="AS331" s="361">
        <v>5100</v>
      </c>
    </row>
    <row r="332" spans="1:45" x14ac:dyDescent="0.35">
      <c r="A332" s="123"/>
      <c r="B332" s="123"/>
      <c r="C332" s="123"/>
      <c r="D332" s="123"/>
      <c r="E332" s="123"/>
      <c r="F332" s="123"/>
      <c r="G332" s="123"/>
      <c r="H332" s="123"/>
      <c r="I332" s="123"/>
      <c r="J332" s="123"/>
      <c r="K332" s="123"/>
      <c r="L332" s="123"/>
      <c r="M332" s="123"/>
      <c r="N332" s="123"/>
      <c r="O332" s="123"/>
      <c r="P332" s="123"/>
      <c r="Q332" s="123"/>
      <c r="AS332" s="361">
        <v>5302</v>
      </c>
    </row>
    <row r="333" spans="1:45" x14ac:dyDescent="0.35">
      <c r="A333" s="123"/>
      <c r="B333" s="123"/>
      <c r="C333" s="123"/>
      <c r="D333" s="123"/>
      <c r="E333" s="123"/>
      <c r="F333" s="123"/>
      <c r="G333" s="123"/>
      <c r="H333" s="123"/>
      <c r="I333" s="123"/>
      <c r="J333" s="123"/>
      <c r="K333" s="123"/>
      <c r="L333" s="123"/>
      <c r="M333" s="123"/>
      <c r="N333" s="123"/>
      <c r="O333" s="123"/>
      <c r="P333" s="123"/>
      <c r="Q333" s="123"/>
      <c r="AS333" s="361">
        <v>5303</v>
      </c>
    </row>
    <row r="334" spans="1:45" x14ac:dyDescent="0.35">
      <c r="A334" s="123"/>
      <c r="B334" s="123"/>
      <c r="C334" s="123"/>
      <c r="D334" s="123"/>
      <c r="E334" s="123"/>
      <c r="F334" s="123"/>
      <c r="G334" s="123"/>
      <c r="H334" s="123"/>
      <c r="I334" s="123"/>
      <c r="J334" s="123"/>
      <c r="K334" s="123"/>
      <c r="L334" s="123"/>
      <c r="M334" s="123"/>
      <c r="N334" s="123"/>
      <c r="O334" s="123"/>
      <c r="P334" s="123"/>
      <c r="Q334" s="123"/>
      <c r="AS334" s="361">
        <v>5304</v>
      </c>
    </row>
    <row r="335" spans="1:45" x14ac:dyDescent="0.35">
      <c r="A335" s="123"/>
      <c r="B335" s="123"/>
      <c r="C335" s="123"/>
      <c r="D335" s="123"/>
      <c r="E335" s="123"/>
      <c r="F335" s="123"/>
      <c r="G335" s="123"/>
      <c r="H335" s="123"/>
      <c r="I335" s="123"/>
      <c r="J335" s="123"/>
      <c r="K335" s="123"/>
      <c r="L335" s="123"/>
      <c r="M335" s="123"/>
      <c r="N335" s="123"/>
      <c r="O335" s="123"/>
      <c r="P335" s="123"/>
      <c r="Q335" s="123"/>
      <c r="AS335" s="361">
        <v>5306</v>
      </c>
    </row>
    <row r="336" spans="1:45" x14ac:dyDescent="0.35">
      <c r="A336" s="123"/>
      <c r="B336" s="123"/>
      <c r="C336" s="123"/>
      <c r="D336" s="123"/>
      <c r="E336" s="123"/>
      <c r="F336" s="123"/>
      <c r="G336" s="123"/>
      <c r="H336" s="123"/>
      <c r="I336" s="123"/>
      <c r="J336" s="123"/>
      <c r="K336" s="123"/>
      <c r="L336" s="123"/>
      <c r="M336" s="123"/>
      <c r="N336" s="123"/>
      <c r="O336" s="123"/>
      <c r="P336" s="123"/>
      <c r="Q336" s="123"/>
      <c r="AS336" s="361">
        <v>5307</v>
      </c>
    </row>
    <row r="337" spans="1:45" x14ac:dyDescent="0.35">
      <c r="A337" s="123"/>
      <c r="B337" s="123"/>
      <c r="C337" s="123"/>
      <c r="D337" s="123"/>
      <c r="E337" s="123"/>
      <c r="F337" s="123"/>
      <c r="G337" s="123"/>
      <c r="H337" s="123"/>
      <c r="I337" s="123"/>
      <c r="J337" s="123"/>
      <c r="K337" s="123"/>
      <c r="L337" s="123"/>
      <c r="M337" s="123"/>
      <c r="N337" s="123"/>
      <c r="O337" s="123"/>
      <c r="P337" s="123"/>
      <c r="Q337" s="123"/>
      <c r="AS337" s="361">
        <v>5400</v>
      </c>
    </row>
    <row r="338" spans="1:45" x14ac:dyDescent="0.35">
      <c r="A338" s="123"/>
      <c r="B338" s="123"/>
      <c r="C338" s="123"/>
      <c r="D338" s="123"/>
      <c r="E338" s="123"/>
      <c r="F338" s="123"/>
      <c r="G338" s="123"/>
      <c r="H338" s="123"/>
      <c r="I338" s="123"/>
      <c r="J338" s="123"/>
      <c r="K338" s="123"/>
      <c r="L338" s="123"/>
      <c r="M338" s="123"/>
      <c r="N338" s="123"/>
      <c r="O338" s="123"/>
      <c r="P338" s="123"/>
      <c r="Q338" s="123"/>
      <c r="AS338" s="361">
        <v>5500</v>
      </c>
    </row>
    <row r="339" spans="1:45" x14ac:dyDescent="0.35">
      <c r="A339" s="123"/>
      <c r="B339" s="123"/>
      <c r="C339" s="123"/>
      <c r="D339" s="123"/>
      <c r="E339" s="123"/>
      <c r="F339" s="123"/>
      <c r="G339" s="123"/>
      <c r="H339" s="123"/>
      <c r="I339" s="123"/>
      <c r="J339" s="123"/>
      <c r="K339" s="123"/>
      <c r="L339" s="123"/>
      <c r="M339" s="123"/>
      <c r="N339" s="123"/>
      <c r="O339" s="123"/>
      <c r="P339" s="123"/>
      <c r="Q339" s="123"/>
      <c r="AS339" s="361">
        <v>5501</v>
      </c>
    </row>
    <row r="340" spans="1:45" x14ac:dyDescent="0.35">
      <c r="A340" s="123"/>
      <c r="B340" s="123"/>
      <c r="C340" s="123"/>
      <c r="D340" s="123"/>
      <c r="E340" s="123"/>
      <c r="F340" s="123"/>
      <c r="G340" s="123"/>
      <c r="H340" s="123"/>
      <c r="I340" s="123"/>
      <c r="J340" s="123"/>
      <c r="K340" s="123"/>
      <c r="L340" s="123"/>
      <c r="M340" s="123"/>
      <c r="N340" s="123"/>
      <c r="O340" s="123"/>
      <c r="P340" s="123"/>
      <c r="Q340" s="123"/>
      <c r="AS340" s="361">
        <v>6100</v>
      </c>
    </row>
    <row r="341" spans="1:45" x14ac:dyDescent="0.35">
      <c r="A341" s="123"/>
      <c r="B341" s="123"/>
      <c r="C341" s="123"/>
      <c r="D341" s="123"/>
      <c r="E341" s="123"/>
      <c r="F341" s="123"/>
      <c r="G341" s="123"/>
      <c r="H341" s="123"/>
      <c r="I341" s="123"/>
      <c r="J341" s="123"/>
      <c r="K341" s="123"/>
      <c r="L341" s="123"/>
      <c r="M341" s="123"/>
      <c r="N341" s="123"/>
      <c r="O341" s="123"/>
      <c r="P341" s="123"/>
      <c r="Q341" s="123"/>
      <c r="AS341" s="361">
        <v>6101</v>
      </c>
    </row>
    <row r="342" spans="1:45" x14ac:dyDescent="0.35">
      <c r="A342" s="123"/>
      <c r="B342" s="123"/>
      <c r="C342" s="123"/>
      <c r="D342" s="123"/>
      <c r="E342" s="123"/>
      <c r="F342" s="123"/>
      <c r="G342" s="123"/>
      <c r="H342" s="123"/>
      <c r="I342" s="123"/>
      <c r="J342" s="123"/>
      <c r="K342" s="123"/>
      <c r="L342" s="123"/>
      <c r="M342" s="123"/>
      <c r="N342" s="123"/>
      <c r="O342" s="123"/>
      <c r="P342" s="123"/>
      <c r="Q342" s="123"/>
      <c r="AS342" s="361">
        <v>6102</v>
      </c>
    </row>
    <row r="343" spans="1:45" x14ac:dyDescent="0.35">
      <c r="A343" s="123"/>
      <c r="B343" s="123"/>
      <c r="C343" s="123"/>
      <c r="D343" s="123"/>
      <c r="E343" s="123"/>
      <c r="F343" s="123"/>
      <c r="G343" s="123"/>
      <c r="H343" s="123"/>
      <c r="I343" s="123"/>
      <c r="J343" s="123"/>
      <c r="K343" s="123"/>
      <c r="L343" s="123"/>
      <c r="M343" s="123"/>
      <c r="N343" s="123"/>
      <c r="O343" s="123"/>
      <c r="P343" s="123"/>
      <c r="Q343" s="123"/>
      <c r="AS343" s="361">
        <v>6103</v>
      </c>
    </row>
    <row r="344" spans="1:45" x14ac:dyDescent="0.35">
      <c r="A344" s="123"/>
      <c r="B344" s="123"/>
      <c r="C344" s="123"/>
      <c r="D344" s="123"/>
      <c r="E344" s="123"/>
      <c r="F344" s="123"/>
      <c r="G344" s="123"/>
      <c r="H344" s="123"/>
      <c r="I344" s="123"/>
      <c r="J344" s="123"/>
      <c r="K344" s="123"/>
      <c r="L344" s="123"/>
      <c r="M344" s="123"/>
      <c r="N344" s="123"/>
      <c r="O344" s="123"/>
      <c r="P344" s="123"/>
      <c r="Q344" s="123"/>
      <c r="AS344" s="361">
        <v>6104</v>
      </c>
    </row>
    <row r="345" spans="1:45" x14ac:dyDescent="0.35">
      <c r="A345" s="123"/>
      <c r="B345" s="123"/>
      <c r="C345" s="123"/>
      <c r="D345" s="123"/>
      <c r="E345" s="123"/>
      <c r="F345" s="123"/>
      <c r="G345" s="123"/>
      <c r="H345" s="123"/>
      <c r="I345" s="123"/>
      <c r="J345" s="123"/>
      <c r="K345" s="123"/>
      <c r="L345" s="123"/>
      <c r="M345" s="123"/>
      <c r="N345" s="123"/>
      <c r="O345" s="123"/>
      <c r="P345" s="123"/>
      <c r="Q345" s="123"/>
      <c r="AS345" s="361">
        <v>6105</v>
      </c>
    </row>
    <row r="346" spans="1:45" x14ac:dyDescent="0.35">
      <c r="A346" s="123"/>
      <c r="B346" s="123"/>
      <c r="C346" s="123"/>
      <c r="D346" s="123"/>
      <c r="E346" s="123"/>
      <c r="F346" s="123"/>
      <c r="G346" s="123"/>
      <c r="H346" s="123"/>
      <c r="I346" s="123"/>
      <c r="J346" s="123"/>
      <c r="K346" s="123"/>
      <c r="L346" s="123"/>
      <c r="M346" s="123"/>
      <c r="N346" s="123"/>
      <c r="O346" s="123"/>
      <c r="P346" s="123"/>
      <c r="Q346" s="123"/>
      <c r="AS346" s="361">
        <v>6106</v>
      </c>
    </row>
    <row r="347" spans="1:45" x14ac:dyDescent="0.35">
      <c r="A347" s="123"/>
      <c r="B347" s="123"/>
      <c r="C347" s="123"/>
      <c r="D347" s="123"/>
      <c r="E347" s="123"/>
      <c r="F347" s="123"/>
      <c r="G347" s="123"/>
      <c r="H347" s="123"/>
      <c r="I347" s="123"/>
      <c r="J347" s="123"/>
      <c r="K347" s="123"/>
      <c r="L347" s="123"/>
      <c r="M347" s="123"/>
      <c r="N347" s="123"/>
      <c r="O347" s="123"/>
      <c r="P347" s="123"/>
      <c r="Q347" s="123"/>
      <c r="AS347" s="361">
        <v>6200</v>
      </c>
    </row>
    <row r="348" spans="1:45" x14ac:dyDescent="0.35">
      <c r="A348" s="123"/>
      <c r="B348" s="123"/>
      <c r="C348" s="123"/>
      <c r="D348" s="123"/>
      <c r="E348" s="123"/>
      <c r="F348" s="123"/>
      <c r="G348" s="123"/>
      <c r="H348" s="123"/>
      <c r="I348" s="123"/>
      <c r="J348" s="123"/>
      <c r="K348" s="123"/>
      <c r="L348" s="123"/>
      <c r="M348" s="123"/>
      <c r="N348" s="123"/>
      <c r="O348" s="123"/>
      <c r="P348" s="123"/>
      <c r="Q348" s="123"/>
      <c r="AS348" s="361">
        <v>6201</v>
      </c>
    </row>
    <row r="349" spans="1:45" x14ac:dyDescent="0.35">
      <c r="A349" s="123"/>
      <c r="B349" s="123"/>
      <c r="C349" s="123"/>
      <c r="D349" s="123"/>
      <c r="E349" s="123"/>
      <c r="F349" s="123"/>
      <c r="G349" s="123"/>
      <c r="H349" s="123"/>
      <c r="I349" s="123"/>
      <c r="J349" s="123"/>
      <c r="K349" s="123"/>
      <c r="L349" s="123"/>
      <c r="M349" s="123"/>
      <c r="N349" s="123"/>
      <c r="O349" s="123"/>
      <c r="P349" s="123"/>
      <c r="Q349" s="123"/>
      <c r="AS349" s="361">
        <v>6900</v>
      </c>
    </row>
    <row r="350" spans="1:45" x14ac:dyDescent="0.35">
      <c r="A350" s="123"/>
      <c r="B350" s="123"/>
      <c r="C350" s="123"/>
      <c r="D350" s="123"/>
      <c r="E350" s="123"/>
      <c r="F350" s="123"/>
      <c r="G350" s="123"/>
      <c r="H350" s="123"/>
      <c r="I350" s="123"/>
      <c r="J350" s="123"/>
      <c r="K350" s="123"/>
      <c r="L350" s="123"/>
      <c r="M350" s="123"/>
      <c r="N350" s="123"/>
      <c r="O350" s="123"/>
      <c r="P350" s="123"/>
      <c r="Q350" s="123"/>
      <c r="AS350" s="361">
        <v>7110</v>
      </c>
    </row>
    <row r="351" spans="1:45" x14ac:dyDescent="0.35">
      <c r="A351" s="123"/>
      <c r="B351" s="123"/>
      <c r="C351" s="123"/>
      <c r="D351" s="123"/>
      <c r="E351" s="123"/>
      <c r="F351" s="123"/>
      <c r="G351" s="123"/>
      <c r="H351" s="123"/>
      <c r="I351" s="123"/>
      <c r="J351" s="123"/>
      <c r="K351" s="123"/>
      <c r="L351" s="123"/>
      <c r="M351" s="123"/>
      <c r="N351" s="123"/>
      <c r="O351" s="123"/>
      <c r="P351" s="123"/>
      <c r="Q351" s="123"/>
      <c r="AS351" s="361">
        <v>7120</v>
      </c>
    </row>
    <row r="352" spans="1:45" x14ac:dyDescent="0.35">
      <c r="A352" s="123"/>
      <c r="B352" s="123"/>
      <c r="C352" s="123"/>
      <c r="D352" s="123"/>
      <c r="E352" s="123"/>
      <c r="F352" s="123"/>
      <c r="G352" s="123"/>
      <c r="H352" s="123"/>
      <c r="I352" s="123"/>
      <c r="J352" s="123"/>
      <c r="K352" s="123"/>
      <c r="L352" s="123"/>
      <c r="M352" s="123"/>
      <c r="N352" s="123"/>
      <c r="O352" s="123"/>
      <c r="P352" s="123"/>
      <c r="Q352" s="123"/>
      <c r="AS352" s="361">
        <v>7130</v>
      </c>
    </row>
    <row r="353" spans="1:45" x14ac:dyDescent="0.35">
      <c r="A353" s="123"/>
      <c r="B353" s="123"/>
      <c r="C353" s="123"/>
      <c r="D353" s="123"/>
      <c r="E353" s="123"/>
      <c r="F353" s="123"/>
      <c r="G353" s="123"/>
      <c r="H353" s="123"/>
      <c r="I353" s="123"/>
      <c r="J353" s="123"/>
      <c r="K353" s="123"/>
      <c r="L353" s="123"/>
      <c r="M353" s="123"/>
      <c r="N353" s="123"/>
      <c r="O353" s="123"/>
      <c r="P353" s="123"/>
      <c r="Q353" s="123"/>
      <c r="AS353" s="361">
        <v>7141</v>
      </c>
    </row>
    <row r="354" spans="1:45" x14ac:dyDescent="0.35">
      <c r="A354" s="123"/>
      <c r="B354" s="123"/>
      <c r="C354" s="123"/>
      <c r="D354" s="123"/>
      <c r="E354" s="123"/>
      <c r="F354" s="123"/>
      <c r="G354" s="123"/>
      <c r="H354" s="123"/>
      <c r="I354" s="123"/>
      <c r="J354" s="123"/>
      <c r="K354" s="123"/>
      <c r="L354" s="123"/>
      <c r="M354" s="123"/>
      <c r="N354" s="123"/>
      <c r="O354" s="123"/>
      <c r="P354" s="123"/>
      <c r="Q354" s="123"/>
      <c r="AS354" s="361">
        <v>7142</v>
      </c>
    </row>
    <row r="355" spans="1:45" x14ac:dyDescent="0.35">
      <c r="A355" s="123"/>
      <c r="B355" s="123"/>
      <c r="C355" s="123"/>
      <c r="D355" s="123"/>
      <c r="E355" s="123"/>
      <c r="F355" s="123"/>
      <c r="G355" s="123"/>
      <c r="H355" s="123"/>
      <c r="I355" s="123"/>
      <c r="J355" s="123"/>
      <c r="K355" s="123"/>
      <c r="L355" s="123"/>
      <c r="M355" s="123"/>
      <c r="N355" s="123"/>
      <c r="O355" s="123"/>
      <c r="P355" s="123"/>
      <c r="Q355" s="123"/>
      <c r="AS355" s="361">
        <v>7143</v>
      </c>
    </row>
    <row r="356" spans="1:45" x14ac:dyDescent="0.35">
      <c r="A356" s="123"/>
      <c r="B356" s="123"/>
      <c r="C356" s="123"/>
      <c r="D356" s="123"/>
      <c r="E356" s="123"/>
      <c r="F356" s="123"/>
      <c r="G356" s="123"/>
      <c r="H356" s="123"/>
      <c r="I356" s="123"/>
      <c r="J356" s="123"/>
      <c r="K356" s="123"/>
      <c r="L356" s="123"/>
      <c r="M356" s="123"/>
      <c r="N356" s="123"/>
      <c r="O356" s="123"/>
      <c r="P356" s="123"/>
      <c r="Q356" s="123"/>
      <c r="AS356" s="361">
        <v>7145</v>
      </c>
    </row>
    <row r="357" spans="1:45" x14ac:dyDescent="0.35">
      <c r="A357" s="123"/>
      <c r="B357" s="123"/>
      <c r="C357" s="123"/>
      <c r="D357" s="123"/>
      <c r="E357" s="123"/>
      <c r="F357" s="123"/>
      <c r="G357" s="123"/>
      <c r="H357" s="123"/>
      <c r="I357" s="123"/>
      <c r="J357" s="123"/>
      <c r="K357" s="123"/>
      <c r="L357" s="123"/>
      <c r="M357" s="123"/>
      <c r="N357" s="123"/>
      <c r="O357" s="123"/>
      <c r="P357" s="123"/>
      <c r="Q357" s="123"/>
      <c r="AS357" s="361">
        <v>7147</v>
      </c>
    </row>
    <row r="358" spans="1:45" x14ac:dyDescent="0.35">
      <c r="A358" s="123"/>
      <c r="B358" s="123"/>
      <c r="C358" s="123"/>
      <c r="D358" s="123"/>
      <c r="E358" s="123"/>
      <c r="F358" s="123"/>
      <c r="G358" s="123"/>
      <c r="H358" s="123"/>
      <c r="I358" s="123"/>
      <c r="J358" s="123"/>
      <c r="K358" s="123"/>
      <c r="L358" s="123"/>
      <c r="M358" s="123"/>
      <c r="N358" s="123"/>
      <c r="O358" s="123"/>
      <c r="P358" s="123"/>
      <c r="Q358" s="123"/>
      <c r="AS358" s="361">
        <v>7210</v>
      </c>
    </row>
    <row r="359" spans="1:45" x14ac:dyDescent="0.35">
      <c r="A359" s="123"/>
      <c r="B359" s="123"/>
      <c r="C359" s="123"/>
      <c r="D359" s="123"/>
      <c r="E359" s="123"/>
      <c r="F359" s="123"/>
      <c r="G359" s="123"/>
      <c r="H359" s="123"/>
      <c r="I359" s="123"/>
      <c r="J359" s="123"/>
      <c r="K359" s="123"/>
      <c r="L359" s="123"/>
      <c r="M359" s="123"/>
      <c r="N359" s="123"/>
      <c r="O359" s="123"/>
      <c r="P359" s="123"/>
      <c r="Q359" s="123"/>
      <c r="AS359" s="361">
        <v>7212</v>
      </c>
    </row>
    <row r="360" spans="1:45" x14ac:dyDescent="0.35">
      <c r="A360" s="123"/>
      <c r="B360" s="123"/>
      <c r="C360" s="123"/>
      <c r="D360" s="123"/>
      <c r="E360" s="123"/>
      <c r="F360" s="123"/>
      <c r="G360" s="123"/>
      <c r="H360" s="123"/>
      <c r="I360" s="123"/>
      <c r="J360" s="123"/>
      <c r="K360" s="123"/>
      <c r="L360" s="123"/>
      <c r="M360" s="123"/>
      <c r="N360" s="123"/>
      <c r="O360" s="123"/>
      <c r="P360" s="123"/>
      <c r="Q360" s="123"/>
      <c r="AS360" s="361">
        <v>7213</v>
      </c>
    </row>
    <row r="361" spans="1:45" x14ac:dyDescent="0.35">
      <c r="A361" s="123"/>
      <c r="B361" s="123"/>
      <c r="C361" s="123"/>
      <c r="D361" s="123"/>
      <c r="E361" s="123"/>
      <c r="F361" s="123"/>
      <c r="G361" s="123"/>
      <c r="H361" s="123"/>
      <c r="I361" s="123"/>
      <c r="J361" s="123"/>
      <c r="K361" s="123"/>
      <c r="L361" s="123"/>
      <c r="M361" s="123"/>
      <c r="N361" s="123"/>
      <c r="O361" s="123"/>
      <c r="P361" s="123"/>
      <c r="Q361" s="123"/>
      <c r="AS361" s="361">
        <v>7214</v>
      </c>
    </row>
    <row r="362" spans="1:45" x14ac:dyDescent="0.35">
      <c r="A362" s="123"/>
      <c r="B362" s="123"/>
      <c r="C362" s="123"/>
      <c r="D362" s="123"/>
      <c r="E362" s="123"/>
      <c r="F362" s="123"/>
      <c r="G362" s="123"/>
      <c r="H362" s="123"/>
      <c r="I362" s="123"/>
      <c r="J362" s="123"/>
      <c r="K362" s="123"/>
      <c r="L362" s="123"/>
      <c r="M362" s="123"/>
      <c r="N362" s="123"/>
      <c r="O362" s="123"/>
      <c r="P362" s="123"/>
      <c r="Q362" s="123"/>
      <c r="AS362" s="361">
        <v>7215</v>
      </c>
    </row>
    <row r="363" spans="1:45" x14ac:dyDescent="0.35">
      <c r="A363" s="123"/>
      <c r="B363" s="123"/>
      <c r="C363" s="123"/>
      <c r="D363" s="123"/>
      <c r="E363" s="123"/>
      <c r="F363" s="123"/>
      <c r="G363" s="123"/>
      <c r="H363" s="123"/>
      <c r="I363" s="123"/>
      <c r="J363" s="123"/>
      <c r="K363" s="123"/>
      <c r="L363" s="123"/>
      <c r="M363" s="123"/>
      <c r="N363" s="123"/>
      <c r="O363" s="123"/>
      <c r="P363" s="123"/>
      <c r="Q363" s="123"/>
      <c r="AS363" s="361">
        <v>7218</v>
      </c>
    </row>
    <row r="364" spans="1:45" x14ac:dyDescent="0.35">
      <c r="A364" s="123"/>
      <c r="B364" s="123"/>
      <c r="C364" s="123"/>
      <c r="D364" s="123"/>
      <c r="E364" s="123"/>
      <c r="F364" s="123"/>
      <c r="G364" s="123"/>
      <c r="H364" s="123"/>
      <c r="I364" s="123"/>
      <c r="J364" s="123"/>
      <c r="K364" s="123"/>
      <c r="L364" s="123"/>
      <c r="M364" s="123"/>
      <c r="N364" s="123"/>
      <c r="O364" s="123"/>
      <c r="P364" s="123"/>
      <c r="Q364" s="123"/>
      <c r="AS364" s="361">
        <v>7220</v>
      </c>
    </row>
    <row r="365" spans="1:45" x14ac:dyDescent="0.35">
      <c r="A365" s="123"/>
      <c r="B365" s="123"/>
      <c r="C365" s="123"/>
      <c r="D365" s="123"/>
      <c r="E365" s="123"/>
      <c r="F365" s="123"/>
      <c r="G365" s="123"/>
      <c r="H365" s="123"/>
      <c r="I365" s="123"/>
      <c r="J365" s="123"/>
      <c r="K365" s="123"/>
      <c r="L365" s="123"/>
      <c r="M365" s="123"/>
      <c r="N365" s="123"/>
      <c r="O365" s="123"/>
      <c r="P365" s="123"/>
      <c r="Q365" s="123"/>
      <c r="AS365" s="361">
        <v>7231</v>
      </c>
    </row>
    <row r="366" spans="1:45" x14ac:dyDescent="0.35">
      <c r="A366" s="123"/>
      <c r="B366" s="123"/>
      <c r="C366" s="123"/>
      <c r="D366" s="123"/>
      <c r="E366" s="123"/>
      <c r="F366" s="123"/>
      <c r="G366" s="123"/>
      <c r="H366" s="123"/>
      <c r="I366" s="123"/>
      <c r="J366" s="123"/>
      <c r="K366" s="123"/>
      <c r="L366" s="123"/>
      <c r="M366" s="123"/>
      <c r="N366" s="123"/>
      <c r="O366" s="123"/>
      <c r="P366" s="123"/>
      <c r="Q366" s="123"/>
      <c r="AS366" s="361">
        <v>7232</v>
      </c>
    </row>
    <row r="367" spans="1:45" x14ac:dyDescent="0.35">
      <c r="A367" s="123"/>
      <c r="B367" s="123"/>
      <c r="C367" s="123"/>
      <c r="D367" s="123"/>
      <c r="E367" s="123"/>
      <c r="F367" s="123"/>
      <c r="G367" s="123"/>
      <c r="H367" s="123"/>
      <c r="I367" s="123"/>
      <c r="J367" s="123"/>
      <c r="K367" s="123"/>
      <c r="L367" s="123"/>
      <c r="M367" s="123"/>
      <c r="N367" s="123"/>
      <c r="O367" s="123"/>
      <c r="P367" s="123"/>
      <c r="Q367" s="123"/>
      <c r="AS367" s="361">
        <v>7233</v>
      </c>
    </row>
    <row r="368" spans="1:45" x14ac:dyDescent="0.35">
      <c r="A368" s="123"/>
      <c r="B368" s="123"/>
      <c r="C368" s="123"/>
      <c r="D368" s="123"/>
      <c r="E368" s="123"/>
      <c r="F368" s="123"/>
      <c r="G368" s="123"/>
      <c r="H368" s="123"/>
      <c r="I368" s="123"/>
      <c r="J368" s="123"/>
      <c r="K368" s="123"/>
      <c r="L368" s="123"/>
      <c r="M368" s="123"/>
      <c r="N368" s="123"/>
      <c r="O368" s="123"/>
      <c r="P368" s="123"/>
      <c r="Q368" s="123"/>
      <c r="AS368" s="361">
        <v>7234</v>
      </c>
    </row>
    <row r="369" spans="1:45" x14ac:dyDescent="0.35">
      <c r="A369" s="123"/>
      <c r="B369" s="123"/>
      <c r="C369" s="123"/>
      <c r="D369" s="123"/>
      <c r="E369" s="123"/>
      <c r="F369" s="123"/>
      <c r="G369" s="123"/>
      <c r="H369" s="123"/>
      <c r="I369" s="123"/>
      <c r="J369" s="123"/>
      <c r="K369" s="123"/>
      <c r="L369" s="123"/>
      <c r="M369" s="123"/>
      <c r="N369" s="123"/>
      <c r="O369" s="123"/>
      <c r="P369" s="123"/>
      <c r="Q369" s="123"/>
      <c r="AS369" s="361">
        <v>7235</v>
      </c>
    </row>
    <row r="370" spans="1:45" x14ac:dyDescent="0.35">
      <c r="A370" s="123"/>
      <c r="B370" s="123"/>
      <c r="C370" s="123"/>
      <c r="D370" s="123"/>
      <c r="E370" s="123"/>
      <c r="F370" s="123"/>
      <c r="G370" s="123"/>
      <c r="H370" s="123"/>
      <c r="I370" s="123"/>
      <c r="J370" s="123"/>
      <c r="K370" s="123"/>
      <c r="L370" s="123"/>
      <c r="M370" s="123"/>
      <c r="N370" s="123"/>
      <c r="O370" s="123"/>
      <c r="P370" s="123"/>
      <c r="Q370" s="123"/>
      <c r="AS370" s="361">
        <v>7236</v>
      </c>
    </row>
    <row r="371" spans="1:45" x14ac:dyDescent="0.35">
      <c r="A371" s="123"/>
      <c r="B371" s="123"/>
      <c r="C371" s="123"/>
      <c r="D371" s="123"/>
      <c r="E371" s="123"/>
      <c r="F371" s="123"/>
      <c r="G371" s="123"/>
      <c r="H371" s="123"/>
      <c r="I371" s="123"/>
      <c r="J371" s="123"/>
      <c r="K371" s="123"/>
      <c r="L371" s="123"/>
      <c r="M371" s="123"/>
      <c r="N371" s="123"/>
      <c r="O371" s="123"/>
      <c r="P371" s="123"/>
      <c r="Q371" s="123"/>
      <c r="AS371" s="361">
        <v>7240</v>
      </c>
    </row>
    <row r="372" spans="1:45" x14ac:dyDescent="0.35">
      <c r="A372" s="123"/>
      <c r="B372" s="123"/>
      <c r="C372" s="123"/>
      <c r="D372" s="123"/>
      <c r="E372" s="123"/>
      <c r="F372" s="123"/>
      <c r="G372" s="123"/>
      <c r="H372" s="123"/>
      <c r="I372" s="123"/>
      <c r="J372" s="123"/>
      <c r="K372" s="123"/>
      <c r="L372" s="123"/>
      <c r="M372" s="123"/>
      <c r="N372" s="123"/>
      <c r="O372" s="123"/>
      <c r="P372" s="123"/>
      <c r="Q372" s="123"/>
      <c r="AS372" s="361">
        <v>7241</v>
      </c>
    </row>
    <row r="373" spans="1:45" x14ac:dyDescent="0.35">
      <c r="A373" s="123"/>
      <c r="B373" s="123"/>
      <c r="C373" s="123"/>
      <c r="D373" s="123"/>
      <c r="E373" s="123"/>
      <c r="F373" s="123"/>
      <c r="G373" s="123"/>
      <c r="H373" s="123"/>
      <c r="I373" s="123"/>
      <c r="J373" s="123"/>
      <c r="K373" s="123"/>
      <c r="L373" s="123"/>
      <c r="M373" s="123"/>
      <c r="N373" s="123"/>
      <c r="O373" s="123"/>
      <c r="P373" s="123"/>
      <c r="Q373" s="123"/>
      <c r="AS373" s="361">
        <v>7242</v>
      </c>
    </row>
    <row r="374" spans="1:45" x14ac:dyDescent="0.35">
      <c r="A374" s="123"/>
      <c r="B374" s="123"/>
      <c r="C374" s="123"/>
      <c r="D374" s="123"/>
      <c r="E374" s="123"/>
      <c r="F374" s="123"/>
      <c r="G374" s="123"/>
      <c r="H374" s="123"/>
      <c r="I374" s="123"/>
      <c r="J374" s="123"/>
      <c r="K374" s="123"/>
      <c r="L374" s="123"/>
      <c r="M374" s="123"/>
      <c r="N374" s="123"/>
      <c r="O374" s="123"/>
      <c r="P374" s="123"/>
      <c r="Q374" s="123"/>
      <c r="AS374" s="361">
        <v>7250</v>
      </c>
    </row>
    <row r="375" spans="1:45" x14ac:dyDescent="0.35">
      <c r="A375" s="123"/>
      <c r="B375" s="123"/>
      <c r="C375" s="123"/>
      <c r="D375" s="123"/>
      <c r="E375" s="123"/>
      <c r="F375" s="123"/>
      <c r="G375" s="123"/>
      <c r="H375" s="123"/>
      <c r="I375" s="123"/>
      <c r="J375" s="123"/>
      <c r="K375" s="123"/>
      <c r="L375" s="123"/>
      <c r="M375" s="123"/>
      <c r="N375" s="123"/>
      <c r="O375" s="123"/>
      <c r="P375" s="123"/>
      <c r="Q375" s="123"/>
      <c r="AS375" s="361">
        <v>7251</v>
      </c>
    </row>
    <row r="376" spans="1:45" x14ac:dyDescent="0.35">
      <c r="A376" s="123"/>
      <c r="B376" s="123"/>
      <c r="C376" s="123"/>
      <c r="D376" s="123"/>
      <c r="E376" s="123"/>
      <c r="F376" s="123"/>
      <c r="G376" s="123"/>
      <c r="H376" s="123"/>
      <c r="I376" s="123"/>
      <c r="J376" s="123"/>
      <c r="K376" s="123"/>
      <c r="L376" s="123"/>
      <c r="M376" s="123"/>
      <c r="N376" s="123"/>
      <c r="O376" s="123"/>
      <c r="P376" s="123"/>
      <c r="Q376" s="123"/>
      <c r="AS376" s="361">
        <v>7311</v>
      </c>
    </row>
    <row r="377" spans="1:45" x14ac:dyDescent="0.35">
      <c r="A377" s="123"/>
      <c r="B377" s="123"/>
      <c r="C377" s="123"/>
      <c r="D377" s="123"/>
      <c r="E377" s="123"/>
      <c r="F377" s="123"/>
      <c r="G377" s="123"/>
      <c r="H377" s="123"/>
      <c r="I377" s="123"/>
      <c r="J377" s="123"/>
      <c r="K377" s="123"/>
      <c r="L377" s="123"/>
      <c r="M377" s="123"/>
      <c r="N377" s="123"/>
      <c r="O377" s="123"/>
      <c r="P377" s="123"/>
      <c r="Q377" s="123"/>
      <c r="AS377" s="361">
        <v>7312</v>
      </c>
    </row>
    <row r="378" spans="1:45" x14ac:dyDescent="0.35">
      <c r="A378" s="123"/>
      <c r="B378" s="123"/>
      <c r="C378" s="123"/>
      <c r="D378" s="123"/>
      <c r="E378" s="123"/>
      <c r="F378" s="123"/>
      <c r="G378" s="123"/>
      <c r="H378" s="123"/>
      <c r="I378" s="123"/>
      <c r="J378" s="123"/>
      <c r="K378" s="123"/>
      <c r="L378" s="123"/>
      <c r="M378" s="123"/>
      <c r="N378" s="123"/>
      <c r="O378" s="123"/>
      <c r="P378" s="123"/>
      <c r="Q378" s="123"/>
      <c r="AS378" s="361">
        <v>7313</v>
      </c>
    </row>
    <row r="379" spans="1:45" x14ac:dyDescent="0.35">
      <c r="A379" s="123"/>
      <c r="B379" s="123"/>
      <c r="C379" s="123"/>
      <c r="D379" s="123"/>
      <c r="E379" s="123"/>
      <c r="F379" s="123"/>
      <c r="G379" s="123"/>
      <c r="H379" s="123"/>
      <c r="I379" s="123"/>
      <c r="J379" s="123"/>
      <c r="K379" s="123"/>
      <c r="L379" s="123"/>
      <c r="M379" s="123"/>
      <c r="N379" s="123"/>
      <c r="O379" s="123"/>
      <c r="P379" s="123"/>
      <c r="Q379" s="123"/>
      <c r="AS379" s="361">
        <v>7314</v>
      </c>
    </row>
    <row r="380" spans="1:45" x14ac:dyDescent="0.35">
      <c r="A380" s="123"/>
      <c r="B380" s="123"/>
      <c r="C380" s="123"/>
      <c r="D380" s="123"/>
      <c r="E380" s="123"/>
      <c r="F380" s="123"/>
      <c r="G380" s="123"/>
      <c r="H380" s="123"/>
      <c r="I380" s="123"/>
      <c r="J380" s="123"/>
      <c r="K380" s="123"/>
      <c r="L380" s="123"/>
      <c r="M380" s="123"/>
      <c r="N380" s="123"/>
      <c r="O380" s="123"/>
      <c r="P380" s="123"/>
      <c r="Q380" s="123"/>
      <c r="AS380" s="361">
        <v>7321</v>
      </c>
    </row>
    <row r="381" spans="1:45" x14ac:dyDescent="0.35">
      <c r="A381" s="123"/>
      <c r="B381" s="123"/>
      <c r="C381" s="123"/>
      <c r="D381" s="123"/>
      <c r="E381" s="123"/>
      <c r="F381" s="123"/>
      <c r="G381" s="123"/>
      <c r="H381" s="123"/>
      <c r="I381" s="123"/>
      <c r="J381" s="123"/>
      <c r="K381" s="123"/>
      <c r="L381" s="123"/>
      <c r="M381" s="123"/>
      <c r="N381" s="123"/>
      <c r="O381" s="123"/>
      <c r="P381" s="123"/>
      <c r="Q381" s="123"/>
      <c r="AS381" s="361">
        <v>7322</v>
      </c>
    </row>
    <row r="382" spans="1:45" x14ac:dyDescent="0.35">
      <c r="A382" s="123"/>
      <c r="B382" s="123"/>
      <c r="C382" s="123"/>
      <c r="D382" s="123"/>
      <c r="E382" s="123"/>
      <c r="F382" s="123"/>
      <c r="G382" s="123"/>
      <c r="H382" s="123"/>
      <c r="I382" s="123"/>
      <c r="J382" s="123"/>
      <c r="K382" s="123"/>
      <c r="L382" s="123"/>
      <c r="M382" s="123"/>
      <c r="N382" s="123"/>
      <c r="O382" s="123"/>
      <c r="P382" s="123"/>
      <c r="Q382" s="123"/>
      <c r="AS382" s="361">
        <v>7323</v>
      </c>
    </row>
    <row r="383" spans="1:45" x14ac:dyDescent="0.35">
      <c r="A383" s="123"/>
      <c r="B383" s="123"/>
      <c r="C383" s="123"/>
      <c r="D383" s="123"/>
      <c r="E383" s="123"/>
      <c r="F383" s="123"/>
      <c r="G383" s="123"/>
      <c r="H383" s="123"/>
      <c r="I383" s="123"/>
      <c r="J383" s="123"/>
      <c r="K383" s="123"/>
      <c r="L383" s="123"/>
      <c r="M383" s="123"/>
      <c r="N383" s="123"/>
      <c r="O383" s="123"/>
      <c r="P383" s="123"/>
      <c r="Q383" s="123"/>
      <c r="AS383" s="361">
        <v>7331</v>
      </c>
    </row>
    <row r="384" spans="1:45" x14ac:dyDescent="0.35">
      <c r="A384" s="123"/>
      <c r="B384" s="123"/>
      <c r="C384" s="123"/>
      <c r="D384" s="123"/>
      <c r="E384" s="123"/>
      <c r="F384" s="123"/>
      <c r="G384" s="123"/>
      <c r="H384" s="123"/>
      <c r="I384" s="123"/>
      <c r="J384" s="123"/>
      <c r="K384" s="123"/>
      <c r="L384" s="123"/>
      <c r="M384" s="123"/>
      <c r="N384" s="123"/>
      <c r="O384" s="123"/>
      <c r="P384" s="123"/>
      <c r="Q384" s="123"/>
      <c r="AS384" s="361">
        <v>7332</v>
      </c>
    </row>
    <row r="385" spans="1:45" x14ac:dyDescent="0.35">
      <c r="A385" s="123"/>
      <c r="B385" s="123"/>
      <c r="C385" s="123"/>
      <c r="D385" s="123"/>
      <c r="E385" s="123"/>
      <c r="F385" s="123"/>
      <c r="G385" s="123"/>
      <c r="H385" s="123"/>
      <c r="I385" s="123"/>
      <c r="J385" s="123"/>
      <c r="K385" s="123"/>
      <c r="L385" s="123"/>
      <c r="M385" s="123"/>
      <c r="N385" s="123"/>
      <c r="O385" s="123"/>
      <c r="P385" s="123"/>
      <c r="Q385" s="123"/>
      <c r="AS385" s="361">
        <v>7333</v>
      </c>
    </row>
    <row r="386" spans="1:45" x14ac:dyDescent="0.35">
      <c r="A386" s="123"/>
      <c r="B386" s="123"/>
      <c r="C386" s="123"/>
      <c r="D386" s="123"/>
      <c r="E386" s="123"/>
      <c r="F386" s="123"/>
      <c r="G386" s="123"/>
      <c r="H386" s="123"/>
      <c r="I386" s="123"/>
      <c r="J386" s="123"/>
      <c r="K386" s="123"/>
      <c r="L386" s="123"/>
      <c r="M386" s="123"/>
      <c r="N386" s="123"/>
      <c r="O386" s="123"/>
      <c r="P386" s="123"/>
      <c r="Q386" s="123"/>
      <c r="AS386" s="361">
        <v>7340</v>
      </c>
    </row>
    <row r="387" spans="1:45" x14ac:dyDescent="0.35">
      <c r="A387" s="123"/>
      <c r="B387" s="123"/>
      <c r="C387" s="123"/>
      <c r="D387" s="123"/>
      <c r="E387" s="123"/>
      <c r="F387" s="123"/>
      <c r="G387" s="123"/>
      <c r="H387" s="123"/>
      <c r="I387" s="123"/>
      <c r="J387" s="123"/>
      <c r="K387" s="123"/>
      <c r="L387" s="123"/>
      <c r="M387" s="123"/>
      <c r="N387" s="123"/>
      <c r="O387" s="123"/>
      <c r="P387" s="123"/>
      <c r="Q387" s="123"/>
      <c r="AS387" s="361">
        <v>7341</v>
      </c>
    </row>
    <row r="388" spans="1:45" x14ac:dyDescent="0.35">
      <c r="A388" s="123"/>
      <c r="B388" s="123"/>
      <c r="C388" s="123"/>
      <c r="D388" s="123"/>
      <c r="E388" s="123"/>
      <c r="F388" s="123"/>
      <c r="G388" s="123"/>
      <c r="H388" s="123"/>
      <c r="I388" s="123"/>
      <c r="J388" s="123"/>
      <c r="K388" s="123"/>
      <c r="L388" s="123"/>
      <c r="M388" s="123"/>
      <c r="N388" s="123"/>
      <c r="O388" s="123"/>
      <c r="P388" s="123"/>
      <c r="Q388" s="123"/>
      <c r="AS388" s="361">
        <v>7342</v>
      </c>
    </row>
    <row r="389" spans="1:45" x14ac:dyDescent="0.35">
      <c r="A389" s="123"/>
      <c r="B389" s="123"/>
      <c r="C389" s="123"/>
      <c r="D389" s="123"/>
      <c r="E389" s="123"/>
      <c r="F389" s="123"/>
      <c r="G389" s="123"/>
      <c r="H389" s="123"/>
      <c r="I389" s="123"/>
      <c r="J389" s="123"/>
      <c r="K389" s="123"/>
      <c r="L389" s="123"/>
      <c r="M389" s="123"/>
      <c r="N389" s="123"/>
      <c r="O389" s="123"/>
      <c r="P389" s="123"/>
      <c r="Q389" s="123"/>
      <c r="AS389" s="361">
        <v>7343</v>
      </c>
    </row>
    <row r="390" spans="1:45" x14ac:dyDescent="0.35">
      <c r="A390" s="123"/>
      <c r="B390" s="123"/>
      <c r="C390" s="123"/>
      <c r="D390" s="123"/>
      <c r="E390" s="123"/>
      <c r="F390" s="123"/>
      <c r="G390" s="123"/>
      <c r="H390" s="123"/>
      <c r="I390" s="123"/>
      <c r="J390" s="123"/>
      <c r="K390" s="123"/>
      <c r="L390" s="123"/>
      <c r="M390" s="123"/>
      <c r="N390" s="123"/>
      <c r="O390" s="123"/>
      <c r="P390" s="123"/>
      <c r="Q390" s="123"/>
      <c r="AS390" s="361">
        <v>7344</v>
      </c>
    </row>
    <row r="391" spans="1:45" x14ac:dyDescent="0.35">
      <c r="A391" s="123"/>
      <c r="B391" s="123"/>
      <c r="C391" s="123"/>
      <c r="D391" s="123"/>
      <c r="E391" s="123"/>
      <c r="F391" s="123"/>
      <c r="G391" s="123"/>
      <c r="H391" s="123"/>
      <c r="I391" s="123"/>
      <c r="J391" s="123"/>
      <c r="K391" s="123"/>
      <c r="L391" s="123"/>
      <c r="M391" s="123"/>
      <c r="N391" s="123"/>
      <c r="O391" s="123"/>
      <c r="P391" s="123"/>
      <c r="Q391" s="123"/>
      <c r="AS391" s="361">
        <v>7345</v>
      </c>
    </row>
    <row r="392" spans="1:45" x14ac:dyDescent="0.35">
      <c r="A392" s="123"/>
      <c r="B392" s="123"/>
      <c r="C392" s="123"/>
      <c r="D392" s="123"/>
      <c r="E392" s="123"/>
      <c r="F392" s="123"/>
      <c r="G392" s="123"/>
      <c r="H392" s="123"/>
      <c r="I392" s="123"/>
      <c r="J392" s="123"/>
      <c r="K392" s="123"/>
      <c r="L392" s="123"/>
      <c r="M392" s="123"/>
      <c r="N392" s="123"/>
      <c r="O392" s="123"/>
      <c r="P392" s="123"/>
      <c r="Q392" s="123"/>
      <c r="AS392" s="361">
        <v>7346</v>
      </c>
    </row>
    <row r="393" spans="1:45" x14ac:dyDescent="0.35">
      <c r="A393" s="123"/>
      <c r="B393" s="123"/>
      <c r="C393" s="123"/>
      <c r="D393" s="123"/>
      <c r="E393" s="123"/>
      <c r="F393" s="123"/>
      <c r="G393" s="123"/>
      <c r="H393" s="123"/>
      <c r="I393" s="123"/>
      <c r="J393" s="123"/>
      <c r="K393" s="123"/>
      <c r="L393" s="123"/>
      <c r="M393" s="123"/>
      <c r="N393" s="123"/>
      <c r="O393" s="123"/>
      <c r="P393" s="123"/>
      <c r="Q393" s="123"/>
      <c r="AS393" s="361">
        <v>7347</v>
      </c>
    </row>
    <row r="394" spans="1:45" x14ac:dyDescent="0.35">
      <c r="A394" s="123"/>
      <c r="B394" s="123"/>
      <c r="C394" s="123"/>
      <c r="D394" s="123"/>
      <c r="E394" s="123"/>
      <c r="F394" s="123"/>
      <c r="G394" s="123"/>
      <c r="H394" s="123"/>
      <c r="I394" s="123"/>
      <c r="J394" s="123"/>
      <c r="K394" s="123"/>
      <c r="L394" s="123"/>
      <c r="M394" s="123"/>
      <c r="N394" s="123"/>
      <c r="O394" s="123"/>
      <c r="P394" s="123"/>
      <c r="Q394" s="123"/>
      <c r="AS394" s="361">
        <v>7348</v>
      </c>
    </row>
    <row r="395" spans="1:45" x14ac:dyDescent="0.35">
      <c r="A395" s="123"/>
      <c r="B395" s="123"/>
      <c r="C395" s="123"/>
      <c r="D395" s="123"/>
      <c r="E395" s="123"/>
      <c r="F395" s="123"/>
      <c r="G395" s="123"/>
      <c r="H395" s="123"/>
      <c r="I395" s="123"/>
      <c r="J395" s="123"/>
      <c r="K395" s="123"/>
      <c r="L395" s="123"/>
      <c r="M395" s="123"/>
      <c r="N395" s="123"/>
      <c r="O395" s="123"/>
      <c r="P395" s="123"/>
      <c r="Q395" s="123"/>
      <c r="AS395" s="361">
        <v>7349</v>
      </c>
    </row>
    <row r="396" spans="1:45" x14ac:dyDescent="0.35">
      <c r="A396" s="123"/>
      <c r="B396" s="123"/>
      <c r="C396" s="123"/>
      <c r="D396" s="123"/>
      <c r="E396" s="123"/>
      <c r="F396" s="123"/>
      <c r="G396" s="123"/>
      <c r="H396" s="123"/>
      <c r="I396" s="123"/>
      <c r="J396" s="123"/>
      <c r="K396" s="123"/>
      <c r="L396" s="123"/>
      <c r="M396" s="123"/>
      <c r="N396" s="123"/>
      <c r="O396" s="123"/>
      <c r="P396" s="123"/>
      <c r="Q396" s="123"/>
      <c r="AS396" s="361">
        <v>7351</v>
      </c>
    </row>
    <row r="397" spans="1:45" x14ac:dyDescent="0.35">
      <c r="A397" s="123"/>
      <c r="B397" s="123"/>
      <c r="C397" s="123"/>
      <c r="D397" s="123"/>
      <c r="E397" s="123"/>
      <c r="F397" s="123"/>
      <c r="G397" s="123"/>
      <c r="H397" s="123"/>
      <c r="I397" s="123"/>
      <c r="J397" s="123"/>
      <c r="K397" s="123"/>
      <c r="L397" s="123"/>
      <c r="M397" s="123"/>
      <c r="N397" s="123"/>
      <c r="O397" s="123"/>
      <c r="P397" s="123"/>
      <c r="Q397" s="123"/>
      <c r="AS397" s="361">
        <v>7352</v>
      </c>
    </row>
    <row r="398" spans="1:45" x14ac:dyDescent="0.35">
      <c r="A398" s="123"/>
      <c r="B398" s="123"/>
      <c r="C398" s="123"/>
      <c r="D398" s="123"/>
      <c r="E398" s="123"/>
      <c r="F398" s="123"/>
      <c r="G398" s="123"/>
      <c r="H398" s="123"/>
      <c r="I398" s="123"/>
      <c r="J398" s="123"/>
      <c r="K398" s="123"/>
      <c r="L398" s="123"/>
      <c r="M398" s="123"/>
      <c r="N398" s="123"/>
      <c r="O398" s="123"/>
      <c r="P398" s="123"/>
      <c r="Q398" s="123"/>
      <c r="AS398" s="361">
        <v>7353</v>
      </c>
    </row>
    <row r="399" spans="1:45" x14ac:dyDescent="0.35">
      <c r="A399" s="123"/>
      <c r="B399" s="123"/>
      <c r="C399" s="123"/>
      <c r="D399" s="123"/>
      <c r="E399" s="123"/>
      <c r="F399" s="123"/>
      <c r="G399" s="123"/>
      <c r="H399" s="123"/>
      <c r="I399" s="123"/>
      <c r="J399" s="123"/>
      <c r="K399" s="123"/>
      <c r="L399" s="123"/>
      <c r="M399" s="123"/>
      <c r="N399" s="123"/>
      <c r="O399" s="123"/>
      <c r="P399" s="123"/>
      <c r="Q399" s="123"/>
      <c r="AS399" s="361">
        <v>7354</v>
      </c>
    </row>
    <row r="400" spans="1:45" x14ac:dyDescent="0.35">
      <c r="A400" s="123"/>
      <c r="B400" s="123"/>
      <c r="C400" s="123"/>
      <c r="D400" s="123"/>
      <c r="E400" s="123"/>
      <c r="F400" s="123"/>
      <c r="G400" s="123"/>
      <c r="H400" s="123"/>
      <c r="I400" s="123"/>
      <c r="J400" s="123"/>
      <c r="K400" s="123"/>
      <c r="L400" s="123"/>
      <c r="M400" s="123"/>
      <c r="N400" s="123"/>
      <c r="O400" s="123"/>
      <c r="P400" s="123"/>
      <c r="Q400" s="123"/>
      <c r="AS400" s="361">
        <v>7361</v>
      </c>
    </row>
    <row r="401" spans="1:45" x14ac:dyDescent="0.35">
      <c r="A401" s="123"/>
      <c r="B401" s="123"/>
      <c r="C401" s="123"/>
      <c r="D401" s="123"/>
      <c r="E401" s="123"/>
      <c r="F401" s="123"/>
      <c r="G401" s="123"/>
      <c r="H401" s="123"/>
      <c r="I401" s="123"/>
      <c r="J401" s="123"/>
      <c r="K401" s="123"/>
      <c r="L401" s="123"/>
      <c r="M401" s="123"/>
      <c r="N401" s="123"/>
      <c r="O401" s="123"/>
      <c r="P401" s="123"/>
      <c r="Q401" s="123"/>
      <c r="AS401" s="361">
        <v>7362</v>
      </c>
    </row>
    <row r="402" spans="1:45" x14ac:dyDescent="0.35">
      <c r="A402" s="123"/>
      <c r="B402" s="123"/>
      <c r="C402" s="123"/>
      <c r="D402" s="123"/>
      <c r="E402" s="123"/>
      <c r="F402" s="123"/>
      <c r="G402" s="123"/>
      <c r="H402" s="123"/>
      <c r="I402" s="123"/>
      <c r="J402" s="123"/>
      <c r="K402" s="123"/>
      <c r="L402" s="123"/>
      <c r="M402" s="123"/>
      <c r="N402" s="123"/>
      <c r="O402" s="123"/>
      <c r="P402" s="123"/>
      <c r="Q402" s="123"/>
      <c r="AS402" s="361">
        <v>7371</v>
      </c>
    </row>
    <row r="403" spans="1:45" x14ac:dyDescent="0.35">
      <c r="A403" s="123"/>
      <c r="B403" s="123"/>
      <c r="C403" s="123"/>
      <c r="D403" s="123"/>
      <c r="E403" s="123"/>
      <c r="F403" s="123"/>
      <c r="G403" s="123"/>
      <c r="H403" s="123"/>
      <c r="I403" s="123"/>
      <c r="J403" s="123"/>
      <c r="K403" s="123"/>
      <c r="L403" s="123"/>
      <c r="M403" s="123"/>
      <c r="N403" s="123"/>
      <c r="O403" s="123"/>
      <c r="P403" s="123"/>
      <c r="Q403" s="123"/>
      <c r="AS403" s="361">
        <v>7372</v>
      </c>
    </row>
    <row r="404" spans="1:45" x14ac:dyDescent="0.35">
      <c r="A404" s="123"/>
      <c r="B404" s="123"/>
      <c r="C404" s="123"/>
      <c r="D404" s="123"/>
      <c r="E404" s="123"/>
      <c r="F404" s="123"/>
      <c r="G404" s="123"/>
      <c r="H404" s="123"/>
      <c r="I404" s="123"/>
      <c r="J404" s="123"/>
      <c r="K404" s="123"/>
      <c r="L404" s="123"/>
      <c r="M404" s="123"/>
      <c r="N404" s="123"/>
      <c r="O404" s="123"/>
      <c r="P404" s="123"/>
      <c r="Q404" s="123"/>
      <c r="AS404" s="361">
        <v>7380</v>
      </c>
    </row>
    <row r="405" spans="1:45" x14ac:dyDescent="0.35">
      <c r="A405" s="123"/>
      <c r="B405" s="123"/>
      <c r="C405" s="123"/>
      <c r="D405" s="123"/>
      <c r="E405" s="123"/>
      <c r="F405" s="123"/>
      <c r="G405" s="123"/>
      <c r="H405" s="123"/>
      <c r="I405" s="123"/>
      <c r="J405" s="123"/>
      <c r="K405" s="123"/>
      <c r="L405" s="123"/>
      <c r="M405" s="123"/>
      <c r="N405" s="123"/>
      <c r="O405" s="123"/>
      <c r="P405" s="123"/>
      <c r="Q405" s="123"/>
      <c r="AS405" s="361">
        <v>7381</v>
      </c>
    </row>
    <row r="406" spans="1:45" x14ac:dyDescent="0.35">
      <c r="A406" s="123"/>
      <c r="B406" s="123"/>
      <c r="C406" s="123"/>
      <c r="D406" s="123"/>
      <c r="E406" s="123"/>
      <c r="F406" s="123"/>
      <c r="G406" s="123"/>
      <c r="H406" s="123"/>
      <c r="I406" s="123"/>
      <c r="J406" s="123"/>
      <c r="K406" s="123"/>
      <c r="L406" s="123"/>
      <c r="M406" s="123"/>
      <c r="N406" s="123"/>
      <c r="O406" s="123"/>
      <c r="P406" s="123"/>
      <c r="Q406" s="123"/>
      <c r="AS406" s="361">
        <v>7382</v>
      </c>
    </row>
    <row r="407" spans="1:45" x14ac:dyDescent="0.35">
      <c r="A407" s="123"/>
      <c r="B407" s="123"/>
      <c r="C407" s="123"/>
      <c r="D407" s="123"/>
      <c r="E407" s="123"/>
      <c r="F407" s="123"/>
      <c r="G407" s="123"/>
      <c r="H407" s="123"/>
      <c r="I407" s="123"/>
      <c r="J407" s="123"/>
      <c r="K407" s="123"/>
      <c r="L407" s="123"/>
      <c r="M407" s="123"/>
      <c r="N407" s="123"/>
      <c r="O407" s="123"/>
      <c r="P407" s="123"/>
      <c r="Q407" s="123"/>
      <c r="AS407" s="361">
        <v>7383</v>
      </c>
    </row>
    <row r="408" spans="1:45" x14ac:dyDescent="0.35">
      <c r="A408" s="123"/>
      <c r="B408" s="123"/>
      <c r="C408" s="123"/>
      <c r="D408" s="123"/>
      <c r="E408" s="123"/>
      <c r="F408" s="123"/>
      <c r="G408" s="123"/>
      <c r="H408" s="123"/>
      <c r="I408" s="123"/>
      <c r="J408" s="123"/>
      <c r="K408" s="123"/>
      <c r="L408" s="123"/>
      <c r="M408" s="123"/>
      <c r="N408" s="123"/>
      <c r="O408" s="123"/>
      <c r="P408" s="123"/>
      <c r="Q408" s="123"/>
      <c r="AS408" s="361">
        <v>7384</v>
      </c>
    </row>
    <row r="409" spans="1:45" x14ac:dyDescent="0.35">
      <c r="A409" s="123"/>
      <c r="B409" s="123"/>
      <c r="C409" s="123"/>
      <c r="D409" s="123"/>
      <c r="E409" s="123"/>
      <c r="F409" s="123"/>
      <c r="G409" s="123"/>
      <c r="H409" s="123"/>
      <c r="I409" s="123"/>
      <c r="J409" s="123"/>
      <c r="K409" s="123"/>
      <c r="L409" s="123"/>
      <c r="M409" s="123"/>
      <c r="N409" s="123"/>
      <c r="O409" s="123"/>
      <c r="P409" s="123"/>
      <c r="Q409" s="123"/>
      <c r="AS409" s="361">
        <v>7385</v>
      </c>
    </row>
    <row r="410" spans="1:45" x14ac:dyDescent="0.35">
      <c r="A410" s="123"/>
      <c r="B410" s="123"/>
      <c r="C410" s="123"/>
      <c r="D410" s="123"/>
      <c r="E410" s="123"/>
      <c r="F410" s="123"/>
      <c r="G410" s="123"/>
      <c r="H410" s="123"/>
      <c r="I410" s="123"/>
      <c r="J410" s="123"/>
      <c r="K410" s="123"/>
      <c r="L410" s="123"/>
      <c r="M410" s="123"/>
      <c r="N410" s="123"/>
      <c r="O410" s="123"/>
      <c r="P410" s="123"/>
      <c r="Q410" s="123"/>
      <c r="AS410" s="361">
        <v>7386</v>
      </c>
    </row>
    <row r="411" spans="1:45" x14ac:dyDescent="0.35">
      <c r="A411" s="123"/>
      <c r="B411" s="123"/>
      <c r="C411" s="123"/>
      <c r="D411" s="123"/>
      <c r="E411" s="123"/>
      <c r="F411" s="123"/>
      <c r="G411" s="123"/>
      <c r="H411" s="123"/>
      <c r="I411" s="123"/>
      <c r="J411" s="123"/>
      <c r="K411" s="123"/>
      <c r="L411" s="123"/>
      <c r="M411" s="123"/>
      <c r="N411" s="123"/>
      <c r="O411" s="123"/>
      <c r="P411" s="123"/>
      <c r="Q411" s="123"/>
      <c r="AS411" s="361">
        <v>7387</v>
      </c>
    </row>
    <row r="412" spans="1:45" x14ac:dyDescent="0.35">
      <c r="A412" s="123"/>
      <c r="B412" s="123"/>
      <c r="C412" s="123"/>
      <c r="D412" s="123"/>
      <c r="E412" s="123"/>
      <c r="F412" s="123"/>
      <c r="G412" s="123"/>
      <c r="H412" s="123"/>
      <c r="I412" s="123"/>
      <c r="J412" s="123"/>
      <c r="K412" s="123"/>
      <c r="L412" s="123"/>
      <c r="M412" s="123"/>
      <c r="N412" s="123"/>
      <c r="O412" s="123"/>
      <c r="P412" s="123"/>
      <c r="Q412" s="123"/>
      <c r="AS412" s="361">
        <v>7388</v>
      </c>
    </row>
    <row r="413" spans="1:45" x14ac:dyDescent="0.35">
      <c r="A413" s="123"/>
      <c r="B413" s="123"/>
      <c r="C413" s="123"/>
      <c r="D413" s="123"/>
      <c r="E413" s="123"/>
      <c r="F413" s="123"/>
      <c r="G413" s="123"/>
      <c r="H413" s="123"/>
      <c r="I413" s="123"/>
      <c r="J413" s="123"/>
      <c r="K413" s="123"/>
      <c r="L413" s="123"/>
      <c r="M413" s="123"/>
      <c r="N413" s="123"/>
      <c r="O413" s="123"/>
      <c r="P413" s="123"/>
      <c r="Q413" s="123"/>
      <c r="AS413" s="361">
        <v>7389</v>
      </c>
    </row>
    <row r="414" spans="1:45" x14ac:dyDescent="0.35">
      <c r="A414" s="123"/>
      <c r="B414" s="123"/>
      <c r="C414" s="123"/>
      <c r="D414" s="123"/>
      <c r="E414" s="123"/>
      <c r="F414" s="123"/>
      <c r="G414" s="123"/>
      <c r="H414" s="123"/>
      <c r="I414" s="123"/>
      <c r="J414" s="123"/>
      <c r="K414" s="123"/>
      <c r="L414" s="123"/>
      <c r="M414" s="123"/>
      <c r="N414" s="123"/>
      <c r="O414" s="123"/>
      <c r="P414" s="123"/>
      <c r="Q414" s="123"/>
      <c r="AS414" s="361">
        <v>7411</v>
      </c>
    </row>
    <row r="415" spans="1:45" x14ac:dyDescent="0.35">
      <c r="A415" s="123"/>
      <c r="B415" s="123"/>
      <c r="C415" s="123"/>
      <c r="D415" s="123"/>
      <c r="E415" s="123"/>
      <c r="F415" s="123"/>
      <c r="G415" s="123"/>
      <c r="H415" s="123"/>
      <c r="I415" s="123"/>
      <c r="J415" s="123"/>
      <c r="K415" s="123"/>
      <c r="L415" s="123"/>
      <c r="M415" s="123"/>
      <c r="N415" s="123"/>
      <c r="O415" s="123"/>
      <c r="P415" s="123"/>
      <c r="Q415" s="123"/>
      <c r="AS415" s="361">
        <v>7412</v>
      </c>
    </row>
    <row r="416" spans="1:45" x14ac:dyDescent="0.35">
      <c r="A416" s="123"/>
      <c r="B416" s="123"/>
      <c r="C416" s="123"/>
      <c r="D416" s="123"/>
      <c r="E416" s="123"/>
      <c r="F416" s="123"/>
      <c r="G416" s="123"/>
      <c r="H416" s="123"/>
      <c r="I416" s="123"/>
      <c r="J416" s="123"/>
      <c r="K416" s="123"/>
      <c r="L416" s="123"/>
      <c r="M416" s="123"/>
      <c r="N416" s="123"/>
      <c r="O416" s="123"/>
      <c r="P416" s="123"/>
      <c r="Q416" s="123"/>
      <c r="AS416" s="361">
        <v>7413</v>
      </c>
    </row>
    <row r="417" spans="1:45" x14ac:dyDescent="0.35">
      <c r="A417" s="123"/>
      <c r="B417" s="123"/>
      <c r="C417" s="123"/>
      <c r="D417" s="123"/>
      <c r="E417" s="123"/>
      <c r="F417" s="123"/>
      <c r="G417" s="123"/>
      <c r="H417" s="123"/>
      <c r="I417" s="123"/>
      <c r="J417" s="123"/>
      <c r="K417" s="123"/>
      <c r="L417" s="123"/>
      <c r="M417" s="123"/>
      <c r="N417" s="123"/>
      <c r="O417" s="123"/>
      <c r="P417" s="123"/>
      <c r="Q417" s="123"/>
      <c r="AS417" s="361">
        <v>7414</v>
      </c>
    </row>
    <row r="418" spans="1:45" x14ac:dyDescent="0.35">
      <c r="A418" s="123"/>
      <c r="B418" s="123"/>
      <c r="C418" s="123"/>
      <c r="D418" s="123"/>
      <c r="E418" s="123"/>
      <c r="F418" s="123"/>
      <c r="G418" s="123"/>
      <c r="H418" s="123"/>
      <c r="I418" s="123"/>
      <c r="J418" s="123"/>
      <c r="K418" s="123"/>
      <c r="L418" s="123"/>
      <c r="M418" s="123"/>
      <c r="N418" s="123"/>
      <c r="O418" s="123"/>
      <c r="P418" s="123"/>
      <c r="Q418" s="123"/>
      <c r="AS418" s="361">
        <v>7415</v>
      </c>
    </row>
    <row r="419" spans="1:45" x14ac:dyDescent="0.35">
      <c r="A419" s="123"/>
      <c r="B419" s="123"/>
      <c r="C419" s="123"/>
      <c r="D419" s="123"/>
      <c r="E419" s="123"/>
      <c r="F419" s="123"/>
      <c r="G419" s="123"/>
      <c r="H419" s="123"/>
      <c r="I419" s="123"/>
      <c r="J419" s="123"/>
      <c r="K419" s="123"/>
      <c r="L419" s="123"/>
      <c r="M419" s="123"/>
      <c r="N419" s="123"/>
      <c r="O419" s="123"/>
      <c r="P419" s="123"/>
      <c r="Q419" s="123"/>
      <c r="AS419" s="361">
        <v>7416</v>
      </c>
    </row>
    <row r="420" spans="1:45" x14ac:dyDescent="0.35">
      <c r="A420" s="123"/>
      <c r="B420" s="123"/>
      <c r="C420" s="123"/>
      <c r="D420" s="123"/>
      <c r="E420" s="123"/>
      <c r="F420" s="123"/>
      <c r="G420" s="123"/>
      <c r="H420" s="123"/>
      <c r="I420" s="123"/>
      <c r="J420" s="123"/>
      <c r="K420" s="123"/>
      <c r="L420" s="123"/>
      <c r="M420" s="123"/>
      <c r="N420" s="123"/>
      <c r="O420" s="123"/>
      <c r="P420" s="123"/>
      <c r="Q420" s="123"/>
      <c r="AS420" s="361">
        <v>7417</v>
      </c>
    </row>
    <row r="421" spans="1:45" x14ac:dyDescent="0.35">
      <c r="A421" s="123"/>
      <c r="B421" s="123"/>
      <c r="C421" s="123"/>
      <c r="D421" s="123"/>
      <c r="E421" s="123"/>
      <c r="F421" s="123"/>
      <c r="G421" s="123"/>
      <c r="H421" s="123"/>
      <c r="I421" s="123"/>
      <c r="J421" s="123"/>
      <c r="K421" s="123"/>
      <c r="L421" s="123"/>
      <c r="M421" s="123"/>
      <c r="N421" s="123"/>
      <c r="O421" s="123"/>
      <c r="P421" s="123"/>
      <c r="Q421" s="123"/>
      <c r="AS421" s="361">
        <v>7418</v>
      </c>
    </row>
    <row r="422" spans="1:45" x14ac:dyDescent="0.35">
      <c r="A422" s="123"/>
      <c r="B422" s="123"/>
      <c r="C422" s="123"/>
      <c r="D422" s="123"/>
      <c r="E422" s="123"/>
      <c r="F422" s="123"/>
      <c r="G422" s="123"/>
      <c r="H422" s="123"/>
      <c r="I422" s="123"/>
      <c r="J422" s="123"/>
      <c r="K422" s="123"/>
      <c r="L422" s="123"/>
      <c r="M422" s="123"/>
      <c r="N422" s="123"/>
      <c r="O422" s="123"/>
      <c r="P422" s="123"/>
      <c r="Q422" s="123"/>
      <c r="AS422" s="361">
        <v>7421</v>
      </c>
    </row>
    <row r="423" spans="1:45" x14ac:dyDescent="0.35">
      <c r="A423" s="123"/>
      <c r="B423" s="123"/>
      <c r="C423" s="123"/>
      <c r="D423" s="123"/>
      <c r="E423" s="123"/>
      <c r="F423" s="123"/>
      <c r="G423" s="123"/>
      <c r="H423" s="123"/>
      <c r="I423" s="123"/>
      <c r="J423" s="123"/>
      <c r="K423" s="123"/>
      <c r="L423" s="123"/>
      <c r="M423" s="123"/>
      <c r="N423" s="123"/>
      <c r="O423" s="123"/>
      <c r="P423" s="123"/>
      <c r="Q423" s="123"/>
      <c r="AS423" s="361">
        <v>7422</v>
      </c>
    </row>
    <row r="424" spans="1:45" x14ac:dyDescent="0.35">
      <c r="AS424" s="361">
        <v>7431</v>
      </c>
    </row>
    <row r="425" spans="1:45" x14ac:dyDescent="0.35">
      <c r="AS425" s="361">
        <v>7441</v>
      </c>
    </row>
    <row r="426" spans="1:45" x14ac:dyDescent="0.35">
      <c r="AS426" s="361">
        <v>7442</v>
      </c>
    </row>
    <row r="427" spans="1:45" x14ac:dyDescent="0.35">
      <c r="AS427" s="361">
        <v>7443</v>
      </c>
    </row>
    <row r="428" spans="1:45" x14ac:dyDescent="0.35">
      <c r="AS428" s="361">
        <v>7444</v>
      </c>
    </row>
    <row r="429" spans="1:45" x14ac:dyDescent="0.35">
      <c r="AS429" s="361">
        <v>7445</v>
      </c>
    </row>
    <row r="430" spans="1:45" x14ac:dyDescent="0.35">
      <c r="AS430" s="361">
        <v>7446</v>
      </c>
    </row>
    <row r="431" spans="1:45" x14ac:dyDescent="0.35">
      <c r="AS431" s="361">
        <v>7447</v>
      </c>
    </row>
    <row r="432" spans="1:45" x14ac:dyDescent="0.35">
      <c r="AS432" s="361">
        <v>7511</v>
      </c>
    </row>
    <row r="433" spans="18:45" x14ac:dyDescent="0.35">
      <c r="AS433" s="361">
        <v>7512</v>
      </c>
    </row>
    <row r="434" spans="18:45" x14ac:dyDescent="0.35">
      <c r="AS434" s="361">
        <v>7513</v>
      </c>
    </row>
    <row r="435" spans="18:45" x14ac:dyDescent="0.35">
      <c r="AS435" s="361">
        <v>7514</v>
      </c>
    </row>
    <row r="436" spans="18:45" x14ac:dyDescent="0.35">
      <c r="AS436" s="361">
        <v>7515</v>
      </c>
    </row>
    <row r="437" spans="18:45" x14ac:dyDescent="0.35">
      <c r="AS437" s="361">
        <v>7516</v>
      </c>
    </row>
    <row r="438" spans="18:45" x14ac:dyDescent="0.35">
      <c r="R438" s="48"/>
      <c r="AS438" s="361">
        <v>7517</v>
      </c>
    </row>
    <row r="439" spans="18:45" x14ac:dyDescent="0.35">
      <c r="R439" s="48"/>
      <c r="AS439" s="361">
        <v>7518</v>
      </c>
    </row>
    <row r="440" spans="18:45" x14ac:dyDescent="0.35">
      <c r="R440" s="48"/>
      <c r="AS440" s="361">
        <v>7521</v>
      </c>
    </row>
    <row r="441" spans="18:45" x14ac:dyDescent="0.35">
      <c r="R441" s="48"/>
      <c r="AS441" s="361">
        <v>7522</v>
      </c>
    </row>
    <row r="442" spans="18:45" x14ac:dyDescent="0.35">
      <c r="R442" s="48"/>
      <c r="AS442" s="361">
        <v>7523</v>
      </c>
    </row>
    <row r="443" spans="18:45" x14ac:dyDescent="0.35">
      <c r="R443" s="48"/>
      <c r="AS443" s="361">
        <v>7524</v>
      </c>
    </row>
    <row r="444" spans="18:45" x14ac:dyDescent="0.35">
      <c r="R444" s="48"/>
      <c r="AS444" s="361">
        <v>7531</v>
      </c>
    </row>
    <row r="445" spans="18:45" x14ac:dyDescent="0.35">
      <c r="R445" s="48"/>
      <c r="AS445" s="361">
        <v>7532</v>
      </c>
    </row>
    <row r="446" spans="18:45" x14ac:dyDescent="0.35">
      <c r="R446" s="48"/>
      <c r="AS446" s="361">
        <v>7541</v>
      </c>
    </row>
    <row r="447" spans="18:45" x14ac:dyDescent="0.35">
      <c r="R447" s="48"/>
      <c r="AS447" s="361">
        <v>7542</v>
      </c>
    </row>
    <row r="448" spans="18:45" x14ac:dyDescent="0.35">
      <c r="R448" s="48"/>
      <c r="AS448" s="361">
        <v>7543</v>
      </c>
    </row>
    <row r="449" spans="18:45" x14ac:dyDescent="0.35">
      <c r="R449" s="48"/>
      <c r="AS449" s="361">
        <v>7601</v>
      </c>
    </row>
    <row r="450" spans="18:45" x14ac:dyDescent="0.35">
      <c r="R450" s="48"/>
      <c r="AS450" s="361">
        <v>7602</v>
      </c>
    </row>
    <row r="451" spans="18:45" x14ac:dyDescent="0.35">
      <c r="R451" s="48"/>
      <c r="AS451" s="361">
        <v>7603</v>
      </c>
    </row>
    <row r="452" spans="18:45" x14ac:dyDescent="0.35">
      <c r="R452" s="48"/>
      <c r="AS452" s="361">
        <v>7604</v>
      </c>
    </row>
    <row r="453" spans="18:45" x14ac:dyDescent="0.35">
      <c r="R453" s="48"/>
      <c r="AS453" s="361">
        <v>7605</v>
      </c>
    </row>
    <row r="454" spans="18:45" x14ac:dyDescent="0.35">
      <c r="R454" s="48"/>
      <c r="AS454" s="361">
        <v>7606</v>
      </c>
    </row>
    <row r="455" spans="18:45" x14ac:dyDescent="0.35">
      <c r="R455" s="48"/>
      <c r="AS455" s="361">
        <v>8111</v>
      </c>
    </row>
    <row r="456" spans="18:45" x14ac:dyDescent="0.35">
      <c r="R456" s="48"/>
      <c r="AS456" s="361">
        <v>8112</v>
      </c>
    </row>
    <row r="457" spans="18:45" x14ac:dyDescent="0.35">
      <c r="R457" s="48"/>
      <c r="AS457" s="361">
        <v>8114</v>
      </c>
    </row>
    <row r="458" spans="18:45" x14ac:dyDescent="0.35">
      <c r="R458" s="48"/>
      <c r="AS458" s="361">
        <v>8121</v>
      </c>
    </row>
    <row r="459" spans="18:45" x14ac:dyDescent="0.35">
      <c r="R459" s="48"/>
      <c r="AS459" s="361">
        <v>8122</v>
      </c>
    </row>
    <row r="460" spans="18:45" x14ac:dyDescent="0.35">
      <c r="R460" s="48"/>
      <c r="AS460" s="361">
        <v>8123</v>
      </c>
    </row>
    <row r="461" spans="18:45" x14ac:dyDescent="0.35">
      <c r="R461" s="48"/>
      <c r="AS461" s="361">
        <v>8131</v>
      </c>
    </row>
    <row r="462" spans="18:45" x14ac:dyDescent="0.35">
      <c r="R462" s="48"/>
      <c r="AS462" s="361">
        <v>8132</v>
      </c>
    </row>
    <row r="463" spans="18:45" x14ac:dyDescent="0.35">
      <c r="R463" s="48"/>
      <c r="AS463" s="361">
        <v>8133</v>
      </c>
    </row>
    <row r="464" spans="18:45" x14ac:dyDescent="0.35">
      <c r="R464" s="48"/>
      <c r="AS464" s="361">
        <v>8211</v>
      </c>
    </row>
    <row r="465" spans="18:45" x14ac:dyDescent="0.35">
      <c r="R465" s="48"/>
      <c r="AS465" s="361">
        <v>8221</v>
      </c>
    </row>
    <row r="466" spans="18:45" x14ac:dyDescent="0.35">
      <c r="R466" s="48"/>
      <c r="AS466" s="361">
        <v>8231</v>
      </c>
    </row>
    <row r="467" spans="18:45" x14ac:dyDescent="0.35">
      <c r="R467" s="48"/>
      <c r="AS467" s="361">
        <v>8232</v>
      </c>
    </row>
    <row r="468" spans="18:45" x14ac:dyDescent="0.35">
      <c r="R468" s="48"/>
      <c r="AS468" s="361">
        <v>8241</v>
      </c>
    </row>
    <row r="469" spans="18:45" x14ac:dyDescent="0.35">
      <c r="R469" s="48"/>
      <c r="AS469" s="361">
        <v>8261</v>
      </c>
    </row>
    <row r="470" spans="18:45" x14ac:dyDescent="0.35">
      <c r="R470" s="48"/>
      <c r="AS470" s="361">
        <v>8271</v>
      </c>
    </row>
    <row r="471" spans="18:45" x14ac:dyDescent="0.35">
      <c r="R471" s="48"/>
      <c r="AS471" s="361">
        <v>8311</v>
      </c>
    </row>
    <row r="472" spans="18:45" x14ac:dyDescent="0.35">
      <c r="R472" s="48"/>
      <c r="AS472" s="361">
        <v>8312</v>
      </c>
    </row>
    <row r="473" spans="18:45" x14ac:dyDescent="0.35">
      <c r="R473" s="48"/>
      <c r="AS473" s="361">
        <v>8313</v>
      </c>
    </row>
    <row r="474" spans="18:45" x14ac:dyDescent="0.35">
      <c r="R474" s="48"/>
      <c r="AS474" s="361">
        <v>8314</v>
      </c>
    </row>
    <row r="475" spans="18:45" x14ac:dyDescent="0.35">
      <c r="R475" s="48"/>
      <c r="AS475" s="361">
        <v>8315</v>
      </c>
    </row>
    <row r="476" spans="18:45" x14ac:dyDescent="0.35">
      <c r="R476" s="48"/>
      <c r="AS476" s="361">
        <v>8316</v>
      </c>
    </row>
    <row r="477" spans="18:45" x14ac:dyDescent="0.35">
      <c r="R477" s="48"/>
      <c r="AS477" s="361">
        <v>8321</v>
      </c>
    </row>
    <row r="478" spans="18:45" x14ac:dyDescent="0.35">
      <c r="R478" s="48"/>
      <c r="AS478" s="361">
        <v>8331</v>
      </c>
    </row>
    <row r="479" spans="18:45" x14ac:dyDescent="0.35">
      <c r="R479" s="48"/>
      <c r="AS479" s="361">
        <v>8332</v>
      </c>
    </row>
    <row r="480" spans="18:45" x14ac:dyDescent="0.35">
      <c r="R480" s="48"/>
      <c r="AS480" s="361">
        <v>8333</v>
      </c>
    </row>
    <row r="481" spans="18:45" x14ac:dyDescent="0.35">
      <c r="R481" s="48"/>
      <c r="AS481" s="361">
        <v>8334</v>
      </c>
    </row>
    <row r="482" spans="18:45" x14ac:dyDescent="0.35">
      <c r="R482" s="48"/>
      <c r="AS482" s="361">
        <v>8411</v>
      </c>
    </row>
    <row r="483" spans="18:45" x14ac:dyDescent="0.35">
      <c r="R483" s="48"/>
      <c r="AS483" s="361">
        <v>8412</v>
      </c>
    </row>
    <row r="484" spans="18:45" x14ac:dyDescent="0.35">
      <c r="R484" s="48"/>
      <c r="AS484" s="361">
        <v>8413</v>
      </c>
    </row>
    <row r="485" spans="18:45" x14ac:dyDescent="0.35">
      <c r="R485" s="48"/>
      <c r="AS485" s="361">
        <v>8414</v>
      </c>
    </row>
    <row r="486" spans="18:45" x14ac:dyDescent="0.35">
      <c r="R486" s="48"/>
      <c r="AS486" s="361">
        <v>8415</v>
      </c>
    </row>
    <row r="487" spans="18:45" x14ac:dyDescent="0.35">
      <c r="R487" s="48"/>
      <c r="AS487" s="361">
        <v>8421</v>
      </c>
    </row>
    <row r="488" spans="18:45" x14ac:dyDescent="0.35">
      <c r="R488" s="48"/>
      <c r="AS488" s="361">
        <v>8422</v>
      </c>
    </row>
    <row r="489" spans="18:45" x14ac:dyDescent="0.35">
      <c r="R489" s="48"/>
      <c r="AS489" s="361">
        <v>8431</v>
      </c>
    </row>
    <row r="490" spans="18:45" x14ac:dyDescent="0.35">
      <c r="R490" s="48"/>
      <c r="AS490" s="361">
        <v>8432</v>
      </c>
    </row>
    <row r="491" spans="18:45" x14ac:dyDescent="0.35">
      <c r="R491" s="48"/>
      <c r="AS491" s="361">
        <v>8433</v>
      </c>
    </row>
    <row r="492" spans="18:45" x14ac:dyDescent="0.35">
      <c r="R492" s="48"/>
      <c r="AS492" s="361">
        <v>8434</v>
      </c>
    </row>
    <row r="493" spans="18:45" x14ac:dyDescent="0.35">
      <c r="R493" s="48"/>
      <c r="AS493" s="361">
        <v>8435</v>
      </c>
    </row>
    <row r="494" spans="18:45" x14ac:dyDescent="0.35">
      <c r="R494" s="48"/>
      <c r="AS494" s="361">
        <v>8441</v>
      </c>
    </row>
    <row r="495" spans="18:45" x14ac:dyDescent="0.35">
      <c r="R495" s="48"/>
      <c r="AS495" s="361">
        <v>8442</v>
      </c>
    </row>
    <row r="496" spans="18:45" x14ac:dyDescent="0.35">
      <c r="R496" s="48"/>
      <c r="AS496" s="361">
        <v>8443</v>
      </c>
    </row>
    <row r="497" spans="18:45" x14ac:dyDescent="0.35">
      <c r="R497" s="48"/>
      <c r="AS497" s="361">
        <v>8451</v>
      </c>
    </row>
    <row r="498" spans="18:45" x14ac:dyDescent="0.35">
      <c r="R498" s="48"/>
      <c r="AS498" s="361">
        <v>8452</v>
      </c>
    </row>
    <row r="499" spans="18:45" x14ac:dyDescent="0.35">
      <c r="R499" s="48"/>
      <c r="AS499" s="361">
        <v>8511</v>
      </c>
    </row>
    <row r="500" spans="18:45" x14ac:dyDescent="0.35">
      <c r="R500" s="48"/>
      <c r="AS500" s="361">
        <v>8512</v>
      </c>
    </row>
    <row r="501" spans="18:45" x14ac:dyDescent="0.35">
      <c r="R501" s="48"/>
      <c r="AS501" s="361">
        <v>8513</v>
      </c>
    </row>
    <row r="502" spans="18:45" x14ac:dyDescent="0.35">
      <c r="R502" s="48"/>
      <c r="AS502" s="361">
        <v>8514</v>
      </c>
    </row>
    <row r="503" spans="18:45" x14ac:dyDescent="0.35">
      <c r="R503" s="48"/>
      <c r="AS503" s="361">
        <v>8521</v>
      </c>
    </row>
    <row r="504" spans="18:45" x14ac:dyDescent="0.35">
      <c r="R504" s="48"/>
      <c r="AS504" s="361">
        <v>8522</v>
      </c>
    </row>
    <row r="505" spans="18:45" x14ac:dyDescent="0.35">
      <c r="R505" s="48"/>
      <c r="AS505" s="361">
        <v>8523</v>
      </c>
    </row>
    <row r="506" spans="18:45" x14ac:dyDescent="0.35">
      <c r="R506" s="48"/>
      <c r="AS506" s="361">
        <v>8524</v>
      </c>
    </row>
    <row r="507" spans="18:45" x14ac:dyDescent="0.35">
      <c r="R507" s="48"/>
      <c r="AS507" s="361">
        <v>8525</v>
      </c>
    </row>
    <row r="508" spans="18:45" x14ac:dyDescent="0.35">
      <c r="R508" s="48"/>
      <c r="AS508" s="361">
        <v>8526</v>
      </c>
    </row>
    <row r="509" spans="18:45" x14ac:dyDescent="0.35">
      <c r="R509" s="48"/>
      <c r="AS509" s="361">
        <v>8531</v>
      </c>
    </row>
    <row r="510" spans="18:45" x14ac:dyDescent="0.35">
      <c r="R510" s="48"/>
      <c r="AS510" s="361">
        <v>8541</v>
      </c>
    </row>
    <row r="511" spans="18:45" x14ac:dyDescent="0.35">
      <c r="R511" s="48"/>
      <c r="AS511" s="361">
        <v>8601</v>
      </c>
    </row>
    <row r="512" spans="18:45" x14ac:dyDescent="0.35">
      <c r="R512" s="48"/>
      <c r="AS512" s="361">
        <v>8611</v>
      </c>
    </row>
    <row r="513" spans="18:45" x14ac:dyDescent="0.35">
      <c r="R513" s="48"/>
      <c r="AS513" s="361">
        <v>8612</v>
      </c>
    </row>
    <row r="514" spans="18:45" x14ac:dyDescent="0.35">
      <c r="R514" s="48"/>
      <c r="AS514" s="361">
        <v>8711</v>
      </c>
    </row>
    <row r="515" spans="18:45" x14ac:dyDescent="0.35">
      <c r="R515" s="48"/>
      <c r="AS515" s="361">
        <v>8712</v>
      </c>
    </row>
    <row r="516" spans="18:45" x14ac:dyDescent="0.35">
      <c r="R516" s="48"/>
      <c r="AS516" s="361">
        <v>8713</v>
      </c>
    </row>
    <row r="517" spans="18:45" x14ac:dyDescent="0.35">
      <c r="R517" s="48"/>
      <c r="AS517" s="361">
        <v>8714</v>
      </c>
    </row>
    <row r="518" spans="18:45" x14ac:dyDescent="0.35">
      <c r="R518" s="48"/>
      <c r="AS518" s="361">
        <v>8715</v>
      </c>
    </row>
    <row r="519" spans="18:45" x14ac:dyDescent="0.35">
      <c r="R519" s="48"/>
      <c r="AS519" s="361">
        <v>8721</v>
      </c>
    </row>
    <row r="520" spans="18:45" x14ac:dyDescent="0.35">
      <c r="R520" s="48"/>
      <c r="AS520" s="361">
        <v>8722</v>
      </c>
    </row>
    <row r="521" spans="18:45" x14ac:dyDescent="0.35">
      <c r="R521" s="48"/>
      <c r="AS521" s="361">
        <v>8811</v>
      </c>
    </row>
    <row r="522" spans="18:45" x14ac:dyDescent="0.35">
      <c r="R522" s="48"/>
      <c r="AS522" s="361">
        <v>8821</v>
      </c>
    </row>
    <row r="523" spans="18:45" x14ac:dyDescent="0.35">
      <c r="R523" s="48"/>
      <c r="AS523" s="361">
        <v>8910</v>
      </c>
    </row>
    <row r="524" spans="18:45" x14ac:dyDescent="0.35">
      <c r="R524" s="48"/>
      <c r="AS524" s="361">
        <v>8921</v>
      </c>
    </row>
    <row r="525" spans="18:45" x14ac:dyDescent="0.35">
      <c r="R525" s="48"/>
      <c r="AS525" s="361">
        <v>8922</v>
      </c>
    </row>
    <row r="526" spans="18:45" x14ac:dyDescent="0.35">
      <c r="R526" s="48"/>
      <c r="AS526" s="361">
        <v>8923</v>
      </c>
    </row>
    <row r="527" spans="18:45" x14ac:dyDescent="0.35">
      <c r="R527" s="48"/>
      <c r="AS527" s="361">
        <v>8924</v>
      </c>
    </row>
    <row r="528" spans="18:45" x14ac:dyDescent="0.35">
      <c r="R528" s="48"/>
      <c r="AS528" s="361">
        <v>8925</v>
      </c>
    </row>
    <row r="529" spans="18:45" x14ac:dyDescent="0.35">
      <c r="R529" s="48"/>
      <c r="AS529" s="361">
        <v>8926</v>
      </c>
    </row>
    <row r="530" spans="18:45" x14ac:dyDescent="0.35">
      <c r="R530" s="48"/>
      <c r="AS530" s="361">
        <v>8927</v>
      </c>
    </row>
    <row r="531" spans="18:45" x14ac:dyDescent="0.35">
      <c r="R531" s="48"/>
      <c r="AS531" s="361">
        <v>8928</v>
      </c>
    </row>
    <row r="532" spans="18:45" x14ac:dyDescent="0.35">
      <c r="R532" s="48"/>
      <c r="AS532" s="361">
        <v>8929</v>
      </c>
    </row>
    <row r="533" spans="18:45" x14ac:dyDescent="0.35">
      <c r="R533" s="48"/>
      <c r="AS533" s="361">
        <v>8930</v>
      </c>
    </row>
    <row r="534" spans="18:45" x14ac:dyDescent="0.35">
      <c r="R534" s="48"/>
      <c r="AS534" s="361">
        <v>8931</v>
      </c>
    </row>
    <row r="535" spans="18:45" x14ac:dyDescent="0.35">
      <c r="R535" s="48"/>
      <c r="AS535" s="361">
        <v>8932</v>
      </c>
    </row>
    <row r="536" spans="18:45" x14ac:dyDescent="0.35">
      <c r="R536" s="48"/>
      <c r="AS536" s="361">
        <v>8951</v>
      </c>
    </row>
    <row r="537" spans="18:45" x14ac:dyDescent="0.35">
      <c r="R537" s="48"/>
      <c r="AS537" s="361">
        <v>9351</v>
      </c>
    </row>
    <row r="538" spans="18:45" x14ac:dyDescent="0.35">
      <c r="R538" s="48"/>
      <c r="AS538" s="361" t="s">
        <v>2065</v>
      </c>
    </row>
    <row r="539" spans="18:45" x14ac:dyDescent="0.35">
      <c r="R539" s="48"/>
    </row>
    <row r="540" spans="18:45" x14ac:dyDescent="0.35">
      <c r="R540" s="48"/>
    </row>
  </sheetData>
  <mergeCells count="24">
    <mergeCell ref="A282:Q282"/>
    <mergeCell ref="A1:D2"/>
    <mergeCell ref="E1:G1"/>
    <mergeCell ref="H1:N1"/>
    <mergeCell ref="P1:Q1"/>
    <mergeCell ref="A275:Q275"/>
    <mergeCell ref="A276:Q276"/>
    <mergeCell ref="A277:Q277"/>
    <mergeCell ref="A278:Q278"/>
    <mergeCell ref="A279:Q279"/>
    <mergeCell ref="A280:Q280"/>
    <mergeCell ref="A281:Q281"/>
    <mergeCell ref="A294:Q294"/>
    <mergeCell ref="A283:Q283"/>
    <mergeCell ref="A284:Q284"/>
    <mergeCell ref="A285:Q285"/>
    <mergeCell ref="A286:Q286"/>
    <mergeCell ref="A287:Q287"/>
    <mergeCell ref="A288:Q288"/>
    <mergeCell ref="A289:Q289"/>
    <mergeCell ref="A290:Q290"/>
    <mergeCell ref="A291:Q291"/>
    <mergeCell ref="A292:Q292"/>
    <mergeCell ref="A293:Q293"/>
  </mergeCells>
  <pageMargins left="0.25" right="0.25" top="1" bottom="0.25" header="0.05" footer="0.05"/>
  <pageSetup paperSize="3" scale="90" fitToHeight="0" orientation="landscape"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188482-2758-4D5E-9CF4-6469097C90EB}">
  <sheetPr>
    <tabColor theme="4" tint="0.79998168889431442"/>
  </sheetPr>
  <dimension ref="A1:H17"/>
  <sheetViews>
    <sheetView workbookViewId="0">
      <selection activeCell="E6" sqref="E6"/>
    </sheetView>
  </sheetViews>
  <sheetFormatPr defaultRowHeight="14.5" x14ac:dyDescent="0.35"/>
  <cols>
    <col min="2" max="6" width="23.81640625" customWidth="1"/>
    <col min="7" max="7" width="11.81640625" customWidth="1"/>
  </cols>
  <sheetData>
    <row r="1" spans="1:8" ht="15" thickBot="1" x14ac:dyDescent="0.4">
      <c r="A1" s="1455" t="s">
        <v>2627</v>
      </c>
      <c r="B1" s="1455"/>
      <c r="C1" s="1455"/>
      <c r="D1" s="1455"/>
      <c r="E1" s="1455"/>
      <c r="F1" s="1455"/>
    </row>
    <row r="2" spans="1:8" ht="15" thickBot="1" x14ac:dyDescent="0.4">
      <c r="A2" s="84" t="s">
        <v>2066</v>
      </c>
      <c r="B2" s="85" t="s">
        <v>2067</v>
      </c>
      <c r="C2" s="85" t="s">
        <v>2068</v>
      </c>
      <c r="D2" s="85" t="s">
        <v>2069</v>
      </c>
      <c r="E2" s="85" t="s">
        <v>2070</v>
      </c>
      <c r="F2" s="86" t="s">
        <v>2071</v>
      </c>
    </row>
    <row r="3" spans="1:8" ht="145.5" thickBot="1" x14ac:dyDescent="0.4">
      <c r="A3" s="87" t="s">
        <v>2072</v>
      </c>
      <c r="B3" s="87" t="s">
        <v>2342</v>
      </c>
      <c r="C3" s="87" t="s">
        <v>2343</v>
      </c>
      <c r="D3" s="87" t="s">
        <v>2344</v>
      </c>
      <c r="E3" s="87" t="s">
        <v>2345</v>
      </c>
      <c r="F3" s="87" t="s">
        <v>2351</v>
      </c>
      <c r="G3" s="134"/>
      <c r="H3" s="9"/>
    </row>
    <row r="4" spans="1:8" ht="87.5" thickBot="1" x14ac:dyDescent="0.4">
      <c r="A4" s="89" t="s">
        <v>2053</v>
      </c>
      <c r="B4" s="90" t="s">
        <v>2346</v>
      </c>
      <c r="C4" s="90" t="s">
        <v>2347</v>
      </c>
      <c r="D4" s="90" t="s">
        <v>2344</v>
      </c>
      <c r="E4" s="90" t="s">
        <v>2345</v>
      </c>
      <c r="F4" s="90" t="s">
        <v>2073</v>
      </c>
    </row>
    <row r="5" spans="1:8" ht="102" thickBot="1" x14ac:dyDescent="0.4">
      <c r="A5" s="89" t="s">
        <v>2074</v>
      </c>
      <c r="B5" s="90" t="s">
        <v>2348</v>
      </c>
      <c r="C5" s="90" t="s">
        <v>2349</v>
      </c>
      <c r="D5" s="90" t="s">
        <v>2350</v>
      </c>
      <c r="E5" s="90" t="s">
        <v>2075</v>
      </c>
      <c r="F5" s="90" t="s">
        <v>2076</v>
      </c>
    </row>
    <row r="6" spans="1:8" ht="73" thickBot="1" x14ac:dyDescent="0.4">
      <c r="A6" s="87" t="s">
        <v>2051</v>
      </c>
      <c r="B6" s="88" t="s">
        <v>2077</v>
      </c>
      <c r="C6" s="88" t="s">
        <v>2352</v>
      </c>
      <c r="D6" s="87" t="s">
        <v>2078</v>
      </c>
      <c r="E6" s="88" t="s">
        <v>2079</v>
      </c>
      <c r="F6" s="87" t="s">
        <v>2353</v>
      </c>
    </row>
    <row r="7" spans="1:8" x14ac:dyDescent="0.35">
      <c r="A7" s="6"/>
    </row>
    <row r="8" spans="1:8" ht="340" customHeight="1" x14ac:dyDescent="0.35">
      <c r="A8" s="1437" t="s">
        <v>2631</v>
      </c>
      <c r="B8" s="1437"/>
      <c r="C8" s="1437"/>
      <c r="D8" s="1437"/>
      <c r="E8" s="1437"/>
      <c r="F8" s="91"/>
    </row>
    <row r="9" spans="1:8" ht="192" customHeight="1" x14ac:dyDescent="0.35">
      <c r="A9" s="1458" t="s">
        <v>2080</v>
      </c>
      <c r="B9" s="1459"/>
      <c r="C9" s="1459"/>
      <c r="D9" s="1459"/>
      <c r="E9" s="1459"/>
      <c r="F9" s="92" t="s">
        <v>2081</v>
      </c>
    </row>
    <row r="10" spans="1:8" ht="210" customHeight="1" x14ac:dyDescent="0.35">
      <c r="A10" s="1458" t="s">
        <v>2082</v>
      </c>
      <c r="B10" s="1459"/>
      <c r="C10" s="1459"/>
      <c r="D10" s="1459"/>
      <c r="E10" s="1459"/>
      <c r="F10" s="93" t="s">
        <v>2083</v>
      </c>
    </row>
    <row r="11" spans="1:8" ht="161.15" customHeight="1" x14ac:dyDescent="0.35">
      <c r="A11" s="1458" t="s">
        <v>2084</v>
      </c>
      <c r="B11" s="1459"/>
      <c r="C11" s="1459"/>
      <c r="D11" s="1459"/>
      <c r="E11" s="1459"/>
      <c r="F11" s="47" t="s">
        <v>2085</v>
      </c>
    </row>
    <row r="12" spans="1:8" ht="133.5" customHeight="1" x14ac:dyDescent="0.35">
      <c r="A12" s="1458" t="s">
        <v>2086</v>
      </c>
      <c r="B12" s="1459"/>
      <c r="C12" s="1459"/>
      <c r="D12" s="1459"/>
      <c r="E12" s="1459"/>
      <c r="F12" s="15"/>
    </row>
    <row r="13" spans="1:8" ht="150" customHeight="1" x14ac:dyDescent="0.35">
      <c r="A13" s="1437" t="s">
        <v>2632</v>
      </c>
      <c r="B13" s="1460"/>
      <c r="C13" s="1460"/>
      <c r="D13" s="1460"/>
      <c r="E13" s="1460"/>
      <c r="F13" s="11"/>
    </row>
    <row r="14" spans="1:8" ht="22.5" customHeight="1" x14ac:dyDescent="0.35">
      <c r="A14" s="1456" t="s">
        <v>2138</v>
      </c>
      <c r="B14" s="1456"/>
      <c r="C14" s="1456"/>
      <c r="D14" s="1456"/>
      <c r="E14" s="1456"/>
      <c r="F14" s="1456"/>
    </row>
    <row r="15" spans="1:8" ht="18" customHeight="1" x14ac:dyDescent="0.35">
      <c r="A15" s="1457" t="s">
        <v>2633</v>
      </c>
      <c r="B15" s="1457"/>
      <c r="C15" s="1457"/>
      <c r="D15" s="1457"/>
      <c r="E15" s="1457"/>
      <c r="F15" s="1457"/>
    </row>
    <row r="16" spans="1:8" ht="46.5" customHeight="1" x14ac:dyDescent="0.35">
      <c r="A16" s="1457" t="s">
        <v>2635</v>
      </c>
      <c r="B16" s="1457"/>
      <c r="C16" s="1457"/>
      <c r="D16" s="1457"/>
      <c r="E16" s="1457"/>
      <c r="F16" s="1457"/>
    </row>
    <row r="17" spans="1:6" ht="60" customHeight="1" x14ac:dyDescent="0.35">
      <c r="A17" s="1457" t="s">
        <v>2634</v>
      </c>
      <c r="B17" s="1457"/>
      <c r="C17" s="1457"/>
      <c r="D17" s="1457"/>
      <c r="E17" s="1457"/>
      <c r="F17" s="1457"/>
    </row>
  </sheetData>
  <mergeCells count="11">
    <mergeCell ref="A1:F1"/>
    <mergeCell ref="A14:F14"/>
    <mergeCell ref="A15:F15"/>
    <mergeCell ref="A16:F16"/>
    <mergeCell ref="A17:F17"/>
    <mergeCell ref="A8:E8"/>
    <mergeCell ref="A9:E9"/>
    <mergeCell ref="A10:E10"/>
    <mergeCell ref="A11:E11"/>
    <mergeCell ref="A12:E12"/>
    <mergeCell ref="A13:E13"/>
  </mergeCells>
  <hyperlinks>
    <hyperlink ref="A2" location="_ftn1" display="_ftn1" xr:uid="{C34F387E-153D-4BD4-A008-69E86BFC6654}"/>
    <hyperlink ref="F2" location="_ftn2" display="_ftn2" xr:uid="{BD05A855-190F-4F3B-B5E9-D30C3601C7A4}"/>
  </hyperlinks>
  <pageMargins left="0.7" right="0.7" top="0.75" bottom="0.75" header="0.3" footer="0.3"/>
  <pageSetup scale="65" fitToHeight="0"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110EBD-DA31-4BB1-AE2C-8AC70606C72F}">
  <sheetPr>
    <tabColor theme="4" tint="0.79998168889431442"/>
    <pageSetUpPr fitToPage="1"/>
  </sheetPr>
  <dimension ref="A1:P66"/>
  <sheetViews>
    <sheetView topLeftCell="A19" zoomScaleNormal="100" workbookViewId="0">
      <selection activeCell="A31" sqref="A31:XFD31"/>
    </sheetView>
  </sheetViews>
  <sheetFormatPr defaultColWidth="9.1796875" defaultRowHeight="14.5" x14ac:dyDescent="0.35"/>
  <cols>
    <col min="1" max="1" width="9.1796875" style="48"/>
    <col min="2" max="2" width="49.1796875" style="48" customWidth="1"/>
    <col min="3" max="3" width="14.1796875" style="73" customWidth="1"/>
    <col min="4" max="4" width="10.1796875" style="73" customWidth="1"/>
    <col min="5" max="5" width="13" style="103" customWidth="1"/>
    <col min="6" max="6" width="14" style="73" customWidth="1"/>
    <col min="7" max="8" width="9.1796875" style="73"/>
    <col min="9" max="9" width="10.453125" style="73" customWidth="1"/>
    <col min="10" max="10" width="10.81640625" style="73" customWidth="1"/>
    <col min="11" max="12" width="11.1796875" style="73" customWidth="1"/>
    <col min="13" max="13" width="11" style="73" customWidth="1"/>
    <col min="14" max="16384" width="9.1796875" style="48"/>
  </cols>
  <sheetData>
    <row r="1" spans="1:13" ht="36.75" customHeight="1" thickBot="1" x14ac:dyDescent="0.4">
      <c r="A1" s="1467" t="s">
        <v>2690</v>
      </c>
      <c r="B1" s="1468"/>
      <c r="C1" s="1468"/>
      <c r="D1" s="1468"/>
      <c r="E1" s="1468"/>
      <c r="F1" s="1468"/>
      <c r="G1" s="1468"/>
      <c r="H1" s="1468"/>
      <c r="I1" s="1468"/>
      <c r="J1" s="1468"/>
      <c r="K1" s="1468"/>
      <c r="L1" s="1468"/>
      <c r="M1" s="1469"/>
    </row>
    <row r="2" spans="1:13" ht="74.25" customHeight="1" x14ac:dyDescent="0.35">
      <c r="A2" s="94" t="s">
        <v>0</v>
      </c>
      <c r="B2" s="95" t="s">
        <v>2087</v>
      </c>
      <c r="C2" s="388" t="s">
        <v>2681</v>
      </c>
      <c r="D2" s="94" t="s">
        <v>2088</v>
      </c>
      <c r="E2" s="96" t="s">
        <v>2682</v>
      </c>
      <c r="F2" s="94" t="s">
        <v>2683</v>
      </c>
      <c r="G2" s="94" t="s">
        <v>2684</v>
      </c>
      <c r="H2" s="94" t="s">
        <v>2685</v>
      </c>
      <c r="I2" s="94" t="s">
        <v>2686</v>
      </c>
      <c r="J2" s="94" t="s">
        <v>2687</v>
      </c>
      <c r="K2" s="97" t="s">
        <v>2688</v>
      </c>
      <c r="L2" s="94" t="s">
        <v>2191</v>
      </c>
      <c r="M2" s="94" t="s">
        <v>2689</v>
      </c>
    </row>
    <row r="3" spans="1:13" x14ac:dyDescent="0.35">
      <c r="A3" s="98">
        <v>1431</v>
      </c>
      <c r="B3" s="99" t="s">
        <v>17</v>
      </c>
      <c r="C3" s="144">
        <v>11775</v>
      </c>
      <c r="D3" s="33" t="s">
        <v>2053</v>
      </c>
      <c r="E3" s="26">
        <v>1.6</v>
      </c>
      <c r="F3" s="2">
        <v>0.08</v>
      </c>
      <c r="G3" s="100">
        <f>+E3+F3-1</f>
        <v>0.68000000000000016</v>
      </c>
      <c r="H3" s="100">
        <f>+G3/(E3+F3)</f>
        <v>0.40476190476190482</v>
      </c>
      <c r="I3" s="2">
        <v>150</v>
      </c>
      <c r="J3" s="100">
        <f>+C3/I3</f>
        <v>78.5</v>
      </c>
      <c r="K3" s="100">
        <f>+H3*J3</f>
        <v>31.773809523809529</v>
      </c>
      <c r="L3" s="100">
        <f>+K3/200</f>
        <v>0.15886904761904763</v>
      </c>
      <c r="M3" s="2">
        <v>1</v>
      </c>
    </row>
    <row r="4" spans="1:13" x14ac:dyDescent="0.35">
      <c r="A4" s="98">
        <v>1442</v>
      </c>
      <c r="B4" s="99" t="s">
        <v>19</v>
      </c>
      <c r="C4" s="144">
        <v>15038</v>
      </c>
      <c r="D4" s="33" t="s">
        <v>2053</v>
      </c>
      <c r="E4" s="26">
        <v>1.21</v>
      </c>
      <c r="F4" s="2">
        <v>0.04</v>
      </c>
      <c r="G4" s="100">
        <f t="shared" ref="G4:G43" si="0">+E4+F4-1</f>
        <v>0.25</v>
      </c>
      <c r="H4" s="100">
        <f t="shared" ref="H4:H43" si="1">+G4/(E4+F4)</f>
        <v>0.2</v>
      </c>
      <c r="I4" s="2">
        <v>150</v>
      </c>
      <c r="J4" s="100">
        <f t="shared" ref="J4:J43" si="2">+C4/I4</f>
        <v>100.25333333333333</v>
      </c>
      <c r="K4" s="100">
        <f t="shared" ref="K4:K43" si="3">+H4*J4</f>
        <v>20.050666666666668</v>
      </c>
      <c r="L4" s="100">
        <f t="shared" ref="L4:L43" si="4">+K4/200</f>
        <v>0.10025333333333335</v>
      </c>
      <c r="M4" s="2">
        <f>ROUND(L4,0)</f>
        <v>0</v>
      </c>
    </row>
    <row r="5" spans="1:13" x14ac:dyDescent="0.35">
      <c r="A5" s="98">
        <v>1443</v>
      </c>
      <c r="B5" s="99" t="s">
        <v>20</v>
      </c>
      <c r="C5" s="144">
        <v>9819</v>
      </c>
      <c r="D5" s="33" t="s">
        <v>2051</v>
      </c>
      <c r="E5" s="26">
        <v>1.1100000000000001</v>
      </c>
      <c r="F5" s="2">
        <v>0.02</v>
      </c>
      <c r="G5" s="100">
        <f t="shared" si="0"/>
        <v>0.13000000000000012</v>
      </c>
      <c r="H5" s="100">
        <f t="shared" si="1"/>
        <v>0.11504424778761072</v>
      </c>
      <c r="I5" s="2">
        <v>150</v>
      </c>
      <c r="J5" s="100">
        <f t="shared" si="2"/>
        <v>65.459999999999994</v>
      </c>
      <c r="K5" s="100">
        <f t="shared" si="3"/>
        <v>7.5307964601769966</v>
      </c>
      <c r="L5" s="100">
        <f t="shared" si="4"/>
        <v>3.7653982300884986E-2</v>
      </c>
      <c r="M5" s="2">
        <f>ROUND(L5,0)</f>
        <v>0</v>
      </c>
    </row>
    <row r="6" spans="1:13" x14ac:dyDescent="0.35">
      <c r="A6" s="98">
        <v>1446</v>
      </c>
      <c r="B6" s="99" t="s">
        <v>21</v>
      </c>
      <c r="C6" s="144">
        <v>12839</v>
      </c>
      <c r="D6" s="33" t="s">
        <v>2089</v>
      </c>
      <c r="E6" s="101">
        <v>1.38</v>
      </c>
      <c r="F6" s="2">
        <v>0.05</v>
      </c>
      <c r="G6" s="100">
        <f t="shared" si="0"/>
        <v>0.42999999999999994</v>
      </c>
      <c r="H6" s="100">
        <f t="shared" si="1"/>
        <v>0.30069930069930068</v>
      </c>
      <c r="I6" s="2">
        <f>VLOOKUP(D6,'[3]IBC Pers per Occ'!$A$2:$B$9,2,FALSE)</f>
        <v>120</v>
      </c>
      <c r="J6" s="100">
        <f t="shared" si="2"/>
        <v>106.99166666666666</v>
      </c>
      <c r="K6" s="100">
        <f t="shared" si="3"/>
        <v>32.172319347319345</v>
      </c>
      <c r="L6" s="100">
        <f t="shared" si="4"/>
        <v>0.16086159673659672</v>
      </c>
      <c r="M6" s="2">
        <v>1</v>
      </c>
    </row>
    <row r="7" spans="1:13" x14ac:dyDescent="0.35">
      <c r="A7" s="98">
        <v>2112</v>
      </c>
      <c r="B7" s="99" t="s">
        <v>76</v>
      </c>
      <c r="C7" s="144">
        <v>17421</v>
      </c>
      <c r="D7" s="33" t="s">
        <v>2090</v>
      </c>
      <c r="E7" s="26">
        <v>1.35</v>
      </c>
      <c r="F7" s="2">
        <v>0.02</v>
      </c>
      <c r="G7" s="100">
        <f t="shared" si="0"/>
        <v>0.37000000000000011</v>
      </c>
      <c r="H7" s="100">
        <f t="shared" si="1"/>
        <v>0.27007299270072999</v>
      </c>
      <c r="I7" s="2">
        <f>VLOOKUP(D7,'[3]IBC Pers per Occ'!$A$2:$B$9,2,FALSE)</f>
        <v>100</v>
      </c>
      <c r="J7" s="100">
        <f t="shared" si="2"/>
        <v>174.21</v>
      </c>
      <c r="K7" s="100">
        <f t="shared" si="3"/>
        <v>47.049416058394172</v>
      </c>
      <c r="L7" s="100">
        <f t="shared" si="4"/>
        <v>0.23524708029197086</v>
      </c>
      <c r="M7" s="2">
        <f t="shared" ref="M7:M43" si="5">ROUND(L7,0)</f>
        <v>0</v>
      </c>
    </row>
    <row r="8" spans="1:13" x14ac:dyDescent="0.35">
      <c r="A8" s="98">
        <v>2121</v>
      </c>
      <c r="B8" s="99" t="s">
        <v>77</v>
      </c>
      <c r="C8" s="144">
        <v>13729</v>
      </c>
      <c r="D8" s="33" t="s">
        <v>2090</v>
      </c>
      <c r="E8" s="26">
        <v>1.21</v>
      </c>
      <c r="F8" s="2">
        <v>0.06</v>
      </c>
      <c r="G8" s="100">
        <f t="shared" si="0"/>
        <v>0.27</v>
      </c>
      <c r="H8" s="100">
        <f t="shared" si="1"/>
        <v>0.2125984251968504</v>
      </c>
      <c r="I8" s="2">
        <f>VLOOKUP(D8,'[3]IBC Pers per Occ'!$A$2:$B$9,2,FALSE)</f>
        <v>100</v>
      </c>
      <c r="J8" s="100">
        <f t="shared" si="2"/>
        <v>137.29</v>
      </c>
      <c r="K8" s="100">
        <f t="shared" si="3"/>
        <v>29.187637795275592</v>
      </c>
      <c r="L8" s="100">
        <f t="shared" si="4"/>
        <v>0.14593818897637795</v>
      </c>
      <c r="M8" s="2">
        <f t="shared" si="5"/>
        <v>0</v>
      </c>
    </row>
    <row r="9" spans="1:13" x14ac:dyDescent="0.35">
      <c r="A9" s="98">
        <v>2123</v>
      </c>
      <c r="B9" s="99" t="s">
        <v>78</v>
      </c>
      <c r="C9" s="144">
        <v>12028</v>
      </c>
      <c r="D9" s="33" t="s">
        <v>2090</v>
      </c>
      <c r="E9" s="26">
        <v>1.0900000000000001</v>
      </c>
      <c r="F9" s="37">
        <v>0</v>
      </c>
      <c r="G9" s="100">
        <f t="shared" si="0"/>
        <v>9.000000000000008E-2</v>
      </c>
      <c r="H9" s="100">
        <f t="shared" si="1"/>
        <v>8.2568807339449615E-2</v>
      </c>
      <c r="I9" s="2">
        <f>VLOOKUP(D9,'[3]IBC Pers per Occ'!$A$2:$B$9,2,FALSE)</f>
        <v>100</v>
      </c>
      <c r="J9" s="100">
        <f t="shared" si="2"/>
        <v>120.28</v>
      </c>
      <c r="K9" s="100">
        <f t="shared" si="3"/>
        <v>9.9313761467889989</v>
      </c>
      <c r="L9" s="100">
        <f t="shared" si="4"/>
        <v>4.9656880733944996E-2</v>
      </c>
      <c r="M9" s="2">
        <f t="shared" si="5"/>
        <v>0</v>
      </c>
    </row>
    <row r="10" spans="1:13" x14ac:dyDescent="0.35">
      <c r="A10" s="98">
        <v>2125</v>
      </c>
      <c r="B10" s="99" t="s">
        <v>80</v>
      </c>
      <c r="C10" s="144">
        <v>28803</v>
      </c>
      <c r="D10" s="143" t="s">
        <v>2090</v>
      </c>
      <c r="E10" s="26">
        <v>1.03</v>
      </c>
      <c r="F10" s="37">
        <v>0</v>
      </c>
      <c r="G10" s="100">
        <f t="shared" si="0"/>
        <v>3.0000000000000027E-2</v>
      </c>
      <c r="H10" s="100">
        <f t="shared" si="1"/>
        <v>2.9126213592233035E-2</v>
      </c>
      <c r="I10" s="2">
        <v>100</v>
      </c>
      <c r="J10" s="100">
        <f t="shared" si="2"/>
        <v>288.02999999999997</v>
      </c>
      <c r="K10" s="100">
        <f t="shared" si="3"/>
        <v>8.3892233009708796</v>
      </c>
      <c r="L10" s="100">
        <f>+K10/200</f>
        <v>4.19461165048544E-2</v>
      </c>
      <c r="M10" s="2">
        <v>0</v>
      </c>
    </row>
    <row r="11" spans="1:13" ht="14.15" customHeight="1" x14ac:dyDescent="0.35">
      <c r="A11" s="98">
        <v>2126</v>
      </c>
      <c r="B11" s="99" t="s">
        <v>2054</v>
      </c>
      <c r="C11" s="144">
        <v>33457</v>
      </c>
      <c r="D11" s="143" t="s">
        <v>2190</v>
      </c>
      <c r="E11" s="26">
        <v>1.26</v>
      </c>
      <c r="F11" s="37">
        <v>0.3</v>
      </c>
      <c r="G11" s="100">
        <f t="shared" si="0"/>
        <v>0.56000000000000005</v>
      </c>
      <c r="H11" s="100">
        <f t="shared" si="1"/>
        <v>0.35897435897435898</v>
      </c>
      <c r="I11" s="2">
        <v>200</v>
      </c>
      <c r="J11" s="100">
        <f t="shared" si="2"/>
        <v>167.285</v>
      </c>
      <c r="K11" s="100">
        <f t="shared" si="3"/>
        <v>60.051025641025639</v>
      </c>
      <c r="L11" s="100">
        <f>+K11/200</f>
        <v>0.30025512820512817</v>
      </c>
      <c r="M11" s="2">
        <v>0</v>
      </c>
    </row>
    <row r="12" spans="1:13" x14ac:dyDescent="0.35">
      <c r="A12" s="98">
        <v>2134</v>
      </c>
      <c r="B12" s="99" t="s">
        <v>82</v>
      </c>
      <c r="C12" s="144">
        <v>24647</v>
      </c>
      <c r="D12" s="33" t="s">
        <v>2090</v>
      </c>
      <c r="E12" s="26">
        <v>2.2000000000000002</v>
      </c>
      <c r="F12" s="37">
        <v>0.02</v>
      </c>
      <c r="G12" s="100">
        <f t="shared" si="0"/>
        <v>1.2200000000000002</v>
      </c>
      <c r="H12" s="100">
        <f t="shared" si="1"/>
        <v>0.5495495495495496</v>
      </c>
      <c r="I12" s="2">
        <f>VLOOKUP(D12,'[3]IBC Pers per Occ'!$A$2:$B$9,2,FALSE)</f>
        <v>100</v>
      </c>
      <c r="J12" s="100">
        <f t="shared" si="2"/>
        <v>246.47</v>
      </c>
      <c r="K12" s="100">
        <f t="shared" si="3"/>
        <v>135.44747747747749</v>
      </c>
      <c r="L12" s="100">
        <f t="shared" si="4"/>
        <v>0.67723738738738748</v>
      </c>
      <c r="M12" s="2">
        <v>1</v>
      </c>
    </row>
    <row r="13" spans="1:13" x14ac:dyDescent="0.35">
      <c r="A13" s="98">
        <v>2152</v>
      </c>
      <c r="B13" s="99" t="s">
        <v>83</v>
      </c>
      <c r="C13" s="144">
        <v>14718</v>
      </c>
      <c r="D13" s="33" t="s">
        <v>2090</v>
      </c>
      <c r="E13" s="26">
        <v>1.03</v>
      </c>
      <c r="F13" s="37">
        <v>0.03</v>
      </c>
      <c r="G13" s="100">
        <f t="shared" si="0"/>
        <v>6.0000000000000053E-2</v>
      </c>
      <c r="H13" s="100">
        <f t="shared" si="1"/>
        <v>5.660377358490571E-2</v>
      </c>
      <c r="I13" s="2">
        <f>VLOOKUP(D13,'[3]IBC Pers per Occ'!$A$2:$B$9,2,FALSE)</f>
        <v>100</v>
      </c>
      <c r="J13" s="100">
        <f t="shared" si="2"/>
        <v>147.18</v>
      </c>
      <c r="K13" s="100">
        <f t="shared" si="3"/>
        <v>8.3309433962264237</v>
      </c>
      <c r="L13" s="100">
        <f t="shared" si="4"/>
        <v>4.1654716981132121E-2</v>
      </c>
      <c r="M13" s="2">
        <f t="shared" si="5"/>
        <v>0</v>
      </c>
    </row>
    <row r="14" spans="1:13" x14ac:dyDescent="0.35">
      <c r="A14" s="98">
        <v>2162</v>
      </c>
      <c r="B14" s="99" t="s">
        <v>86</v>
      </c>
      <c r="C14" s="144">
        <v>5766</v>
      </c>
      <c r="D14" s="33" t="s">
        <v>2090</v>
      </c>
      <c r="E14" s="26">
        <v>1.03</v>
      </c>
      <c r="F14" s="37">
        <v>0.01</v>
      </c>
      <c r="G14" s="100">
        <f t="shared" si="0"/>
        <v>4.0000000000000036E-2</v>
      </c>
      <c r="H14" s="100">
        <f t="shared" si="1"/>
        <v>3.8461538461538491E-2</v>
      </c>
      <c r="I14" s="2">
        <f>VLOOKUP(D14,'[3]IBC Pers per Occ'!$A$2:$B$9,2,FALSE)</f>
        <v>100</v>
      </c>
      <c r="J14" s="100">
        <f t="shared" si="2"/>
        <v>57.66</v>
      </c>
      <c r="K14" s="100">
        <f t="shared" si="3"/>
        <v>2.2176923076923094</v>
      </c>
      <c r="L14" s="100">
        <f t="shared" si="4"/>
        <v>1.1088461538461547E-2</v>
      </c>
      <c r="M14" s="2">
        <f t="shared" si="5"/>
        <v>0</v>
      </c>
    </row>
    <row r="15" spans="1:13" x14ac:dyDescent="0.35">
      <c r="A15" s="98">
        <v>2191</v>
      </c>
      <c r="B15" s="99" t="s">
        <v>89</v>
      </c>
      <c r="C15" s="144">
        <v>7183</v>
      </c>
      <c r="D15" s="33" t="s">
        <v>2090</v>
      </c>
      <c r="E15" s="26">
        <v>1.1299999999999999</v>
      </c>
      <c r="F15" s="37">
        <v>0.01</v>
      </c>
      <c r="G15" s="100">
        <f t="shared" si="0"/>
        <v>0.1399999999999999</v>
      </c>
      <c r="H15" s="100">
        <f t="shared" si="1"/>
        <v>0.12280701754385957</v>
      </c>
      <c r="I15" s="2">
        <f>VLOOKUP(D15,'[3]IBC Pers per Occ'!$A$2:$B$9,2,FALSE)</f>
        <v>100</v>
      </c>
      <c r="J15" s="100">
        <f t="shared" si="2"/>
        <v>71.83</v>
      </c>
      <c r="K15" s="100">
        <f t="shared" si="3"/>
        <v>8.8212280701754331</v>
      </c>
      <c r="L15" s="100">
        <f t="shared" si="4"/>
        <v>4.4106140350877163E-2</v>
      </c>
      <c r="M15" s="2">
        <f t="shared" si="5"/>
        <v>0</v>
      </c>
    </row>
    <row r="16" spans="1:13" x14ac:dyDescent="0.35">
      <c r="A16" s="98">
        <v>2211</v>
      </c>
      <c r="B16" s="99" t="s">
        <v>91</v>
      </c>
      <c r="C16" s="144">
        <v>75059</v>
      </c>
      <c r="D16" s="33" t="s">
        <v>2090</v>
      </c>
      <c r="E16" s="26">
        <v>1.1399999999999999</v>
      </c>
      <c r="F16" s="37">
        <v>0.01</v>
      </c>
      <c r="G16" s="100">
        <f t="shared" si="0"/>
        <v>0.14999999999999991</v>
      </c>
      <c r="H16" s="100">
        <f t="shared" si="1"/>
        <v>0.13043478260869559</v>
      </c>
      <c r="I16" s="2">
        <f>VLOOKUP(D16,'[3]IBC Pers per Occ'!$A$2:$B$9,2,FALSE)</f>
        <v>100</v>
      </c>
      <c r="J16" s="100">
        <f t="shared" si="2"/>
        <v>750.59</v>
      </c>
      <c r="K16" s="100">
        <f t="shared" si="3"/>
        <v>97.903043478260827</v>
      </c>
      <c r="L16" s="100">
        <f t="shared" si="4"/>
        <v>0.48951521739130416</v>
      </c>
      <c r="M16" s="2">
        <v>1</v>
      </c>
    </row>
    <row r="17" spans="1:13" x14ac:dyDescent="0.35">
      <c r="A17" s="98">
        <v>3101</v>
      </c>
      <c r="B17" s="99" t="s">
        <v>103</v>
      </c>
      <c r="C17" s="144">
        <v>19156</v>
      </c>
      <c r="D17" s="33" t="s">
        <v>2053</v>
      </c>
      <c r="E17" s="102">
        <v>1.53</v>
      </c>
      <c r="F17" s="37">
        <v>0.09</v>
      </c>
      <c r="G17" s="100">
        <f t="shared" si="0"/>
        <v>0.62000000000000011</v>
      </c>
      <c r="H17" s="100">
        <f t="shared" si="1"/>
        <v>0.38271604938271608</v>
      </c>
      <c r="I17" s="2">
        <v>150</v>
      </c>
      <c r="J17" s="100">
        <f t="shared" si="2"/>
        <v>127.70666666666666</v>
      </c>
      <c r="K17" s="100">
        <f t="shared" si="3"/>
        <v>48.875390946502058</v>
      </c>
      <c r="L17" s="100">
        <f t="shared" si="4"/>
        <v>0.24437695473251028</v>
      </c>
      <c r="M17" s="2">
        <v>1</v>
      </c>
    </row>
    <row r="18" spans="1:13" x14ac:dyDescent="0.35">
      <c r="A18" s="98">
        <v>3102</v>
      </c>
      <c r="B18" s="99" t="s">
        <v>104</v>
      </c>
      <c r="C18" s="144">
        <v>49055</v>
      </c>
      <c r="D18" s="33" t="s">
        <v>2053</v>
      </c>
      <c r="E18" s="26">
        <v>2.2000000000000002</v>
      </c>
      <c r="F18" s="37">
        <v>0.37</v>
      </c>
      <c r="G18" s="100">
        <f t="shared" si="0"/>
        <v>1.5700000000000003</v>
      </c>
      <c r="H18" s="100">
        <f t="shared" si="1"/>
        <v>0.6108949416342413</v>
      </c>
      <c r="I18" s="2">
        <v>150</v>
      </c>
      <c r="J18" s="100">
        <f t="shared" si="2"/>
        <v>327.03333333333336</v>
      </c>
      <c r="K18" s="100">
        <f t="shared" si="3"/>
        <v>199.78300907911807</v>
      </c>
      <c r="L18" s="100">
        <f t="shared" si="4"/>
        <v>0.9989150453955904</v>
      </c>
      <c r="M18" s="2">
        <f t="shared" si="5"/>
        <v>1</v>
      </c>
    </row>
    <row r="19" spans="1:13" x14ac:dyDescent="0.35">
      <c r="A19" s="98">
        <v>3103</v>
      </c>
      <c r="B19" s="99" t="s">
        <v>2193</v>
      </c>
      <c r="C19" s="144">
        <v>18968</v>
      </c>
      <c r="D19" s="143" t="s">
        <v>2190</v>
      </c>
      <c r="E19" s="26">
        <v>1.1000000000000001</v>
      </c>
      <c r="F19" s="37">
        <v>0</v>
      </c>
      <c r="G19" s="100">
        <f t="shared" si="0"/>
        <v>0.10000000000000009</v>
      </c>
      <c r="H19" s="100">
        <f t="shared" si="1"/>
        <v>9.0909090909090981E-2</v>
      </c>
      <c r="I19" s="2">
        <v>200</v>
      </c>
      <c r="J19" s="100">
        <f t="shared" si="2"/>
        <v>94.84</v>
      </c>
      <c r="K19" s="100">
        <f t="shared" si="3"/>
        <v>8.6218181818181883</v>
      </c>
      <c r="L19" s="100">
        <f t="shared" si="4"/>
        <v>4.3109090909090944E-2</v>
      </c>
      <c r="M19" s="2">
        <v>0</v>
      </c>
    </row>
    <row r="20" spans="1:13" x14ac:dyDescent="0.35">
      <c r="A20" s="98">
        <v>3131</v>
      </c>
      <c r="B20" s="99" t="s">
        <v>107</v>
      </c>
      <c r="C20" s="144">
        <v>30434</v>
      </c>
      <c r="D20" s="33" t="s">
        <v>2090</v>
      </c>
      <c r="E20" s="26">
        <v>1.62</v>
      </c>
      <c r="F20" s="37">
        <v>0.25</v>
      </c>
      <c r="G20" s="100">
        <f t="shared" si="0"/>
        <v>0.87000000000000011</v>
      </c>
      <c r="H20" s="100">
        <f t="shared" si="1"/>
        <v>0.46524064171122997</v>
      </c>
      <c r="I20" s="2">
        <f>VLOOKUP(D20,'[3]IBC Pers per Occ'!$A$2:$B$9,2,FALSE)</f>
        <v>100</v>
      </c>
      <c r="J20" s="100">
        <f t="shared" si="2"/>
        <v>304.33999999999997</v>
      </c>
      <c r="K20" s="100">
        <f t="shared" si="3"/>
        <v>141.59133689839572</v>
      </c>
      <c r="L20" s="100">
        <f t="shared" si="4"/>
        <v>0.70795668449197857</v>
      </c>
      <c r="M20" s="2">
        <v>1</v>
      </c>
    </row>
    <row r="21" spans="1:13" x14ac:dyDescent="0.35">
      <c r="A21" s="98">
        <v>3151</v>
      </c>
      <c r="B21" s="99" t="s">
        <v>109</v>
      </c>
      <c r="C21" s="144">
        <v>12654</v>
      </c>
      <c r="D21" s="33" t="s">
        <v>2190</v>
      </c>
      <c r="E21" s="26">
        <v>1.53</v>
      </c>
      <c r="F21" s="37">
        <v>0.03</v>
      </c>
      <c r="G21" s="100">
        <f t="shared" si="0"/>
        <v>0.56000000000000005</v>
      </c>
      <c r="H21" s="100">
        <f t="shared" si="1"/>
        <v>0.35897435897435898</v>
      </c>
      <c r="I21" s="2">
        <v>200</v>
      </c>
      <c r="J21" s="100">
        <f t="shared" si="2"/>
        <v>63.27</v>
      </c>
      <c r="K21" s="100">
        <f t="shared" si="3"/>
        <v>22.712307692307693</v>
      </c>
      <c r="L21" s="100">
        <f t="shared" si="4"/>
        <v>0.11356153846153846</v>
      </c>
      <c r="M21" s="2">
        <v>1</v>
      </c>
    </row>
    <row r="22" spans="1:13" x14ac:dyDescent="0.35">
      <c r="A22" s="98">
        <v>3161</v>
      </c>
      <c r="B22" s="99" t="s">
        <v>110</v>
      </c>
      <c r="C22" s="144">
        <v>3611</v>
      </c>
      <c r="D22" s="33" t="s">
        <v>2190</v>
      </c>
      <c r="E22" s="26">
        <v>1.1599999999999999</v>
      </c>
      <c r="F22" s="37">
        <v>0.03</v>
      </c>
      <c r="G22" s="100">
        <f t="shared" si="0"/>
        <v>0.18999999999999995</v>
      </c>
      <c r="H22" s="100">
        <f t="shared" si="1"/>
        <v>0.15966386554621845</v>
      </c>
      <c r="I22" s="2">
        <v>200</v>
      </c>
      <c r="J22" s="100">
        <f t="shared" si="2"/>
        <v>18.055</v>
      </c>
      <c r="K22" s="100">
        <f t="shared" si="3"/>
        <v>2.8827310924369742</v>
      </c>
      <c r="L22" s="100">
        <f t="shared" si="4"/>
        <v>1.4413655462184871E-2</v>
      </c>
      <c r="M22" s="2">
        <f t="shared" si="5"/>
        <v>0</v>
      </c>
    </row>
    <row r="23" spans="1:13" x14ac:dyDescent="0.35">
      <c r="A23" s="98">
        <v>3171</v>
      </c>
      <c r="B23" s="99" t="s">
        <v>111</v>
      </c>
      <c r="C23" s="144">
        <v>12726</v>
      </c>
      <c r="D23" s="33" t="s">
        <v>2090</v>
      </c>
      <c r="E23" s="26">
        <v>1.37</v>
      </c>
      <c r="F23" s="37">
        <v>0.05</v>
      </c>
      <c r="G23" s="100">
        <f t="shared" si="0"/>
        <v>0.42000000000000015</v>
      </c>
      <c r="H23" s="100">
        <f t="shared" si="1"/>
        <v>0.29577464788732399</v>
      </c>
      <c r="I23" s="2">
        <f>VLOOKUP(D23,'[3]IBC Pers per Occ'!$A$2:$B$9,2,FALSE)</f>
        <v>100</v>
      </c>
      <c r="J23" s="100">
        <f t="shared" si="2"/>
        <v>127.26</v>
      </c>
      <c r="K23" s="100">
        <f t="shared" si="3"/>
        <v>37.640281690140853</v>
      </c>
      <c r="L23" s="100">
        <f t="shared" si="4"/>
        <v>0.18820140845070427</v>
      </c>
      <c r="M23" s="2">
        <f t="shared" si="5"/>
        <v>0</v>
      </c>
    </row>
    <row r="24" spans="1:13" x14ac:dyDescent="0.35">
      <c r="A24" s="98">
        <v>3181</v>
      </c>
      <c r="B24" s="99" t="s">
        <v>112</v>
      </c>
      <c r="C24" s="144">
        <v>11069</v>
      </c>
      <c r="D24" s="33" t="s">
        <v>2090</v>
      </c>
      <c r="E24" s="26">
        <v>1.29</v>
      </c>
      <c r="F24" s="37">
        <v>0.09</v>
      </c>
      <c r="G24" s="100">
        <f t="shared" si="0"/>
        <v>0.38000000000000012</v>
      </c>
      <c r="H24" s="100">
        <f t="shared" si="1"/>
        <v>0.27536231884057977</v>
      </c>
      <c r="I24" s="2">
        <f>VLOOKUP(D24,'[3]IBC Pers per Occ'!$A$2:$B$9,2,FALSE)</f>
        <v>100</v>
      </c>
      <c r="J24" s="100">
        <f t="shared" si="2"/>
        <v>110.69</v>
      </c>
      <c r="K24" s="100">
        <f t="shared" si="3"/>
        <v>30.479855072463774</v>
      </c>
      <c r="L24" s="100">
        <f t="shared" si="4"/>
        <v>0.15239927536231887</v>
      </c>
      <c r="M24" s="2">
        <f t="shared" si="5"/>
        <v>0</v>
      </c>
    </row>
    <row r="25" spans="1:13" x14ac:dyDescent="0.35">
      <c r="A25" s="98">
        <v>3191</v>
      </c>
      <c r="B25" s="99" t="s">
        <v>113</v>
      </c>
      <c r="C25" s="144">
        <v>9757</v>
      </c>
      <c r="D25" s="33" t="s">
        <v>2090</v>
      </c>
      <c r="E25" s="26">
        <v>1.21</v>
      </c>
      <c r="F25" s="37">
        <v>0.04</v>
      </c>
      <c r="G25" s="100">
        <f t="shared" si="0"/>
        <v>0.25</v>
      </c>
      <c r="H25" s="100">
        <f t="shared" si="1"/>
        <v>0.2</v>
      </c>
      <c r="I25" s="2">
        <f>VLOOKUP(D25,'[3]IBC Pers per Occ'!$A$2:$B$9,2,FALSE)</f>
        <v>100</v>
      </c>
      <c r="J25" s="100">
        <f t="shared" si="2"/>
        <v>97.57</v>
      </c>
      <c r="K25" s="100">
        <f t="shared" si="3"/>
        <v>19.513999999999999</v>
      </c>
      <c r="L25" s="100">
        <f t="shared" si="4"/>
        <v>9.756999999999999E-2</v>
      </c>
      <c r="M25" s="2">
        <f t="shared" si="5"/>
        <v>0</v>
      </c>
    </row>
    <row r="26" spans="1:13" x14ac:dyDescent="0.35">
      <c r="A26" s="98">
        <v>3201</v>
      </c>
      <c r="B26" s="99" t="s">
        <v>114</v>
      </c>
      <c r="C26" s="144">
        <v>13730</v>
      </c>
      <c r="D26" s="33" t="s">
        <v>2090</v>
      </c>
      <c r="E26" s="26">
        <v>1.9</v>
      </c>
      <c r="F26" s="37">
        <v>0.11</v>
      </c>
      <c r="G26" s="100">
        <f t="shared" si="0"/>
        <v>1.0099999999999998</v>
      </c>
      <c r="H26" s="100">
        <f t="shared" si="1"/>
        <v>0.50248756218905466</v>
      </c>
      <c r="I26" s="2">
        <f>VLOOKUP(D26,'[3]IBC Pers per Occ'!$A$2:$B$9,2,FALSE)</f>
        <v>100</v>
      </c>
      <c r="J26" s="100">
        <f t="shared" si="2"/>
        <v>137.30000000000001</v>
      </c>
      <c r="K26" s="100">
        <f t="shared" si="3"/>
        <v>68.991542288557213</v>
      </c>
      <c r="L26" s="100">
        <f t="shared" si="4"/>
        <v>0.34495771144278609</v>
      </c>
      <c r="M26" s="2">
        <v>1</v>
      </c>
    </row>
    <row r="27" spans="1:13" x14ac:dyDescent="0.35">
      <c r="A27" s="98">
        <v>4414</v>
      </c>
      <c r="B27" s="99" t="s">
        <v>121</v>
      </c>
      <c r="C27" s="144">
        <v>25110</v>
      </c>
      <c r="D27" s="33" t="s">
        <v>2091</v>
      </c>
      <c r="E27" s="26">
        <v>1.1299999999999999</v>
      </c>
      <c r="F27" s="37">
        <v>0.03</v>
      </c>
      <c r="G27" s="100">
        <f t="shared" si="0"/>
        <v>0.15999999999999992</v>
      </c>
      <c r="H27" s="100">
        <f t="shared" si="1"/>
        <v>0.13793103448275856</v>
      </c>
      <c r="I27" s="2">
        <f>VLOOKUP(D27,'[3]IBC Pers per Occ'!$A$2:$B$9,2,FALSE)</f>
        <v>500</v>
      </c>
      <c r="J27" s="100">
        <f t="shared" si="2"/>
        <v>50.22</v>
      </c>
      <c r="K27" s="100">
        <f t="shared" si="3"/>
        <v>6.926896551724135</v>
      </c>
      <c r="L27" s="100">
        <f t="shared" si="4"/>
        <v>3.4634482758620674E-2</v>
      </c>
      <c r="M27" s="2">
        <f t="shared" si="5"/>
        <v>0</v>
      </c>
    </row>
    <row r="28" spans="1:13" x14ac:dyDescent="0.35">
      <c r="A28" s="98">
        <v>4424</v>
      </c>
      <c r="B28" s="99" t="s">
        <v>122</v>
      </c>
      <c r="C28" s="144">
        <v>24041</v>
      </c>
      <c r="D28" s="33" t="s">
        <v>2091</v>
      </c>
      <c r="E28" s="26">
        <v>1.04</v>
      </c>
      <c r="F28" s="37">
        <v>0.02</v>
      </c>
      <c r="G28" s="100">
        <f t="shared" si="0"/>
        <v>6.0000000000000053E-2</v>
      </c>
      <c r="H28" s="100">
        <f t="shared" si="1"/>
        <v>5.660377358490571E-2</v>
      </c>
      <c r="I28" s="2">
        <f>VLOOKUP(D28,'[3]IBC Pers per Occ'!$A$2:$B$9,2,FALSE)</f>
        <v>500</v>
      </c>
      <c r="J28" s="100">
        <f t="shared" si="2"/>
        <v>48.082000000000001</v>
      </c>
      <c r="K28" s="100">
        <f t="shared" si="3"/>
        <v>2.7216226415094362</v>
      </c>
      <c r="L28" s="100">
        <f t="shared" si="4"/>
        <v>1.3608113207547181E-2</v>
      </c>
      <c r="M28" s="2">
        <f t="shared" si="5"/>
        <v>0</v>
      </c>
    </row>
    <row r="29" spans="1:13" x14ac:dyDescent="0.35">
      <c r="A29" s="98">
        <v>5302</v>
      </c>
      <c r="B29" s="99" t="s">
        <v>128</v>
      </c>
      <c r="C29" s="144">
        <v>11757</v>
      </c>
      <c r="D29" s="2" t="s">
        <v>2053</v>
      </c>
      <c r="E29" s="26">
        <v>1.31</v>
      </c>
      <c r="F29" s="37">
        <v>0.01</v>
      </c>
      <c r="G29" s="100">
        <f t="shared" si="0"/>
        <v>0.32000000000000006</v>
      </c>
      <c r="H29" s="100">
        <f t="shared" si="1"/>
        <v>0.24242424242424246</v>
      </c>
      <c r="I29" s="2">
        <v>150</v>
      </c>
      <c r="J29" s="100">
        <f t="shared" si="2"/>
        <v>78.38</v>
      </c>
      <c r="K29" s="100">
        <f t="shared" si="3"/>
        <v>19.001212121212124</v>
      </c>
      <c r="L29" s="100">
        <f t="shared" si="4"/>
        <v>9.5006060606060622E-2</v>
      </c>
      <c r="M29" s="2">
        <v>1</v>
      </c>
    </row>
    <row r="30" spans="1:13" x14ac:dyDescent="0.35">
      <c r="A30" s="98">
        <v>5304</v>
      </c>
      <c r="B30" s="99" t="s">
        <v>130</v>
      </c>
      <c r="C30" s="144">
        <v>4125</v>
      </c>
      <c r="D30" s="2" t="s">
        <v>2053</v>
      </c>
      <c r="E30" s="26">
        <v>1.06</v>
      </c>
      <c r="F30" s="37">
        <v>0.01</v>
      </c>
      <c r="G30" s="100">
        <f t="shared" si="0"/>
        <v>7.0000000000000062E-2</v>
      </c>
      <c r="H30" s="100">
        <f t="shared" si="1"/>
        <v>6.54205607476636E-2</v>
      </c>
      <c r="I30" s="2">
        <v>150</v>
      </c>
      <c r="J30" s="100">
        <f t="shared" si="2"/>
        <v>27.5</v>
      </c>
      <c r="K30" s="100">
        <f t="shared" si="3"/>
        <v>1.799065420560749</v>
      </c>
      <c r="L30" s="100">
        <f t="shared" si="4"/>
        <v>8.9953271028037456E-3</v>
      </c>
      <c r="M30" s="2">
        <v>0</v>
      </c>
    </row>
    <row r="31" spans="1:13" x14ac:dyDescent="0.35">
      <c r="A31" s="98">
        <v>7215</v>
      </c>
      <c r="B31" s="99" t="s">
        <v>142</v>
      </c>
      <c r="C31" s="144">
        <v>100358</v>
      </c>
      <c r="D31" s="2" t="s">
        <v>2092</v>
      </c>
      <c r="E31" s="26">
        <v>3.05</v>
      </c>
      <c r="F31" s="37">
        <v>0.6</v>
      </c>
      <c r="G31" s="100">
        <f t="shared" si="0"/>
        <v>2.65</v>
      </c>
      <c r="H31" s="100">
        <f t="shared" si="1"/>
        <v>0.72602739726027399</v>
      </c>
      <c r="I31" s="2">
        <v>100</v>
      </c>
      <c r="J31" s="100">
        <f t="shared" si="2"/>
        <v>1003.58</v>
      </c>
      <c r="K31" s="100">
        <f t="shared" si="3"/>
        <v>728.6265753424658</v>
      </c>
      <c r="L31" s="100">
        <f t="shared" si="4"/>
        <v>3.643132876712329</v>
      </c>
      <c r="M31" s="2">
        <f t="shared" si="5"/>
        <v>4</v>
      </c>
    </row>
    <row r="32" spans="1:13" x14ac:dyDescent="0.35">
      <c r="A32" s="98">
        <v>7231</v>
      </c>
      <c r="B32" s="99" t="s">
        <v>143</v>
      </c>
      <c r="C32" s="144">
        <v>3711</v>
      </c>
      <c r="D32" s="2" t="s">
        <v>2091</v>
      </c>
      <c r="E32" s="26">
        <v>1.1399999999999999</v>
      </c>
      <c r="F32" s="37">
        <v>0.02</v>
      </c>
      <c r="G32" s="100">
        <f t="shared" si="0"/>
        <v>0.15999999999999992</v>
      </c>
      <c r="H32" s="100">
        <f t="shared" si="1"/>
        <v>0.13793103448275856</v>
      </c>
      <c r="I32" s="2">
        <f>VLOOKUP(D32,'[3]IBC Pers per Occ'!$A$2:$B$9,2,FALSE)</f>
        <v>500</v>
      </c>
      <c r="J32" s="100">
        <f t="shared" si="2"/>
        <v>7.4219999999999997</v>
      </c>
      <c r="K32" s="100">
        <f t="shared" si="3"/>
        <v>1.023724137931034</v>
      </c>
      <c r="L32" s="100">
        <f t="shared" si="4"/>
        <v>5.1186206896551697E-3</v>
      </c>
      <c r="M32" s="2">
        <f t="shared" si="5"/>
        <v>0</v>
      </c>
    </row>
    <row r="33" spans="1:16" x14ac:dyDescent="0.35">
      <c r="A33" s="98">
        <v>7312</v>
      </c>
      <c r="B33" s="99" t="s">
        <v>151</v>
      </c>
      <c r="C33" s="144">
        <v>17266</v>
      </c>
      <c r="D33" s="2" t="s">
        <v>2089</v>
      </c>
      <c r="E33" s="26">
        <v>1.25</v>
      </c>
      <c r="F33" s="37">
        <v>0.01</v>
      </c>
      <c r="G33" s="100">
        <f t="shared" si="0"/>
        <v>0.26</v>
      </c>
      <c r="H33" s="100">
        <f t="shared" si="1"/>
        <v>0.20634920634920637</v>
      </c>
      <c r="I33" s="2">
        <f>VLOOKUP(D33,'[3]IBC Pers per Occ'!$A$2:$B$9,2,FALSE)</f>
        <v>120</v>
      </c>
      <c r="J33" s="100">
        <f t="shared" si="2"/>
        <v>143.88333333333333</v>
      </c>
      <c r="K33" s="100">
        <f t="shared" si="3"/>
        <v>29.69021164021164</v>
      </c>
      <c r="L33" s="100">
        <f t="shared" si="4"/>
        <v>0.14845105820105819</v>
      </c>
      <c r="M33" s="2">
        <f t="shared" si="5"/>
        <v>0</v>
      </c>
    </row>
    <row r="34" spans="1:16" x14ac:dyDescent="0.35">
      <c r="A34" s="98">
        <v>7313</v>
      </c>
      <c r="B34" s="99" t="s">
        <v>152</v>
      </c>
      <c r="C34" s="144">
        <v>8541</v>
      </c>
      <c r="D34" s="2" t="s">
        <v>2053</v>
      </c>
      <c r="E34" s="26">
        <v>1.22</v>
      </c>
      <c r="F34" s="37">
        <v>0.06</v>
      </c>
      <c r="G34" s="100">
        <f t="shared" si="0"/>
        <v>0.28000000000000003</v>
      </c>
      <c r="H34" s="100">
        <f t="shared" si="1"/>
        <v>0.21875000000000003</v>
      </c>
      <c r="I34" s="2">
        <v>150</v>
      </c>
      <c r="J34" s="100">
        <f t="shared" si="2"/>
        <v>56.94</v>
      </c>
      <c r="K34" s="100">
        <f t="shared" si="3"/>
        <v>12.455625000000001</v>
      </c>
      <c r="L34" s="100">
        <f t="shared" si="4"/>
        <v>6.2278125000000004E-2</v>
      </c>
      <c r="M34" s="2">
        <f t="shared" si="5"/>
        <v>0</v>
      </c>
    </row>
    <row r="35" spans="1:16" x14ac:dyDescent="0.35">
      <c r="A35" s="98">
        <v>7331</v>
      </c>
      <c r="B35" s="99" t="s">
        <v>157</v>
      </c>
      <c r="C35" s="144">
        <v>5710</v>
      </c>
      <c r="D35" s="2" t="s">
        <v>2053</v>
      </c>
      <c r="E35" s="26">
        <v>1.1000000000000001</v>
      </c>
      <c r="F35" s="37">
        <v>0.03</v>
      </c>
      <c r="G35" s="100">
        <f t="shared" si="0"/>
        <v>0.13000000000000012</v>
      </c>
      <c r="H35" s="100">
        <f t="shared" si="1"/>
        <v>0.11504424778761072</v>
      </c>
      <c r="I35" s="2">
        <v>150</v>
      </c>
      <c r="J35" s="100">
        <f t="shared" si="2"/>
        <v>38.06666666666667</v>
      </c>
      <c r="K35" s="100">
        <f t="shared" si="3"/>
        <v>4.3793510324483815</v>
      </c>
      <c r="L35" s="100">
        <f t="shared" si="4"/>
        <v>2.1896755162241908E-2</v>
      </c>
      <c r="M35" s="2">
        <f t="shared" si="5"/>
        <v>0</v>
      </c>
    </row>
    <row r="36" spans="1:16" x14ac:dyDescent="0.35">
      <c r="A36" s="98">
        <v>7333</v>
      </c>
      <c r="B36" s="99" t="s">
        <v>158</v>
      </c>
      <c r="C36" s="144">
        <v>18240</v>
      </c>
      <c r="D36" s="2" t="s">
        <v>2072</v>
      </c>
      <c r="E36" s="26">
        <v>1.28</v>
      </c>
      <c r="F36" s="37">
        <v>0.08</v>
      </c>
      <c r="G36" s="100">
        <f t="shared" si="0"/>
        <v>0.3600000000000001</v>
      </c>
      <c r="H36" s="100">
        <f t="shared" si="1"/>
        <v>0.26470588235294124</v>
      </c>
      <c r="I36" s="2">
        <f>VLOOKUP(D36,'[3]IBC Pers per Occ'!$A$2:$B$9,2,FALSE)</f>
        <v>15</v>
      </c>
      <c r="J36" s="100">
        <f t="shared" si="2"/>
        <v>1216</v>
      </c>
      <c r="K36" s="100">
        <f t="shared" si="3"/>
        <v>321.88235294117652</v>
      </c>
      <c r="L36" s="100">
        <f t="shared" si="4"/>
        <v>1.6094117647058825</v>
      </c>
      <c r="M36" s="2">
        <f t="shared" si="5"/>
        <v>2</v>
      </c>
    </row>
    <row r="37" spans="1:16" x14ac:dyDescent="0.35">
      <c r="A37" s="98">
        <v>7346</v>
      </c>
      <c r="B37" s="99" t="s">
        <v>164</v>
      </c>
      <c r="C37" s="144">
        <v>28915</v>
      </c>
      <c r="D37" s="2" t="s">
        <v>2093</v>
      </c>
      <c r="E37" s="26">
        <v>1.2</v>
      </c>
      <c r="F37" s="37">
        <v>0.02</v>
      </c>
      <c r="G37" s="100">
        <f t="shared" si="0"/>
        <v>0.21999999999999997</v>
      </c>
      <c r="H37" s="100">
        <f t="shared" si="1"/>
        <v>0.18032786885245899</v>
      </c>
      <c r="I37" s="2">
        <f>VLOOKUP(D37,'[3]IBC Pers per Occ'!$A$2:$B$9,2,FALSE)</f>
        <v>60</v>
      </c>
      <c r="J37" s="100">
        <f t="shared" si="2"/>
        <v>481.91666666666669</v>
      </c>
      <c r="K37" s="100">
        <f t="shared" si="3"/>
        <v>86.90300546448087</v>
      </c>
      <c r="L37" s="100">
        <f t="shared" si="4"/>
        <v>0.43451502732240432</v>
      </c>
      <c r="M37" s="2">
        <f t="shared" si="5"/>
        <v>0</v>
      </c>
    </row>
    <row r="38" spans="1:16" x14ac:dyDescent="0.35">
      <c r="A38" s="98">
        <v>7347</v>
      </c>
      <c r="B38" s="99" t="s">
        <v>165</v>
      </c>
      <c r="C38" s="144">
        <v>4601</v>
      </c>
      <c r="D38" s="2" t="s">
        <v>2053</v>
      </c>
      <c r="E38" s="26">
        <v>1.1200000000000001</v>
      </c>
      <c r="F38" s="37">
        <v>0.01</v>
      </c>
      <c r="G38" s="100">
        <f t="shared" si="0"/>
        <v>0.13000000000000012</v>
      </c>
      <c r="H38" s="100">
        <f t="shared" si="1"/>
        <v>0.11504424778761072</v>
      </c>
      <c r="I38" s="2">
        <v>150</v>
      </c>
      <c r="J38" s="100">
        <f t="shared" si="2"/>
        <v>30.673333333333332</v>
      </c>
      <c r="K38" s="100">
        <f t="shared" si="3"/>
        <v>3.5287905604719794</v>
      </c>
      <c r="L38" s="100">
        <f t="shared" si="4"/>
        <v>1.7643952802359898E-2</v>
      </c>
      <c r="M38" s="2">
        <v>0</v>
      </c>
    </row>
    <row r="39" spans="1:16" x14ac:dyDescent="0.35">
      <c r="A39" s="98">
        <v>7349</v>
      </c>
      <c r="B39" s="99" t="s">
        <v>167</v>
      </c>
      <c r="C39" s="144">
        <v>69156</v>
      </c>
      <c r="D39" s="2" t="s">
        <v>2093</v>
      </c>
      <c r="E39" s="26">
        <v>1.23</v>
      </c>
      <c r="F39" s="37">
        <v>0.03</v>
      </c>
      <c r="G39" s="100">
        <f t="shared" si="0"/>
        <v>0.26</v>
      </c>
      <c r="H39" s="100">
        <f t="shared" si="1"/>
        <v>0.20634920634920637</v>
      </c>
      <c r="I39" s="2">
        <f>VLOOKUP(D39,'[3]IBC Pers per Occ'!$A$2:$B$9,2,FALSE)</f>
        <v>60</v>
      </c>
      <c r="J39" s="100">
        <f t="shared" si="2"/>
        <v>1152.5999999999999</v>
      </c>
      <c r="K39" s="100">
        <f t="shared" si="3"/>
        <v>237.83809523809524</v>
      </c>
      <c r="L39" s="100">
        <f t="shared" si="4"/>
        <v>1.1891904761904761</v>
      </c>
      <c r="M39" s="2">
        <f t="shared" si="5"/>
        <v>1</v>
      </c>
    </row>
    <row r="40" spans="1:16" x14ac:dyDescent="0.35">
      <c r="A40" s="98">
        <v>7351</v>
      </c>
      <c r="B40" s="99" t="s">
        <v>168</v>
      </c>
      <c r="C40" s="144">
        <v>21175</v>
      </c>
      <c r="D40" s="2" t="s">
        <v>2094</v>
      </c>
      <c r="E40" s="26">
        <v>1.61</v>
      </c>
      <c r="F40" s="37">
        <v>0.09</v>
      </c>
      <c r="G40" s="100">
        <f t="shared" si="0"/>
        <v>0.70000000000000018</v>
      </c>
      <c r="H40" s="100">
        <f t="shared" si="1"/>
        <v>0.41176470588235298</v>
      </c>
      <c r="I40" s="2">
        <f>VLOOKUP(D40,'[3]IBC Pers per Occ'!$A$2:$B$9,2,FALSE)</f>
        <v>20</v>
      </c>
      <c r="J40" s="100">
        <f t="shared" si="2"/>
        <v>1058.75</v>
      </c>
      <c r="K40" s="100">
        <f t="shared" si="3"/>
        <v>435.95588235294122</v>
      </c>
      <c r="L40" s="100">
        <f t="shared" si="4"/>
        <v>2.1797794117647062</v>
      </c>
      <c r="M40" s="2">
        <f t="shared" si="5"/>
        <v>2</v>
      </c>
    </row>
    <row r="41" spans="1:16" x14ac:dyDescent="0.35">
      <c r="A41" s="98">
        <v>7362</v>
      </c>
      <c r="B41" s="99" t="s">
        <v>170</v>
      </c>
      <c r="C41" s="144">
        <v>6796</v>
      </c>
      <c r="D41" s="2" t="s">
        <v>2094</v>
      </c>
      <c r="E41" s="26">
        <v>1.17</v>
      </c>
      <c r="F41" s="37">
        <v>0.03</v>
      </c>
      <c r="G41" s="100">
        <f t="shared" si="0"/>
        <v>0.19999999999999996</v>
      </c>
      <c r="H41" s="100">
        <f t="shared" si="1"/>
        <v>0.16666666666666663</v>
      </c>
      <c r="I41" s="2">
        <f>VLOOKUP(D41,'[3]IBC Pers per Occ'!$A$2:$B$9,2,FALSE)</f>
        <v>20</v>
      </c>
      <c r="J41" s="100">
        <f t="shared" si="2"/>
        <v>339.8</v>
      </c>
      <c r="K41" s="100">
        <f t="shared" si="3"/>
        <v>56.633333333333326</v>
      </c>
      <c r="L41" s="100">
        <f t="shared" si="4"/>
        <v>0.28316666666666662</v>
      </c>
      <c r="M41" s="2">
        <f t="shared" si="5"/>
        <v>0</v>
      </c>
    </row>
    <row r="42" spans="1:16" x14ac:dyDescent="0.35">
      <c r="A42" s="98">
        <v>7417</v>
      </c>
      <c r="B42" s="99" t="s">
        <v>183</v>
      </c>
      <c r="C42" s="144">
        <v>9922</v>
      </c>
      <c r="D42" s="2" t="s">
        <v>2072</v>
      </c>
      <c r="E42" s="26">
        <v>1.25</v>
      </c>
      <c r="F42" s="37">
        <v>7.0000000000000007E-2</v>
      </c>
      <c r="G42" s="100">
        <f t="shared" si="0"/>
        <v>0.32000000000000006</v>
      </c>
      <c r="H42" s="100">
        <f t="shared" si="1"/>
        <v>0.24242424242424246</v>
      </c>
      <c r="I42" s="2">
        <f>VLOOKUP(D42,'[3]IBC Pers per Occ'!$A$2:$B$9,2,FALSE)</f>
        <v>15</v>
      </c>
      <c r="J42" s="100">
        <f t="shared" si="2"/>
        <v>661.4666666666667</v>
      </c>
      <c r="K42" s="100">
        <f t="shared" si="3"/>
        <v>160.35555555555558</v>
      </c>
      <c r="L42" s="100">
        <f t="shared" si="4"/>
        <v>0.80177777777777792</v>
      </c>
      <c r="M42" s="2">
        <f t="shared" si="5"/>
        <v>1</v>
      </c>
    </row>
    <row r="43" spans="1:16" x14ac:dyDescent="0.35">
      <c r="A43" s="98">
        <v>8910</v>
      </c>
      <c r="B43" s="99" t="s">
        <v>266</v>
      </c>
      <c r="C43" s="144">
        <v>1359</v>
      </c>
      <c r="D43" s="2" t="s">
        <v>2089</v>
      </c>
      <c r="E43" s="26">
        <v>1.07</v>
      </c>
      <c r="F43" s="37">
        <v>0.03</v>
      </c>
      <c r="G43" s="100">
        <f t="shared" si="0"/>
        <v>0.10000000000000009</v>
      </c>
      <c r="H43" s="100">
        <f t="shared" si="1"/>
        <v>9.0909090909090981E-2</v>
      </c>
      <c r="I43" s="2">
        <f>VLOOKUP(D43,'[3]IBC Pers per Occ'!$A$2:$B$9,2,FALSE)</f>
        <v>120</v>
      </c>
      <c r="J43" s="100">
        <f t="shared" si="2"/>
        <v>11.324999999999999</v>
      </c>
      <c r="K43" s="100">
        <f t="shared" si="3"/>
        <v>1.0295454545454552</v>
      </c>
      <c r="L43" s="100">
        <f t="shared" si="4"/>
        <v>5.147727272727276E-3</v>
      </c>
      <c r="M43" s="2">
        <f t="shared" si="5"/>
        <v>0</v>
      </c>
      <c r="P43" s="73"/>
    </row>
    <row r="44" spans="1:16" x14ac:dyDescent="0.35">
      <c r="A44" s="1470"/>
      <c r="B44" s="1471"/>
      <c r="C44" s="1471"/>
      <c r="D44" s="1471"/>
      <c r="E44" s="1471"/>
      <c r="F44" s="1471"/>
      <c r="G44" s="1471"/>
      <c r="H44" s="1471"/>
      <c r="I44" s="1471"/>
      <c r="J44" s="1471"/>
      <c r="K44" s="1471"/>
      <c r="L44" s="1471"/>
      <c r="M44" s="1472"/>
      <c r="P44" s="73"/>
    </row>
    <row r="45" spans="1:16" x14ac:dyDescent="0.35">
      <c r="A45" s="1473" t="s">
        <v>2064</v>
      </c>
      <c r="B45" s="1474"/>
      <c r="C45" s="1474"/>
      <c r="D45" s="1474"/>
      <c r="E45" s="1474"/>
      <c r="F45" s="1474"/>
      <c r="G45" s="1474"/>
      <c r="H45" s="1474"/>
      <c r="I45" s="1474"/>
      <c r="J45" s="1474"/>
      <c r="K45" s="1474"/>
      <c r="L45" s="1474"/>
      <c r="M45" s="1475"/>
    </row>
    <row r="46" spans="1:16" x14ac:dyDescent="0.35">
      <c r="A46" s="10">
        <v>1</v>
      </c>
      <c r="B46" s="1473" t="s">
        <v>2679</v>
      </c>
      <c r="C46" s="1474"/>
      <c r="D46" s="1474"/>
      <c r="E46" s="1474"/>
      <c r="F46" s="1474"/>
      <c r="G46" s="1474"/>
      <c r="H46" s="1474"/>
      <c r="I46" s="1474"/>
      <c r="J46" s="1474"/>
      <c r="K46" s="1474"/>
      <c r="L46" s="1474"/>
      <c r="M46" s="1475"/>
    </row>
    <row r="47" spans="1:16" x14ac:dyDescent="0.35">
      <c r="A47" s="10">
        <v>2</v>
      </c>
      <c r="B47" s="1473" t="s">
        <v>2095</v>
      </c>
      <c r="C47" s="1474"/>
      <c r="D47" s="1474"/>
      <c r="E47" s="1474"/>
      <c r="F47" s="1474"/>
      <c r="G47" s="1474"/>
      <c r="H47" s="1474"/>
      <c r="I47" s="1474"/>
      <c r="J47" s="1474"/>
      <c r="K47" s="1474"/>
      <c r="L47" s="1474"/>
      <c r="M47" s="1475"/>
    </row>
    <row r="48" spans="1:16" x14ac:dyDescent="0.35">
      <c r="A48" s="10">
        <v>3</v>
      </c>
      <c r="B48" s="1473" t="s">
        <v>2680</v>
      </c>
      <c r="C48" s="1474"/>
      <c r="D48" s="1474"/>
      <c r="E48" s="1474"/>
      <c r="F48" s="1474"/>
      <c r="G48" s="1474"/>
      <c r="H48" s="1474"/>
      <c r="I48" s="1474"/>
      <c r="J48" s="1474"/>
      <c r="K48" s="1474"/>
      <c r="L48" s="1474"/>
      <c r="M48" s="1475"/>
    </row>
    <row r="49" spans="1:13" x14ac:dyDescent="0.35">
      <c r="A49" s="10">
        <v>4</v>
      </c>
      <c r="B49" s="1461" t="s">
        <v>2096</v>
      </c>
      <c r="C49" s="1462"/>
      <c r="D49" s="1462"/>
      <c r="E49" s="1462"/>
      <c r="F49" s="1462"/>
      <c r="G49" s="1462"/>
      <c r="H49" s="1462"/>
      <c r="I49" s="1462"/>
      <c r="J49" s="1462"/>
      <c r="K49" s="1462"/>
      <c r="L49" s="1462"/>
      <c r="M49" s="1463"/>
    </row>
    <row r="50" spans="1:13" x14ac:dyDescent="0.35">
      <c r="A50" s="10">
        <v>5</v>
      </c>
      <c r="B50" s="1461" t="s">
        <v>2097</v>
      </c>
      <c r="C50" s="1462"/>
      <c r="D50" s="1462"/>
      <c r="E50" s="1462"/>
      <c r="F50" s="1462"/>
      <c r="G50" s="1462"/>
      <c r="H50" s="1462"/>
      <c r="I50" s="1462"/>
      <c r="J50" s="1462"/>
      <c r="K50" s="1462"/>
      <c r="L50" s="1462"/>
      <c r="M50" s="1463"/>
    </row>
    <row r="51" spans="1:13" ht="15" thickBot="1" x14ac:dyDescent="0.4">
      <c r="A51" s="14">
        <v>6</v>
      </c>
      <c r="B51" s="1464" t="s">
        <v>2098</v>
      </c>
      <c r="C51" s="1465"/>
      <c r="D51" s="1465"/>
      <c r="E51" s="1465"/>
      <c r="F51" s="1465"/>
      <c r="G51" s="1465"/>
      <c r="H51" s="1465"/>
      <c r="I51" s="1465"/>
      <c r="J51" s="1465"/>
      <c r="K51" s="1465"/>
      <c r="L51" s="1465"/>
      <c r="M51" s="1466"/>
    </row>
    <row r="52" spans="1:13" x14ac:dyDescent="0.35">
      <c r="A52" s="146"/>
      <c r="B52" s="147"/>
      <c r="C52" s="35"/>
      <c r="D52" s="35"/>
      <c r="E52" s="148"/>
      <c r="F52" s="35"/>
      <c r="G52" s="35"/>
      <c r="H52" s="35"/>
      <c r="I52" s="35"/>
      <c r="J52" s="35"/>
      <c r="K52" s="35"/>
      <c r="L52" s="35"/>
      <c r="M52" s="35"/>
    </row>
    <row r="53" spans="1:13" x14ac:dyDescent="0.35">
      <c r="A53" s="146"/>
      <c r="B53" s="147"/>
      <c r="C53" s="35"/>
      <c r="D53" s="35"/>
      <c r="E53" s="148"/>
      <c r="F53" s="35"/>
      <c r="G53" s="35"/>
      <c r="H53" s="35"/>
      <c r="I53" s="35"/>
      <c r="J53" s="35"/>
      <c r="K53" s="35"/>
      <c r="L53" s="35"/>
      <c r="M53" s="35"/>
    </row>
    <row r="54" spans="1:13" x14ac:dyDescent="0.35">
      <c r="A54" s="146"/>
      <c r="B54" s="147"/>
      <c r="C54" s="35"/>
      <c r="D54" s="35"/>
      <c r="E54" s="148"/>
      <c r="F54" s="35"/>
      <c r="G54" s="35"/>
      <c r="H54" s="35"/>
      <c r="I54" s="35"/>
      <c r="J54" s="35"/>
      <c r="K54" s="35"/>
      <c r="L54" s="35"/>
      <c r="M54" s="35"/>
    </row>
    <row r="55" spans="1:13" x14ac:dyDescent="0.35">
      <c r="A55" s="146"/>
      <c r="B55" s="147"/>
      <c r="C55" s="35"/>
      <c r="D55" s="35"/>
      <c r="E55" s="148"/>
      <c r="F55" s="35"/>
      <c r="G55" s="35"/>
      <c r="H55" s="35"/>
      <c r="I55" s="35"/>
      <c r="J55" s="35"/>
      <c r="K55" s="35"/>
      <c r="L55" s="35"/>
      <c r="M55" s="35"/>
    </row>
    <row r="56" spans="1:13" x14ac:dyDescent="0.35">
      <c r="A56" s="146"/>
      <c r="B56" s="147"/>
      <c r="C56" s="35"/>
      <c r="D56" s="35"/>
      <c r="E56" s="148"/>
      <c r="F56" s="35"/>
      <c r="G56" s="35"/>
      <c r="H56" s="35"/>
      <c r="I56" s="35"/>
      <c r="J56" s="35"/>
      <c r="K56" s="35"/>
      <c r="L56" s="35"/>
      <c r="M56" s="35"/>
    </row>
    <row r="57" spans="1:13" x14ac:dyDescent="0.35">
      <c r="A57" s="146"/>
      <c r="B57" s="147"/>
      <c r="C57" s="35"/>
      <c r="D57" s="35"/>
      <c r="E57" s="148"/>
      <c r="F57" s="35"/>
      <c r="G57" s="35"/>
      <c r="H57" s="35"/>
      <c r="I57" s="35"/>
      <c r="J57" s="35"/>
      <c r="K57" s="35"/>
      <c r="L57" s="35"/>
      <c r="M57" s="35"/>
    </row>
    <row r="58" spans="1:13" x14ac:dyDescent="0.35">
      <c r="A58" s="146"/>
      <c r="B58" s="147"/>
      <c r="C58" s="35"/>
      <c r="D58" s="35"/>
      <c r="E58" s="148"/>
      <c r="F58" s="35"/>
      <c r="G58" s="35"/>
      <c r="H58" s="35"/>
      <c r="I58" s="35"/>
      <c r="J58" s="35"/>
      <c r="K58" s="35"/>
      <c r="L58" s="35"/>
      <c r="M58" s="35"/>
    </row>
    <row r="59" spans="1:13" x14ac:dyDescent="0.35">
      <c r="A59" s="146"/>
      <c r="B59" s="147"/>
      <c r="C59" s="35"/>
      <c r="D59" s="35"/>
      <c r="E59" s="148"/>
      <c r="F59" s="35"/>
      <c r="G59" s="35"/>
      <c r="H59" s="35"/>
      <c r="I59" s="35"/>
      <c r="J59" s="35"/>
      <c r="K59" s="35"/>
      <c r="L59" s="35"/>
      <c r="M59" s="35"/>
    </row>
    <row r="60" spans="1:13" x14ac:dyDescent="0.35">
      <c r="A60" s="146"/>
      <c r="B60" s="147"/>
      <c r="C60" s="35"/>
      <c r="D60" s="35"/>
      <c r="E60" s="148"/>
      <c r="F60" s="35"/>
      <c r="G60" s="35"/>
      <c r="H60" s="35"/>
      <c r="I60" s="35"/>
      <c r="J60" s="35"/>
      <c r="K60" s="35"/>
      <c r="L60" s="35"/>
      <c r="M60" s="35"/>
    </row>
    <row r="61" spans="1:13" x14ac:dyDescent="0.35">
      <c r="A61" s="146"/>
      <c r="B61" s="147"/>
      <c r="C61" s="35"/>
      <c r="D61" s="35"/>
      <c r="E61" s="148"/>
      <c r="F61" s="35"/>
      <c r="G61" s="35"/>
      <c r="H61" s="35"/>
      <c r="I61" s="35"/>
      <c r="J61" s="35"/>
      <c r="K61" s="35"/>
      <c r="L61" s="35"/>
      <c r="M61" s="35"/>
    </row>
    <row r="62" spans="1:13" x14ac:dyDescent="0.35">
      <c r="A62" s="146"/>
      <c r="B62" s="147"/>
      <c r="C62" s="35"/>
      <c r="D62" s="35"/>
      <c r="E62" s="148"/>
      <c r="F62" s="35"/>
      <c r="G62" s="35"/>
      <c r="H62" s="35"/>
      <c r="I62" s="35"/>
      <c r="J62" s="35"/>
      <c r="K62" s="35"/>
      <c r="L62" s="35"/>
      <c r="M62" s="35"/>
    </row>
    <row r="63" spans="1:13" x14ac:dyDescent="0.35">
      <c r="A63" s="146"/>
      <c r="B63" s="147"/>
      <c r="C63" s="35"/>
      <c r="D63" s="35"/>
      <c r="E63" s="148"/>
      <c r="F63" s="35"/>
      <c r="G63" s="35"/>
      <c r="H63" s="35"/>
      <c r="I63" s="35"/>
      <c r="J63" s="35"/>
      <c r="K63" s="35"/>
      <c r="L63" s="35"/>
      <c r="M63" s="35"/>
    </row>
    <row r="64" spans="1:13" x14ac:dyDescent="0.35">
      <c r="A64" s="146"/>
      <c r="B64" s="147"/>
      <c r="C64" s="35"/>
      <c r="D64" s="35"/>
      <c r="E64" s="148"/>
      <c r="F64" s="35"/>
      <c r="G64" s="35"/>
      <c r="H64" s="35"/>
      <c r="I64" s="35"/>
      <c r="J64" s="35"/>
      <c r="K64" s="35"/>
      <c r="L64" s="35"/>
      <c r="M64" s="35"/>
    </row>
    <row r="65" spans="1:13" x14ac:dyDescent="0.35">
      <c r="A65" s="146"/>
      <c r="B65" s="147"/>
      <c r="C65" s="35"/>
      <c r="D65" s="35"/>
      <c r="E65" s="148"/>
      <c r="F65" s="35"/>
      <c r="G65" s="35"/>
      <c r="H65" s="35"/>
      <c r="I65" s="35"/>
      <c r="J65" s="35"/>
      <c r="K65" s="35"/>
      <c r="L65" s="35"/>
      <c r="M65" s="35"/>
    </row>
    <row r="66" spans="1:13" x14ac:dyDescent="0.35">
      <c r="A66" s="146"/>
      <c r="B66" s="147"/>
      <c r="C66" s="35"/>
      <c r="D66" s="35"/>
      <c r="E66" s="148"/>
      <c r="F66" s="35"/>
      <c r="G66" s="35"/>
      <c r="H66" s="35"/>
      <c r="I66" s="35"/>
      <c r="J66" s="35"/>
      <c r="K66" s="35"/>
      <c r="L66" s="35"/>
      <c r="M66" s="35"/>
    </row>
  </sheetData>
  <mergeCells count="9">
    <mergeCell ref="B50:M50"/>
    <mergeCell ref="B51:M51"/>
    <mergeCell ref="A1:M1"/>
    <mergeCell ref="A44:M44"/>
    <mergeCell ref="B46:M46"/>
    <mergeCell ref="B47:M47"/>
    <mergeCell ref="B48:M48"/>
    <mergeCell ref="B49:M49"/>
    <mergeCell ref="A45:M45"/>
  </mergeCells>
  <conditionalFormatting sqref="E3:E43">
    <cfRule type="cellIs" dxfId="0" priority="1" operator="greaterThan">
      <formula>1.5</formula>
    </cfRule>
  </conditionalFormatting>
  <pageMargins left="0.7" right="0.7" top="0.75" bottom="0.75" header="0.3" footer="0.3"/>
  <pageSetup scale="66" fitToHeight="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5DAE5D-BC2A-4B9F-A980-1E40D3B00F72}">
  <sheetPr>
    <tabColor theme="4" tint="0.79998168889431442"/>
    <pageSetUpPr fitToPage="1"/>
  </sheetPr>
  <dimension ref="A1"/>
  <sheetViews>
    <sheetView topLeftCell="A31" workbookViewId="0">
      <selection activeCell="A49" sqref="A49:XFD49"/>
    </sheetView>
  </sheetViews>
  <sheetFormatPr defaultRowHeight="14.5" x14ac:dyDescent="0.35"/>
  <sheetData/>
  <pageMargins left="0.7" right="0.7" top="0.75" bottom="0.75" header="0.3" footer="0.3"/>
  <pageSetup scale="57" fitToHeight="0"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FEA6FF-E2FF-47A7-B34E-C3BFC31258C3}">
  <sheetPr>
    <tabColor theme="4" tint="0.79998168889431442"/>
    <pageSetUpPr fitToPage="1"/>
  </sheetPr>
  <dimension ref="A1:O71"/>
  <sheetViews>
    <sheetView topLeftCell="A48" workbookViewId="0">
      <selection activeCell="A54" sqref="A54"/>
    </sheetView>
  </sheetViews>
  <sheetFormatPr defaultRowHeight="14.5" x14ac:dyDescent="0.35"/>
  <cols>
    <col min="1" max="1" width="16.1796875" style="22" customWidth="1"/>
    <col min="2" max="2" width="28.453125" style="22" customWidth="1"/>
  </cols>
  <sheetData>
    <row r="1" spans="1:2" ht="39" customHeight="1" x14ac:dyDescent="0.45">
      <c r="A1" s="1477" t="s">
        <v>2205</v>
      </c>
      <c r="B1" s="1477"/>
    </row>
    <row r="2" spans="1:2" ht="15.5" x14ac:dyDescent="0.35">
      <c r="A2" s="104" t="s">
        <v>2099</v>
      </c>
      <c r="B2" s="104" t="s">
        <v>2100</v>
      </c>
    </row>
    <row r="3" spans="1:2" s="6" customFormat="1" x14ac:dyDescent="0.35">
      <c r="A3" s="105" t="s">
        <v>2101</v>
      </c>
      <c r="B3" s="105" t="s">
        <v>2210</v>
      </c>
    </row>
    <row r="4" spans="1:2" s="6" customFormat="1" ht="43.5" x14ac:dyDescent="0.35">
      <c r="A4" s="105" t="s">
        <v>2102</v>
      </c>
      <c r="B4" s="93" t="s">
        <v>2212</v>
      </c>
    </row>
    <row r="5" spans="1:2" s="6" customFormat="1" ht="29" x14ac:dyDescent="0.35">
      <c r="A5" s="105" t="s">
        <v>2103</v>
      </c>
      <c r="B5" s="93" t="s">
        <v>2213</v>
      </c>
    </row>
    <row r="6" spans="1:2" s="6" customFormat="1" x14ac:dyDescent="0.35">
      <c r="A6" s="105" t="s">
        <v>2053</v>
      </c>
      <c r="B6" s="105" t="s">
        <v>2211</v>
      </c>
    </row>
    <row r="7" spans="1:2" s="6" customFormat="1" x14ac:dyDescent="0.35">
      <c r="A7" s="105" t="s">
        <v>2094</v>
      </c>
      <c r="B7" s="105" t="s">
        <v>2210</v>
      </c>
    </row>
    <row r="8" spans="1:2" s="6" customFormat="1" x14ac:dyDescent="0.35">
      <c r="A8" s="105" t="s">
        <v>2090</v>
      </c>
      <c r="B8" s="105" t="s">
        <v>2210</v>
      </c>
    </row>
    <row r="9" spans="1:2" s="6" customFormat="1" ht="16.5" x14ac:dyDescent="0.35">
      <c r="A9" s="105" t="s">
        <v>2104</v>
      </c>
      <c r="B9" s="105" t="s">
        <v>2105</v>
      </c>
    </row>
    <row r="10" spans="1:2" s="6" customFormat="1" x14ac:dyDescent="0.35">
      <c r="A10" s="105" t="s">
        <v>2089</v>
      </c>
      <c r="B10" s="105" t="s">
        <v>2105</v>
      </c>
    </row>
    <row r="11" spans="1:2" s="6" customFormat="1" x14ac:dyDescent="0.35">
      <c r="A11" s="105" t="s">
        <v>2093</v>
      </c>
      <c r="B11" s="105" t="s">
        <v>2210</v>
      </c>
    </row>
    <row r="12" spans="1:2" s="6" customFormat="1" x14ac:dyDescent="0.35">
      <c r="A12" s="105" t="s">
        <v>2092</v>
      </c>
      <c r="B12" s="105" t="s">
        <v>2105</v>
      </c>
    </row>
    <row r="13" spans="1:2" s="6" customFormat="1" x14ac:dyDescent="0.35">
      <c r="A13" s="105" t="s">
        <v>2051</v>
      </c>
      <c r="B13" s="105" t="s">
        <v>2210</v>
      </c>
    </row>
    <row r="14" spans="1:2" s="6" customFormat="1" x14ac:dyDescent="0.35">
      <c r="A14" s="105" t="s">
        <v>2106</v>
      </c>
      <c r="B14" s="105" t="s">
        <v>2107</v>
      </c>
    </row>
    <row r="15" spans="1:2" s="6" customFormat="1" x14ac:dyDescent="0.35">
      <c r="B15" s="36"/>
    </row>
    <row r="16" spans="1:2" s="6" customFormat="1" ht="16.5" x14ac:dyDescent="0.35">
      <c r="A16" s="106" t="s">
        <v>2108</v>
      </c>
      <c r="B16" s="36"/>
    </row>
    <row r="17" spans="1:15" s="6" customFormat="1" x14ac:dyDescent="0.35">
      <c r="A17" s="107" t="s">
        <v>2109</v>
      </c>
      <c r="B17" s="36"/>
    </row>
    <row r="18" spans="1:15" s="6" customFormat="1" x14ac:dyDescent="0.35">
      <c r="A18" s="106" t="s">
        <v>2110</v>
      </c>
      <c r="B18" s="36"/>
    </row>
    <row r="19" spans="1:15" s="6" customFormat="1" x14ac:dyDescent="0.35">
      <c r="A19" s="106" t="s">
        <v>2111</v>
      </c>
      <c r="B19" s="36"/>
    </row>
    <row r="20" spans="1:15" s="6" customFormat="1" ht="30.75" customHeight="1" x14ac:dyDescent="0.35">
      <c r="A20" s="1476" t="s">
        <v>2112</v>
      </c>
      <c r="B20" s="1476"/>
      <c r="C20" s="1476"/>
      <c r="D20" s="1476"/>
      <c r="E20" s="1476"/>
      <c r="F20" s="1476"/>
      <c r="G20" s="1476"/>
      <c r="H20" s="1476"/>
      <c r="I20" s="106"/>
      <c r="J20" s="106"/>
      <c r="K20" s="106"/>
      <c r="L20" s="106"/>
      <c r="M20" s="106"/>
      <c r="N20" s="106"/>
      <c r="O20" s="106"/>
    </row>
    <row r="21" spans="1:15" s="6" customFormat="1" x14ac:dyDescent="0.35">
      <c r="A21" s="106" t="s">
        <v>2113</v>
      </c>
      <c r="B21" s="36"/>
    </row>
    <row r="22" spans="1:15" s="6" customFormat="1" x14ac:dyDescent="0.35">
      <c r="A22" s="106" t="s">
        <v>2114</v>
      </c>
      <c r="B22" s="36"/>
    </row>
    <row r="23" spans="1:15" s="6" customFormat="1" x14ac:dyDescent="0.35">
      <c r="A23" s="106"/>
      <c r="B23" s="36"/>
    </row>
    <row r="24" spans="1:15" s="6" customFormat="1" x14ac:dyDescent="0.35">
      <c r="A24" s="107" t="s">
        <v>2115</v>
      </c>
      <c r="B24" s="36"/>
    </row>
    <row r="25" spans="1:15" s="6" customFormat="1" x14ac:dyDescent="0.35">
      <c r="A25" s="106" t="s">
        <v>2116</v>
      </c>
      <c r="B25" s="36"/>
    </row>
    <row r="26" spans="1:15" s="6" customFormat="1" ht="45" customHeight="1" x14ac:dyDescent="0.35">
      <c r="A26" s="1476" t="s">
        <v>2691</v>
      </c>
      <c r="B26" s="1476"/>
      <c r="C26" s="1476"/>
      <c r="D26" s="1476"/>
      <c r="E26" s="1476"/>
      <c r="F26" s="1476"/>
      <c r="G26" s="1476"/>
    </row>
    <row r="27" spans="1:15" s="6" customFormat="1" x14ac:dyDescent="0.35">
      <c r="A27" s="106" t="s">
        <v>2692</v>
      </c>
      <c r="B27" s="36"/>
    </row>
    <row r="28" spans="1:15" s="6" customFormat="1" x14ac:dyDescent="0.35">
      <c r="A28" s="106" t="s">
        <v>2693</v>
      </c>
      <c r="B28" s="36"/>
    </row>
    <row r="29" spans="1:15" x14ac:dyDescent="0.35">
      <c r="A29" s="106" t="s">
        <v>2694</v>
      </c>
    </row>
    <row r="30" spans="1:15" ht="45" customHeight="1" x14ac:dyDescent="0.35">
      <c r="A30" s="1476" t="s">
        <v>2695</v>
      </c>
      <c r="B30" s="1476"/>
      <c r="C30" s="1476"/>
      <c r="D30" s="1476"/>
      <c r="E30" s="1476"/>
      <c r="F30" s="1476"/>
      <c r="G30" s="1476"/>
      <c r="H30" s="1476"/>
    </row>
    <row r="31" spans="1:15" x14ac:dyDescent="0.35">
      <c r="A31" s="106"/>
    </row>
    <row r="32" spans="1:15" x14ac:dyDescent="0.35">
      <c r="A32" s="107" t="s">
        <v>2117</v>
      </c>
    </row>
    <row r="33" spans="1:8" ht="30" customHeight="1" x14ac:dyDescent="0.35">
      <c r="A33" s="1476" t="s">
        <v>2118</v>
      </c>
      <c r="B33" s="1476"/>
      <c r="C33" s="1476"/>
      <c r="D33" s="1476"/>
      <c r="E33" s="1476"/>
      <c r="F33" s="1476"/>
      <c r="G33" s="1476"/>
      <c r="H33" s="1476"/>
    </row>
    <row r="34" spans="1:8" x14ac:dyDescent="0.35">
      <c r="A34" s="106"/>
    </row>
    <row r="35" spans="1:8" x14ac:dyDescent="0.35">
      <c r="A35" s="107" t="s">
        <v>2119</v>
      </c>
    </row>
    <row r="36" spans="1:8" ht="33.65" customHeight="1" x14ac:dyDescent="0.35">
      <c r="A36" s="1476" t="s">
        <v>2120</v>
      </c>
      <c r="B36" s="1476"/>
      <c r="C36" s="1476"/>
      <c r="D36" s="1476"/>
      <c r="E36" s="1476"/>
      <c r="F36" s="1476"/>
      <c r="G36" s="1476"/>
      <c r="H36" s="1476"/>
    </row>
    <row r="37" spans="1:8" x14ac:dyDescent="0.35">
      <c r="A37" s="106"/>
      <c r="D37" s="5"/>
    </row>
    <row r="38" spans="1:8" x14ac:dyDescent="0.35">
      <c r="A38" s="107" t="s">
        <v>2121</v>
      </c>
    </row>
    <row r="39" spans="1:8" ht="30" customHeight="1" x14ac:dyDescent="0.35">
      <c r="A39" s="1476" t="s">
        <v>2122</v>
      </c>
      <c r="B39" s="1476"/>
      <c r="C39" s="1476"/>
      <c r="D39" s="1476"/>
      <c r="E39" s="1476"/>
      <c r="F39" s="1476"/>
      <c r="G39" s="1476"/>
      <c r="H39" s="1476"/>
    </row>
    <row r="40" spans="1:8" x14ac:dyDescent="0.35">
      <c r="A40" s="106"/>
    </row>
    <row r="41" spans="1:8" x14ac:dyDescent="0.35">
      <c r="A41" s="107" t="s">
        <v>2123</v>
      </c>
    </row>
    <row r="42" spans="1:8" ht="45" customHeight="1" x14ac:dyDescent="0.35">
      <c r="A42" s="1476" t="s">
        <v>2124</v>
      </c>
      <c r="B42" s="1476"/>
      <c r="C42" s="1476"/>
      <c r="D42" s="1476"/>
      <c r="E42" s="1476"/>
      <c r="F42" s="1476"/>
      <c r="G42" s="1476"/>
      <c r="H42" s="1476"/>
    </row>
    <row r="43" spans="1:8" x14ac:dyDescent="0.35">
      <c r="A43" s="106"/>
    </row>
    <row r="44" spans="1:8" x14ac:dyDescent="0.35">
      <c r="A44" s="107" t="s">
        <v>2125</v>
      </c>
    </row>
    <row r="45" spans="1:8" ht="30" customHeight="1" x14ac:dyDescent="0.35">
      <c r="A45" s="1476" t="s">
        <v>2126</v>
      </c>
      <c r="B45" s="1476"/>
      <c r="C45" s="1476"/>
      <c r="D45" s="1476"/>
      <c r="E45" s="1476"/>
      <c r="F45" s="1476"/>
      <c r="G45" s="1476"/>
      <c r="H45" s="1476"/>
    </row>
    <row r="46" spans="1:8" x14ac:dyDescent="0.35">
      <c r="A46" s="106" t="s">
        <v>2696</v>
      </c>
    </row>
    <row r="47" spans="1:8" x14ac:dyDescent="0.35">
      <c r="A47" s="106" t="s">
        <v>2697</v>
      </c>
    </row>
    <row r="48" spans="1:8" x14ac:dyDescent="0.35">
      <c r="A48" s="106" t="s">
        <v>2698</v>
      </c>
    </row>
    <row r="49" spans="1:8" x14ac:dyDescent="0.35">
      <c r="A49" s="106" t="s">
        <v>2699</v>
      </c>
    </row>
    <row r="50" spans="1:8" x14ac:dyDescent="0.35">
      <c r="A50" s="106" t="s">
        <v>2700</v>
      </c>
    </row>
    <row r="51" spans="1:8" x14ac:dyDescent="0.35">
      <c r="A51" s="106"/>
    </row>
    <row r="52" spans="1:8" x14ac:dyDescent="0.35">
      <c r="A52" s="107" t="s">
        <v>2127</v>
      </c>
    </row>
    <row r="53" spans="1:8" ht="30" customHeight="1" x14ac:dyDescent="0.35">
      <c r="A53" s="1476" t="s">
        <v>2128</v>
      </c>
      <c r="B53" s="1476"/>
      <c r="C53" s="1476"/>
      <c r="D53" s="1476"/>
      <c r="E53" s="1476"/>
      <c r="F53" s="1476"/>
      <c r="G53" s="1476"/>
      <c r="H53" s="1476"/>
    </row>
    <row r="54" spans="1:8" x14ac:dyDescent="0.35">
      <c r="A54" s="106" t="s">
        <v>2129</v>
      </c>
    </row>
    <row r="55" spans="1:8" x14ac:dyDescent="0.35">
      <c r="A55" s="106" t="s">
        <v>2130</v>
      </c>
    </row>
    <row r="56" spans="1:8" x14ac:dyDescent="0.35">
      <c r="A56" s="106" t="s">
        <v>2131</v>
      </c>
    </row>
    <row r="57" spans="1:8" x14ac:dyDescent="0.35">
      <c r="A57" s="106"/>
    </row>
    <row r="58" spans="1:8" x14ac:dyDescent="0.35">
      <c r="A58" s="107" t="s">
        <v>2132</v>
      </c>
    </row>
    <row r="59" spans="1:8" x14ac:dyDescent="0.35">
      <c r="A59" s="106" t="s">
        <v>2133</v>
      </c>
    </row>
    <row r="60" spans="1:8" x14ac:dyDescent="0.35">
      <c r="A60" s="106"/>
    </row>
    <row r="61" spans="1:8" x14ac:dyDescent="0.35">
      <c r="A61" s="107" t="s">
        <v>2134</v>
      </c>
    </row>
    <row r="62" spans="1:8" ht="30" customHeight="1" x14ac:dyDescent="0.35">
      <c r="A62" s="1476" t="s">
        <v>2135</v>
      </c>
      <c r="B62" s="1476"/>
      <c r="C62" s="1476"/>
      <c r="D62" s="1476"/>
      <c r="E62" s="1476"/>
      <c r="F62" s="1476"/>
      <c r="G62" s="1476"/>
      <c r="H62" s="1476"/>
    </row>
    <row r="63" spans="1:8" x14ac:dyDescent="0.35">
      <c r="A63" s="106" t="s">
        <v>2136</v>
      </c>
    </row>
    <row r="64" spans="1:8" ht="78" customHeight="1" x14ac:dyDescent="0.35">
      <c r="A64" s="1476" t="s">
        <v>2137</v>
      </c>
      <c r="B64" s="1476"/>
      <c r="C64" s="1476"/>
      <c r="D64" s="1476"/>
      <c r="E64" s="1476"/>
      <c r="F64" s="1476"/>
      <c r="G64" s="1476"/>
      <c r="H64" s="1476"/>
    </row>
    <row r="65" spans="1:8" ht="14.25" customHeight="1" x14ac:dyDescent="0.35">
      <c r="A65" s="83"/>
      <c r="B65" s="83"/>
      <c r="C65" s="83"/>
      <c r="D65" s="83"/>
      <c r="E65" s="83"/>
      <c r="F65" s="83"/>
      <c r="G65" s="83"/>
      <c r="H65" s="83"/>
    </row>
    <row r="66" spans="1:8" x14ac:dyDescent="0.35">
      <c r="A66" s="107" t="s">
        <v>2138</v>
      </c>
    </row>
    <row r="67" spans="1:8" x14ac:dyDescent="0.35">
      <c r="A67" s="145" t="s">
        <v>2206</v>
      </c>
      <c r="B67" s="24"/>
      <c r="C67" s="4"/>
      <c r="D67" s="4"/>
      <c r="E67" s="4"/>
      <c r="F67" s="4"/>
      <c r="G67" s="4"/>
      <c r="H67" s="4"/>
    </row>
    <row r="68" spans="1:8" x14ac:dyDescent="0.35">
      <c r="A68" s="145" t="s">
        <v>2139</v>
      </c>
      <c r="B68" s="24"/>
      <c r="C68" s="4"/>
      <c r="D68" s="4"/>
      <c r="E68" s="4"/>
      <c r="F68" s="4"/>
      <c r="G68" s="4"/>
      <c r="H68" s="4"/>
    </row>
    <row r="69" spans="1:8" ht="45" customHeight="1" x14ac:dyDescent="0.35">
      <c r="A69" s="1478" t="s">
        <v>2207</v>
      </c>
      <c r="B69" s="1478"/>
      <c r="C69" s="1478"/>
      <c r="D69" s="1478"/>
      <c r="E69" s="1478"/>
      <c r="F69" s="1478"/>
      <c r="G69" s="1478"/>
      <c r="H69" s="1478"/>
    </row>
    <row r="70" spans="1:8" x14ac:dyDescent="0.35">
      <c r="A70" s="145" t="s">
        <v>2208</v>
      </c>
      <c r="B70" s="24"/>
      <c r="C70" s="4"/>
      <c r="D70" s="4"/>
      <c r="E70" s="4"/>
      <c r="F70" s="4"/>
      <c r="G70" s="4"/>
      <c r="H70" s="4"/>
    </row>
    <row r="71" spans="1:8" x14ac:dyDescent="0.35">
      <c r="A71" s="145" t="s">
        <v>2209</v>
      </c>
      <c r="B71" s="24"/>
      <c r="C71" s="4"/>
      <c r="D71" s="4"/>
      <c r="E71" s="4"/>
      <c r="F71" s="4"/>
      <c r="G71" s="4"/>
      <c r="H71" s="4"/>
    </row>
  </sheetData>
  <mergeCells count="13">
    <mergeCell ref="A69:H69"/>
    <mergeCell ref="A39:H39"/>
    <mergeCell ref="A42:H42"/>
    <mergeCell ref="A45:H45"/>
    <mergeCell ref="A53:H53"/>
    <mergeCell ref="A62:H62"/>
    <mergeCell ref="A64:H64"/>
    <mergeCell ref="A36:H36"/>
    <mergeCell ref="A1:B1"/>
    <mergeCell ref="A20:H20"/>
    <mergeCell ref="A26:G26"/>
    <mergeCell ref="A30:H30"/>
    <mergeCell ref="A33:H33"/>
  </mergeCells>
  <pageMargins left="0.7" right="0.7" top="0.75" bottom="0.75" header="0.3" footer="0.3"/>
  <pageSetup scale="93" fitToHeight="0"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13C4A5-B91F-4548-A9DF-435CC3184FE8}">
  <sheetPr>
    <tabColor theme="4" tint="0.79998168889431442"/>
  </sheetPr>
  <dimension ref="A1:A9"/>
  <sheetViews>
    <sheetView workbookViewId="0">
      <selection activeCell="C7" sqref="C7"/>
    </sheetView>
  </sheetViews>
  <sheetFormatPr defaultRowHeight="14.5" x14ac:dyDescent="0.35"/>
  <cols>
    <col min="1" max="1" width="109.81640625" customWidth="1"/>
  </cols>
  <sheetData>
    <row r="1" spans="1:1" ht="18.5" x14ac:dyDescent="0.45">
      <c r="A1" s="108" t="s">
        <v>2140</v>
      </c>
    </row>
    <row r="2" spans="1:1" ht="60" x14ac:dyDescent="0.35">
      <c r="A2" s="5" t="s">
        <v>2214</v>
      </c>
    </row>
    <row r="3" spans="1:1" x14ac:dyDescent="0.35">
      <c r="A3" s="5"/>
    </row>
    <row r="4" spans="1:1" ht="16.5" x14ac:dyDescent="0.35">
      <c r="A4" s="5" t="s">
        <v>2141</v>
      </c>
    </row>
    <row r="5" spans="1:1" x14ac:dyDescent="0.35">
      <c r="A5" s="5" t="s">
        <v>2142</v>
      </c>
    </row>
    <row r="6" spans="1:1" ht="31" x14ac:dyDescent="0.35">
      <c r="A6" s="5" t="s">
        <v>2143</v>
      </c>
    </row>
    <row r="7" spans="1:1" ht="16.5" x14ac:dyDescent="0.35">
      <c r="A7" s="5" t="s">
        <v>2144</v>
      </c>
    </row>
    <row r="9" spans="1:1" ht="64.5" customHeight="1" x14ac:dyDescent="0.35"/>
  </sheetData>
  <pageMargins left="0.7" right="0.7" top="0.75" bottom="0.75" header="0.3" footer="0.3"/>
  <pageSetup orientation="portrait" r:id="rId1"/>
  <drawing r:id="rId2"/>
  <legacyDrawing r:id="rId3"/>
  <oleObjects>
    <mc:AlternateContent xmlns:mc="http://schemas.openxmlformats.org/markup-compatibility/2006">
      <mc:Choice Requires="x14">
        <oleObject progId="Acrobat Document" dvAspect="DVASPECT_ICON" shapeId="6145" r:id="rId4">
          <objectPr defaultSize="0" r:id="rId5">
            <anchor moveWithCells="1">
              <from>
                <xdr:col>0</xdr:col>
                <xdr:colOff>381000</xdr:colOff>
                <xdr:row>8</xdr:row>
                <xdr:rowOff>69850</xdr:rowOff>
              </from>
              <to>
                <xdr:col>0</xdr:col>
                <xdr:colOff>1295400</xdr:colOff>
                <xdr:row>8</xdr:row>
                <xdr:rowOff>755650</xdr:rowOff>
              </to>
            </anchor>
          </objectPr>
        </oleObject>
      </mc:Choice>
      <mc:Fallback>
        <oleObject progId="Acrobat Document" dvAspect="DVASPECT_ICON" shapeId="6145" r:id="rId4"/>
      </mc:Fallback>
    </mc:AlternateContent>
  </oleObjec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77A92C9006F06C4E8C7329208C5EACF1" ma:contentTypeVersion="0" ma:contentTypeDescription="Create a new document." ma:contentTypeScope="" ma:versionID="db5498d5496ebe9cec16cec327503065">
  <xsd:schema xmlns:xsd="http://www.w3.org/2001/XMLSchema" xmlns:xs="http://www.w3.org/2001/XMLSchema" xmlns:p="http://schemas.microsoft.com/office/2006/metadata/properties" targetNamespace="http://schemas.microsoft.com/office/2006/metadata/properties" ma:root="true" ma:fieldsID="d413257cd9829394d17656a545d5fa4e">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99F1A90D-1A0A-4B00-B09D-188CF86ADA0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customXml/itemProps2.xml><?xml version="1.0" encoding="utf-8"?>
<ds:datastoreItem xmlns:ds="http://schemas.openxmlformats.org/officeDocument/2006/customXml" ds:itemID="{FC2CAA4D-B3FE-4F7E-BE2A-8901FC9DD12F}">
  <ds:schemaRefs>
    <ds:schemaRef ds:uri="http://schemas.microsoft.com/sharepoint/v3/contenttype/forms"/>
  </ds:schemaRefs>
</ds:datastoreItem>
</file>

<file path=customXml/itemProps3.xml><?xml version="1.0" encoding="utf-8"?>
<ds:datastoreItem xmlns:ds="http://schemas.openxmlformats.org/officeDocument/2006/customXml" ds:itemID="{5DDDE7FF-8BC3-4D12-8CEA-A6E5033CCCA3}">
  <ds:schemaRefs>
    <ds:schemaRef ds:uri="http://schemas.microsoft.com/office/infopath/2007/PartnerControls"/>
    <ds:schemaRef ds:uri="http://schemas.openxmlformats.org/package/2006/metadata/core-properties"/>
    <ds:schemaRef ds:uri="http://purl.org/dc/terms/"/>
    <ds:schemaRef ds:uri="http://schemas.microsoft.com/office/2006/documentManagement/types"/>
    <ds:schemaRef ds:uri="http://www.w3.org/XML/1998/namespace"/>
    <ds:schemaRef ds:uri="http://schemas.microsoft.com/office/2006/metadata/properties"/>
    <ds:schemaRef ds:uri="http://purl.org/dc/dcmitype/"/>
    <ds:schemaRef ds:uri="http://purl.org/dc/elements/1.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9</vt:i4>
      </vt:variant>
    </vt:vector>
  </HeadingPairs>
  <TitlesOfParts>
    <vt:vector size="19" baseType="lpstr">
      <vt:lpstr>PUC Calculations FY2021</vt:lpstr>
      <vt:lpstr>Legend</vt:lpstr>
      <vt:lpstr>2021 MILCON Inflation Table</vt:lpstr>
      <vt:lpstr>Mil Cost Premiums for PUCs</vt:lpstr>
      <vt:lpstr>M&amp;S Selection Business Rule</vt:lpstr>
      <vt:lpstr>2021 Elevator Rule</vt:lpstr>
      <vt:lpstr>2021 Overhead Crane Rule</vt:lpstr>
      <vt:lpstr>2021 Fire Sprinkler Rule</vt:lpstr>
      <vt:lpstr>Loading Dock Footnote</vt:lpstr>
      <vt:lpstr>Range Business Rules</vt:lpstr>
      <vt:lpstr>'M&amp;S Selection Business Rule'!_ftn1</vt:lpstr>
      <vt:lpstr>'M&amp;S Selection Business Rule'!_ftn2</vt:lpstr>
      <vt:lpstr>'M&amp;S Selection Business Rule'!_ftnref1</vt:lpstr>
      <vt:lpstr>'M&amp;S Selection Business Rule'!_ftnref2</vt:lpstr>
      <vt:lpstr>'2021 MILCON Inflation Table'!Print_Area</vt:lpstr>
      <vt:lpstr>'Mil Cost Premiums for PUCs'!Print_Area</vt:lpstr>
      <vt:lpstr>'PUC Calculations FY2021'!Print_Area</vt:lpstr>
      <vt:lpstr>'2021 Elevator Rule'!Print_Titles</vt:lpstr>
      <vt:lpstr>'Mil Cost Premiums for PUCs'!PRV</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Gary Calese</dc:creator>
  <cp:lastModifiedBy>Frederick Arzt</cp:lastModifiedBy>
  <cp:lastPrinted>2021-07-01T17:19:11Z</cp:lastPrinted>
  <dcterms:created xsi:type="dcterms:W3CDTF">2018-07-06T18:00:32Z</dcterms:created>
  <dcterms:modified xsi:type="dcterms:W3CDTF">2021-08-16T16:07:09Z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0x01010077A92C9006F06C4E8C7329208C5EACF1</vt:lpwstr>
  </property>
</Properties>
</file>